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Robbie\Dropbox (Energy Innovation)\My Documents\Policy Solutions Project\US\Models\eps-1.3.0-us\InputData\indst\BPEiC\"/>
    </mc:Choice>
  </mc:AlternateContent>
  <bookViews>
    <workbookView xWindow="0" yWindow="0" windowWidth="15300" windowHeight="6420" firstSheet="30"/>
  </bookViews>
  <sheets>
    <sheet name="About" sheetId="44" r:id="rId1"/>
    <sheet name="Cross-Page Data" sheetId="35" r:id="rId2"/>
    <sheet name="Non-Energy FF CO2 Emissions" sheetId="2" r:id="rId3"/>
    <sheet name="Cement CO2 Emissions" sheetId="1" r:id="rId4"/>
    <sheet name="Iron and Steel" sheetId="13" r:id="rId5"/>
    <sheet name="Coal Mining" sheetId="6" r:id="rId6"/>
    <sheet name="Natural Gas Systems" sheetId="8" r:id="rId7"/>
    <sheet name="Petroleum Systems" sheetId="11" r:id="rId8"/>
    <sheet name="Chem - HCFC 22 Production" sheetId="16" r:id="rId9"/>
    <sheet name="Chem - ODS" sheetId="17" r:id="rId10"/>
    <sheet name="Other - Aluminum" sheetId="23" r:id="rId11"/>
    <sheet name="Other - Magnesium" sheetId="24" r:id="rId12"/>
    <sheet name="Other - Semiconductor Mfg" sheetId="25" r:id="rId13"/>
    <sheet name="Other - Elec Trans and Dist" sheetId="26" r:id="rId14"/>
    <sheet name="Agriculture - EF &amp; Manure Mgmt" sheetId="18" r:id="rId15"/>
    <sheet name="Agriculture - Rice Cultivation" sheetId="19" r:id="rId16"/>
    <sheet name="Agriculture - Soil Mgmt" sheetId="20" r:id="rId17"/>
    <sheet name="Waste - Landfills" sheetId="27" r:id="rId18"/>
    <sheet name="Waste - Water Treatment" sheetId="28" r:id="rId19"/>
    <sheet name="Other Industrial Processes" sheetId="43" r:id="rId20"/>
    <sheet name="Combined Data" sheetId="30" r:id="rId21"/>
    <sheet name="BPEiC-CO2" sheetId="31" r:id="rId22"/>
    <sheet name="BPEiC-CH4" sheetId="32" r:id="rId23"/>
    <sheet name="BPEiC-N2O" sheetId="33" r:id="rId24"/>
    <sheet name="BPEiC-F-gases" sheetId="34" r:id="rId25"/>
    <sheet name="EPA (2017) Table A3.6-1" sheetId="40" r:id="rId26"/>
    <sheet name="EPA (2017) Table A3.6-7" sheetId="42" r:id="rId27"/>
    <sheet name="EPA (2017) Table A3.6-10" sheetId="45" r:id="rId28"/>
    <sheet name="AEO 2017_Table 6" sheetId="3" r:id="rId29"/>
    <sheet name="AEO 2017_Table 11" sheetId="12" r:id="rId30"/>
    <sheet name="AEO 2017_Table 13" sheetId="39" r:id="rId31"/>
    <sheet name="AEO 2017_Table 15" sheetId="7" r:id="rId32"/>
    <sheet name="AEO 2017_Table 19" sheetId="37" r:id="rId33"/>
    <sheet name="AEO 2017_Table 20" sheetId="21" r:id="rId34"/>
    <sheet name="AEO 2017_Table 24" sheetId="14" r:id="rId35"/>
    <sheet name="AEO 2017_Table 62" sheetId="41" r:id="rId36"/>
    <sheet name="AEO 2016_Table 6" sheetId="4" r:id="rId37"/>
  </sheets>
  <definedNames>
    <definedName name="_xlnm._FilterDatabase" localSheetId="9" hidden="1">'Chem - ODS'!#REF!</definedName>
    <definedName name="CH4_to_CO2e">'Cross-Page Data'!$C$12</definedName>
    <definedName name="N2O_to_CO2e">'Cross-Page Data'!$C$13</definedName>
  </definedNames>
  <calcPr calcId="162913" concurrentCalc="0"/>
  <pivotCaches>
    <pivotCache cacheId="106" r:id="rId3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7" l="1"/>
  <c r="C11" i="17"/>
  <c r="D9" i="17"/>
  <c r="D11" i="17"/>
  <c r="E9" i="17"/>
  <c r="E11" i="17"/>
  <c r="F9" i="17"/>
  <c r="F11" i="17"/>
  <c r="G9" i="17"/>
  <c r="G11" i="17"/>
  <c r="H9" i="17"/>
  <c r="H11" i="17"/>
  <c r="I9" i="17"/>
  <c r="I11" i="17"/>
  <c r="J9" i="17"/>
  <c r="J11" i="17"/>
  <c r="K9" i="17"/>
  <c r="K11" i="17"/>
  <c r="L9" i="17"/>
  <c r="L11" i="17"/>
  <c r="M9" i="17"/>
  <c r="M11" i="17"/>
  <c r="N9" i="17"/>
  <c r="N11" i="17"/>
  <c r="O9" i="17"/>
  <c r="O11" i="17"/>
  <c r="P9" i="17"/>
  <c r="P11" i="17"/>
  <c r="Q9" i="17"/>
  <c r="Q11" i="17"/>
  <c r="R9" i="17"/>
  <c r="R11" i="17"/>
  <c r="S9" i="17"/>
  <c r="S11" i="17"/>
  <c r="T9" i="17"/>
  <c r="T11" i="17"/>
  <c r="U9" i="17"/>
  <c r="U11" i="17"/>
  <c r="V9" i="17"/>
  <c r="V11" i="17"/>
  <c r="W9" i="17"/>
  <c r="W11" i="17"/>
  <c r="X9" i="17"/>
  <c r="X11" i="17"/>
  <c r="Y9" i="17"/>
  <c r="Y11" i="17"/>
  <c r="Z9" i="17"/>
  <c r="Z11" i="17"/>
  <c r="AA9" i="17"/>
  <c r="AA11" i="17"/>
  <c r="AB9" i="17"/>
  <c r="AB11" i="17"/>
  <c r="AC9" i="17"/>
  <c r="AC11" i="17"/>
  <c r="AD9" i="17"/>
  <c r="AD11" i="17"/>
  <c r="AE9" i="17"/>
  <c r="AE11" i="17"/>
  <c r="AF9" i="17"/>
  <c r="AF11" i="17"/>
  <c r="AG9" i="17"/>
  <c r="AG11" i="17"/>
  <c r="AH9" i="17"/>
  <c r="AH11" i="17"/>
  <c r="AI9" i="17"/>
  <c r="AI11" i="17"/>
  <c r="AJ9" i="17"/>
  <c r="AJ11" i="17"/>
  <c r="AK9" i="17"/>
  <c r="AK11" i="17"/>
  <c r="B9" i="17"/>
  <c r="B11" i="17"/>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C32" i="30"/>
  <c r="D32" i="30"/>
  <c r="E32" i="30"/>
  <c r="F32" i="30"/>
  <c r="G32" i="30"/>
  <c r="H32" i="30"/>
  <c r="I32" i="30"/>
  <c r="J32" i="30"/>
  <c r="K32" i="30"/>
  <c r="L32" i="30"/>
  <c r="M32" i="30"/>
  <c r="N32" i="30"/>
  <c r="O32" i="30"/>
  <c r="P32" i="30"/>
  <c r="Q32" i="30"/>
  <c r="R32" i="30"/>
  <c r="S32" i="30"/>
  <c r="T32" i="30"/>
  <c r="U32" i="30"/>
  <c r="V32" i="30"/>
  <c r="W32" i="30"/>
  <c r="X32" i="30"/>
  <c r="Y32" i="30"/>
  <c r="Z32" i="30"/>
  <c r="AA32" i="30"/>
  <c r="AB32" i="30"/>
  <c r="AC32" i="30"/>
  <c r="AD32" i="30"/>
  <c r="AE32" i="30"/>
  <c r="AF32" i="30"/>
  <c r="AG32" i="30"/>
  <c r="AH32" i="30"/>
  <c r="AI32" i="30"/>
  <c r="AJ32" i="30"/>
  <c r="AK32" i="30"/>
  <c r="B32" i="30"/>
  <c r="C54" i="30"/>
  <c r="D54" i="30"/>
  <c r="E54" i="30"/>
  <c r="F54" i="30"/>
  <c r="G54" i="30"/>
  <c r="H54" i="30"/>
  <c r="I54" i="30"/>
  <c r="J54" i="30"/>
  <c r="K54" i="30"/>
  <c r="L54" i="30"/>
  <c r="M54" i="30"/>
  <c r="N54" i="30"/>
  <c r="O54" i="30"/>
  <c r="P54" i="30"/>
  <c r="Q54" i="30"/>
  <c r="R54" i="30"/>
  <c r="S54" i="30"/>
  <c r="T54" i="30"/>
  <c r="U54" i="30"/>
  <c r="V54" i="30"/>
  <c r="W54" i="30"/>
  <c r="X54" i="30"/>
  <c r="Y54" i="30"/>
  <c r="Z54" i="30"/>
  <c r="AA54" i="30"/>
  <c r="AB54" i="30"/>
  <c r="AC54" i="30"/>
  <c r="AD54" i="30"/>
  <c r="AE54" i="30"/>
  <c r="AF54" i="30"/>
  <c r="AG54" i="30"/>
  <c r="AH54" i="30"/>
  <c r="AI54" i="30"/>
  <c r="AJ54" i="30"/>
  <c r="AK54" i="30"/>
  <c r="C55" i="30"/>
  <c r="D55" i="30"/>
  <c r="E55" i="30"/>
  <c r="F55" i="30"/>
  <c r="G55" i="30"/>
  <c r="H55" i="30"/>
  <c r="I55" i="30"/>
  <c r="J55" i="30"/>
  <c r="K55" i="30"/>
  <c r="L55" i="30"/>
  <c r="M55" i="30"/>
  <c r="N55" i="30"/>
  <c r="O55" i="30"/>
  <c r="P55" i="30"/>
  <c r="Q55" i="30"/>
  <c r="R55" i="30"/>
  <c r="S55" i="30"/>
  <c r="T55" i="30"/>
  <c r="U55" i="30"/>
  <c r="V55" i="30"/>
  <c r="W55" i="30"/>
  <c r="X55" i="30"/>
  <c r="Y55" i="30"/>
  <c r="Z55" i="30"/>
  <c r="AA55" i="30"/>
  <c r="AB55" i="30"/>
  <c r="AC55" i="30"/>
  <c r="AD55" i="30"/>
  <c r="AE55" i="30"/>
  <c r="AF55" i="30"/>
  <c r="AG55" i="30"/>
  <c r="AH55" i="30"/>
  <c r="AI55" i="30"/>
  <c r="AJ55" i="30"/>
  <c r="AK55" i="30"/>
  <c r="B55" i="30"/>
  <c r="B54" i="30"/>
  <c r="C5"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AG5" i="30"/>
  <c r="AH5" i="30"/>
  <c r="AI5" i="30"/>
  <c r="AJ5" i="30"/>
  <c r="AK5" i="30"/>
  <c r="C6"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AH6" i="30"/>
  <c r="AI6" i="30"/>
  <c r="AJ6" i="30"/>
  <c r="AK6"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AH11" i="30"/>
  <c r="AI11" i="30"/>
  <c r="AJ11" i="30"/>
  <c r="AK11"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AH12" i="30"/>
  <c r="AI12" i="30"/>
  <c r="AJ12" i="30"/>
  <c r="AK12"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AH13" i="30"/>
  <c r="AI13" i="30"/>
  <c r="AJ13" i="30"/>
  <c r="AK13"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AH14" i="30"/>
  <c r="AI14" i="30"/>
  <c r="AJ14" i="30"/>
  <c r="AK14"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H15" i="30"/>
  <c r="AI15" i="30"/>
  <c r="AJ15" i="30"/>
  <c r="AK15" i="30"/>
  <c r="C16" i="30"/>
  <c r="D16" i="30"/>
  <c r="E16" i="30"/>
  <c r="F16" i="30"/>
  <c r="G16" i="30"/>
  <c r="H16" i="30"/>
  <c r="I16" i="30"/>
  <c r="J16" i="30"/>
  <c r="K16" i="30"/>
  <c r="L16" i="30"/>
  <c r="M16" i="30"/>
  <c r="N16" i="30"/>
  <c r="O16" i="30"/>
  <c r="P16" i="30"/>
  <c r="Q16" i="30"/>
  <c r="R16" i="30"/>
  <c r="S16" i="30"/>
  <c r="T16" i="30"/>
  <c r="U16" i="30"/>
  <c r="V16" i="30"/>
  <c r="W16" i="30"/>
  <c r="X16" i="30"/>
  <c r="Y16" i="30"/>
  <c r="Z16" i="30"/>
  <c r="AA16" i="30"/>
  <c r="AB16" i="30"/>
  <c r="AC16" i="30"/>
  <c r="AD16" i="30"/>
  <c r="AE16" i="30"/>
  <c r="AF16" i="30"/>
  <c r="AG16" i="30"/>
  <c r="AH16" i="30"/>
  <c r="AI16" i="30"/>
  <c r="AJ16" i="30"/>
  <c r="AK16" i="30"/>
  <c r="C30" i="30"/>
  <c r="D30" i="30"/>
  <c r="E30" i="30"/>
  <c r="F30" i="30"/>
  <c r="G30" i="30"/>
  <c r="H30" i="30"/>
  <c r="I30" i="30"/>
  <c r="J30" i="30"/>
  <c r="K30" i="30"/>
  <c r="L30" i="30"/>
  <c r="M30" i="30"/>
  <c r="N30" i="30"/>
  <c r="O30" i="30"/>
  <c r="P30" i="30"/>
  <c r="Q30" i="30"/>
  <c r="R30" i="30"/>
  <c r="S30" i="30"/>
  <c r="T30" i="30"/>
  <c r="U30" i="30"/>
  <c r="V30" i="30"/>
  <c r="W30" i="30"/>
  <c r="X30" i="30"/>
  <c r="Y30" i="30"/>
  <c r="Z30" i="30"/>
  <c r="AA30" i="30"/>
  <c r="AB30" i="30"/>
  <c r="AC30" i="30"/>
  <c r="AD30" i="30"/>
  <c r="AE30" i="30"/>
  <c r="AF30" i="30"/>
  <c r="AG30" i="30"/>
  <c r="AH30" i="30"/>
  <c r="AI30" i="30"/>
  <c r="AJ30" i="30"/>
  <c r="AK30" i="30"/>
  <c r="C31" i="30"/>
  <c r="D31" i="30"/>
  <c r="E31" i="30"/>
  <c r="F31" i="30"/>
  <c r="G31" i="30"/>
  <c r="H31" i="30"/>
  <c r="I31" i="30"/>
  <c r="J31" i="30"/>
  <c r="K31" i="30"/>
  <c r="L31" i="30"/>
  <c r="M31" i="30"/>
  <c r="N31" i="30"/>
  <c r="O31" i="30"/>
  <c r="P31" i="30"/>
  <c r="Q31" i="30"/>
  <c r="R31" i="30"/>
  <c r="S31" i="30"/>
  <c r="T31" i="30"/>
  <c r="U31" i="30"/>
  <c r="V31" i="30"/>
  <c r="W31" i="30"/>
  <c r="X31" i="30"/>
  <c r="Y31" i="30"/>
  <c r="Z31" i="30"/>
  <c r="AA31" i="30"/>
  <c r="AB31" i="30"/>
  <c r="AC31" i="30"/>
  <c r="AD31" i="30"/>
  <c r="AE31" i="30"/>
  <c r="AF31" i="30"/>
  <c r="AG31" i="30"/>
  <c r="AH31" i="30"/>
  <c r="AI31" i="30"/>
  <c r="AJ31" i="30"/>
  <c r="AK31" i="30"/>
  <c r="C33" i="30"/>
  <c r="D33" i="30"/>
  <c r="E33" i="30"/>
  <c r="F33" i="30"/>
  <c r="G33" i="30"/>
  <c r="H33" i="30"/>
  <c r="I33" i="30"/>
  <c r="J33" i="30"/>
  <c r="K33" i="30"/>
  <c r="L33" i="30"/>
  <c r="M33" i="30"/>
  <c r="N33" i="30"/>
  <c r="O33" i="30"/>
  <c r="P33" i="30"/>
  <c r="Q33" i="30"/>
  <c r="R33" i="30"/>
  <c r="S33" i="30"/>
  <c r="T33" i="30"/>
  <c r="U33" i="30"/>
  <c r="V33" i="30"/>
  <c r="W33" i="30"/>
  <c r="X33" i="30"/>
  <c r="Y33" i="30"/>
  <c r="Z33" i="30"/>
  <c r="AA33" i="30"/>
  <c r="AB33" i="30"/>
  <c r="AC33" i="30"/>
  <c r="AD33" i="30"/>
  <c r="AE33" i="30"/>
  <c r="AF33" i="30"/>
  <c r="AG33" i="30"/>
  <c r="AH33" i="30"/>
  <c r="AI33" i="30"/>
  <c r="AJ33" i="30"/>
  <c r="AK33" i="30"/>
  <c r="C34" i="30"/>
  <c r="D34" i="30"/>
  <c r="E34" i="30"/>
  <c r="F34" i="30"/>
  <c r="G34" i="30"/>
  <c r="H34" i="30"/>
  <c r="I34" i="30"/>
  <c r="J34" i="30"/>
  <c r="K34" i="30"/>
  <c r="L34" i="30"/>
  <c r="M34" i="30"/>
  <c r="N34" i="30"/>
  <c r="O34" i="30"/>
  <c r="P34" i="30"/>
  <c r="Q34" i="30"/>
  <c r="R34" i="30"/>
  <c r="S34" i="30"/>
  <c r="T34" i="30"/>
  <c r="U34" i="30"/>
  <c r="V34" i="30"/>
  <c r="W34" i="30"/>
  <c r="X34" i="30"/>
  <c r="Y34" i="30"/>
  <c r="Z34" i="30"/>
  <c r="AA34" i="30"/>
  <c r="AB34" i="30"/>
  <c r="AC34" i="30"/>
  <c r="AD34" i="30"/>
  <c r="AE34" i="30"/>
  <c r="AF34" i="30"/>
  <c r="AG34" i="30"/>
  <c r="AH34" i="30"/>
  <c r="AI34" i="30"/>
  <c r="AJ34" i="30"/>
  <c r="AK34" i="30"/>
  <c r="C35" i="30"/>
  <c r="D35" i="30"/>
  <c r="E35" i="30"/>
  <c r="F35" i="30"/>
  <c r="G35" i="30"/>
  <c r="H35" i="30"/>
  <c r="I35" i="30"/>
  <c r="J35" i="30"/>
  <c r="K35" i="30"/>
  <c r="L35" i="30"/>
  <c r="M35" i="30"/>
  <c r="N35" i="30"/>
  <c r="O35" i="30"/>
  <c r="P35" i="30"/>
  <c r="Q35" i="30"/>
  <c r="R35" i="30"/>
  <c r="S35" i="30"/>
  <c r="T35" i="30"/>
  <c r="U35" i="30"/>
  <c r="V35" i="30"/>
  <c r="W35" i="30"/>
  <c r="X35" i="30"/>
  <c r="Y35" i="30"/>
  <c r="Z35" i="30"/>
  <c r="AA35" i="30"/>
  <c r="AB35" i="30"/>
  <c r="AC35" i="30"/>
  <c r="AD35" i="30"/>
  <c r="AE35" i="30"/>
  <c r="AF35" i="30"/>
  <c r="AG35" i="30"/>
  <c r="AH35" i="30"/>
  <c r="AI35" i="30"/>
  <c r="AJ35" i="30"/>
  <c r="AK35" i="30"/>
  <c r="C40" i="30"/>
  <c r="D40" i="30"/>
  <c r="E40" i="30"/>
  <c r="F40" i="30"/>
  <c r="G40" i="30"/>
  <c r="H40" i="30"/>
  <c r="I40" i="30"/>
  <c r="J40" i="30"/>
  <c r="K40" i="30"/>
  <c r="L40" i="30"/>
  <c r="M40" i="30"/>
  <c r="N40" i="30"/>
  <c r="O40" i="30"/>
  <c r="P40" i="30"/>
  <c r="Q40" i="30"/>
  <c r="R40" i="30"/>
  <c r="S40" i="30"/>
  <c r="T40" i="30"/>
  <c r="U40" i="30"/>
  <c r="V40" i="30"/>
  <c r="W40" i="30"/>
  <c r="X40" i="30"/>
  <c r="Y40" i="30"/>
  <c r="Z40" i="30"/>
  <c r="AA40" i="30"/>
  <c r="AB40" i="30"/>
  <c r="AC40" i="30"/>
  <c r="AD40" i="30"/>
  <c r="AE40" i="30"/>
  <c r="AF40" i="30"/>
  <c r="AG40" i="30"/>
  <c r="AH40" i="30"/>
  <c r="AI40" i="30"/>
  <c r="AJ40" i="30"/>
  <c r="AK40" i="30"/>
  <c r="C41" i="30"/>
  <c r="D41" i="30"/>
  <c r="E41" i="30"/>
  <c r="F41" i="30"/>
  <c r="G41" i="30"/>
  <c r="H41" i="30"/>
  <c r="I41" i="30"/>
  <c r="J41" i="30"/>
  <c r="K41" i="30"/>
  <c r="L41" i="30"/>
  <c r="M41" i="30"/>
  <c r="N41" i="30"/>
  <c r="O41" i="30"/>
  <c r="P41" i="30"/>
  <c r="Q41" i="30"/>
  <c r="R41" i="30"/>
  <c r="S41" i="30"/>
  <c r="T41" i="30"/>
  <c r="U41" i="30"/>
  <c r="V41" i="30"/>
  <c r="W41" i="30"/>
  <c r="X41" i="30"/>
  <c r="Y41" i="30"/>
  <c r="Z41" i="30"/>
  <c r="AA41" i="30"/>
  <c r="AB41" i="30"/>
  <c r="AC41" i="30"/>
  <c r="AD41" i="30"/>
  <c r="AE41" i="30"/>
  <c r="AF41" i="30"/>
  <c r="AG41" i="30"/>
  <c r="AH41" i="30"/>
  <c r="AI41" i="30"/>
  <c r="AJ41" i="30"/>
  <c r="AK41" i="30"/>
  <c r="C42" i="30"/>
  <c r="D42" i="30"/>
  <c r="E42" i="30"/>
  <c r="F42" i="30"/>
  <c r="G42" i="30"/>
  <c r="H42" i="30"/>
  <c r="I42" i="30"/>
  <c r="J42" i="30"/>
  <c r="K42" i="30"/>
  <c r="L42" i="30"/>
  <c r="M42" i="30"/>
  <c r="N42" i="30"/>
  <c r="O42" i="30"/>
  <c r="P42" i="30"/>
  <c r="Q42" i="30"/>
  <c r="R42" i="30"/>
  <c r="S42" i="30"/>
  <c r="T42" i="30"/>
  <c r="U42" i="30"/>
  <c r="V42" i="30"/>
  <c r="W42" i="30"/>
  <c r="X42" i="30"/>
  <c r="Y42" i="30"/>
  <c r="Z42" i="30"/>
  <c r="AA42" i="30"/>
  <c r="AB42" i="30"/>
  <c r="AC42" i="30"/>
  <c r="AD42" i="30"/>
  <c r="AE42" i="30"/>
  <c r="AF42" i="30"/>
  <c r="AG42" i="30"/>
  <c r="AH42" i="30"/>
  <c r="AI42" i="30"/>
  <c r="AJ42" i="30"/>
  <c r="AK42" i="30"/>
  <c r="C43" i="30"/>
  <c r="D43" i="30"/>
  <c r="E43" i="30"/>
  <c r="F43" i="30"/>
  <c r="G43" i="30"/>
  <c r="H43" i="30"/>
  <c r="I43" i="30"/>
  <c r="J43" i="30"/>
  <c r="K43" i="30"/>
  <c r="L43" i="30"/>
  <c r="M43" i="30"/>
  <c r="N43" i="30"/>
  <c r="O43" i="30"/>
  <c r="P43" i="30"/>
  <c r="Q43" i="30"/>
  <c r="R43" i="30"/>
  <c r="S43" i="30"/>
  <c r="T43" i="30"/>
  <c r="U43" i="30"/>
  <c r="V43" i="30"/>
  <c r="W43" i="30"/>
  <c r="X43" i="30"/>
  <c r="Y43" i="30"/>
  <c r="Z43" i="30"/>
  <c r="AA43" i="30"/>
  <c r="AB43" i="30"/>
  <c r="AC43" i="30"/>
  <c r="AD43" i="30"/>
  <c r="AE43" i="30"/>
  <c r="AF43" i="30"/>
  <c r="AG43" i="30"/>
  <c r="AH43" i="30"/>
  <c r="AI43" i="30"/>
  <c r="AJ43" i="30"/>
  <c r="AK43"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AH76" i="30"/>
  <c r="AI76" i="30"/>
  <c r="AJ76" i="30"/>
  <c r="AK76" i="30"/>
  <c r="C77"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AG77" i="30"/>
  <c r="AH77" i="30"/>
  <c r="AI77" i="30"/>
  <c r="AJ77" i="30"/>
  <c r="AK77" i="30"/>
  <c r="C78"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AG78" i="30"/>
  <c r="AH78" i="30"/>
  <c r="AI78" i="30"/>
  <c r="AJ78" i="30"/>
  <c r="AK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AH79" i="30"/>
  <c r="AI79" i="30"/>
  <c r="AJ79" i="30"/>
  <c r="AK79" i="30"/>
  <c r="C80"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AG80" i="30"/>
  <c r="AH80" i="30"/>
  <c r="AI80" i="30"/>
  <c r="AJ80" i="30"/>
  <c r="AK80" i="30"/>
  <c r="C81"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AG81" i="30"/>
  <c r="AH81" i="30"/>
  <c r="AI81" i="30"/>
  <c r="AJ81" i="30"/>
  <c r="AK81" i="30"/>
  <c r="C82"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AG82" i="30"/>
  <c r="AH82" i="30"/>
  <c r="AI82" i="30"/>
  <c r="AJ82" i="30"/>
  <c r="AK82" i="30"/>
  <c r="C83"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AH83" i="30"/>
  <c r="AI83" i="30"/>
  <c r="AJ83" i="30"/>
  <c r="AK83" i="30"/>
  <c r="C84"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AH84" i="30"/>
  <c r="AI84" i="30"/>
  <c r="AJ84" i="30"/>
  <c r="AK84" i="30"/>
  <c r="C85" i="30"/>
  <c r="D85" i="30"/>
  <c r="E85" i="30"/>
  <c r="F85" i="30"/>
  <c r="G85" i="30"/>
  <c r="H85" i="30"/>
  <c r="I85" i="30"/>
  <c r="J85" i="30"/>
  <c r="K85" i="30"/>
  <c r="L85" i="30"/>
  <c r="M85" i="30"/>
  <c r="N85" i="30"/>
  <c r="O85" i="30"/>
  <c r="P85" i="30"/>
  <c r="Q85" i="30"/>
  <c r="R85" i="30"/>
  <c r="S85" i="30"/>
  <c r="T85" i="30"/>
  <c r="U85" i="30"/>
  <c r="V85" i="30"/>
  <c r="W85" i="30"/>
  <c r="X85" i="30"/>
  <c r="Y85" i="30"/>
  <c r="Z85" i="30"/>
  <c r="AA85" i="30"/>
  <c r="AB85" i="30"/>
  <c r="AC85" i="30"/>
  <c r="AD85" i="30"/>
  <c r="AE85" i="30"/>
  <c r="AF85" i="30"/>
  <c r="AG85" i="30"/>
  <c r="AH85" i="30"/>
  <c r="AI85" i="30"/>
  <c r="AJ85" i="30"/>
  <c r="AK85" i="30"/>
  <c r="C61" i="30"/>
  <c r="D61" i="30"/>
  <c r="E61" i="30"/>
  <c r="F61" i="30"/>
  <c r="G61" i="30"/>
  <c r="H61" i="30"/>
  <c r="I61" i="30"/>
  <c r="J61" i="30"/>
  <c r="K61" i="30"/>
  <c r="L61" i="30"/>
  <c r="M61" i="30"/>
  <c r="N61" i="30"/>
  <c r="O61" i="30"/>
  <c r="P61" i="30"/>
  <c r="Q61" i="30"/>
  <c r="R61" i="30"/>
  <c r="S61" i="30"/>
  <c r="T61" i="30"/>
  <c r="U61" i="30"/>
  <c r="V61" i="30"/>
  <c r="W61" i="30"/>
  <c r="X61" i="30"/>
  <c r="Y61" i="30"/>
  <c r="Z61" i="30"/>
  <c r="AA61" i="30"/>
  <c r="AB61" i="30"/>
  <c r="AC61" i="30"/>
  <c r="AD61" i="30"/>
  <c r="AE61" i="30"/>
  <c r="AF61" i="30"/>
  <c r="AG61" i="30"/>
  <c r="AH61" i="30"/>
  <c r="AI61" i="30"/>
  <c r="AJ61" i="30"/>
  <c r="AK61" i="30"/>
  <c r="C62" i="30"/>
  <c r="D62" i="30"/>
  <c r="E62" i="30"/>
  <c r="F62" i="30"/>
  <c r="G62" i="30"/>
  <c r="H62" i="30"/>
  <c r="I62" i="30"/>
  <c r="J62" i="30"/>
  <c r="K62" i="30"/>
  <c r="L62" i="30"/>
  <c r="M62" i="30"/>
  <c r="N62" i="30"/>
  <c r="O62" i="30"/>
  <c r="P62" i="30"/>
  <c r="Q62" i="30"/>
  <c r="R62" i="30"/>
  <c r="S62" i="30"/>
  <c r="T62" i="30"/>
  <c r="U62" i="30"/>
  <c r="V62" i="30"/>
  <c r="W62" i="30"/>
  <c r="X62" i="30"/>
  <c r="Y62" i="30"/>
  <c r="Z62" i="30"/>
  <c r="AA62" i="30"/>
  <c r="AB62" i="30"/>
  <c r="AC62" i="30"/>
  <c r="AD62" i="30"/>
  <c r="AE62" i="30"/>
  <c r="AF62" i="30"/>
  <c r="AG62" i="30"/>
  <c r="AH62" i="30"/>
  <c r="AI62" i="30"/>
  <c r="AJ62" i="30"/>
  <c r="AK62" i="30"/>
  <c r="C63" i="30"/>
  <c r="D63" i="30"/>
  <c r="E63" i="30"/>
  <c r="F63" i="30"/>
  <c r="G63" i="30"/>
  <c r="H63" i="30"/>
  <c r="I63" i="30"/>
  <c r="J63" i="30"/>
  <c r="K63" i="30"/>
  <c r="L63" i="30"/>
  <c r="M63" i="30"/>
  <c r="N63" i="30"/>
  <c r="O63" i="30"/>
  <c r="P63" i="30"/>
  <c r="Q63" i="30"/>
  <c r="R63" i="30"/>
  <c r="S63" i="30"/>
  <c r="T63" i="30"/>
  <c r="U63" i="30"/>
  <c r="V63" i="30"/>
  <c r="W63" i="30"/>
  <c r="X63" i="30"/>
  <c r="Y63" i="30"/>
  <c r="Z63" i="30"/>
  <c r="AA63" i="30"/>
  <c r="AB63" i="30"/>
  <c r="AC63" i="30"/>
  <c r="AD63" i="30"/>
  <c r="AE63" i="30"/>
  <c r="AF63" i="30"/>
  <c r="AG63" i="30"/>
  <c r="AH63" i="30"/>
  <c r="AI63" i="30"/>
  <c r="AJ63" i="30"/>
  <c r="AK63" i="30"/>
  <c r="C64" i="30"/>
  <c r="D64" i="30"/>
  <c r="E64" i="30"/>
  <c r="F64" i="30"/>
  <c r="G64" i="30"/>
  <c r="H64" i="30"/>
  <c r="I64" i="30"/>
  <c r="J64" i="30"/>
  <c r="K64" i="30"/>
  <c r="L64" i="30"/>
  <c r="M64" i="30"/>
  <c r="N64" i="30"/>
  <c r="O64" i="30"/>
  <c r="P64" i="30"/>
  <c r="Q64" i="30"/>
  <c r="R64" i="30"/>
  <c r="S64" i="30"/>
  <c r="T64" i="30"/>
  <c r="U64" i="30"/>
  <c r="V64" i="30"/>
  <c r="W64" i="30"/>
  <c r="X64" i="30"/>
  <c r="Y64" i="30"/>
  <c r="Z64" i="30"/>
  <c r="AA64" i="30"/>
  <c r="AB64" i="30"/>
  <c r="AC64" i="30"/>
  <c r="AD64" i="30"/>
  <c r="AE64" i="30"/>
  <c r="AF64" i="30"/>
  <c r="AG64" i="30"/>
  <c r="AH64" i="30"/>
  <c r="AI64" i="30"/>
  <c r="AJ64" i="30"/>
  <c r="AK64" i="30"/>
  <c r="C65" i="30"/>
  <c r="D65" i="30"/>
  <c r="E65" i="30"/>
  <c r="F65" i="30"/>
  <c r="G65" i="30"/>
  <c r="H65" i="30"/>
  <c r="I65" i="30"/>
  <c r="J65" i="30"/>
  <c r="K65" i="30"/>
  <c r="L65" i="30"/>
  <c r="M65" i="30"/>
  <c r="N65" i="30"/>
  <c r="O65" i="30"/>
  <c r="P65" i="30"/>
  <c r="Q65" i="30"/>
  <c r="R65" i="30"/>
  <c r="S65" i="30"/>
  <c r="T65" i="30"/>
  <c r="U65" i="30"/>
  <c r="V65" i="30"/>
  <c r="W65" i="30"/>
  <c r="X65" i="30"/>
  <c r="Y65" i="30"/>
  <c r="Z65" i="30"/>
  <c r="AA65" i="30"/>
  <c r="AB65" i="30"/>
  <c r="AC65" i="30"/>
  <c r="AD65" i="30"/>
  <c r="AE65" i="30"/>
  <c r="AF65" i="30"/>
  <c r="AG65" i="30"/>
  <c r="AH65" i="30"/>
  <c r="AI65" i="30"/>
  <c r="AJ65" i="30"/>
  <c r="AK65" i="30"/>
  <c r="C66" i="30"/>
  <c r="D66" i="30"/>
  <c r="E66" i="30"/>
  <c r="F66" i="30"/>
  <c r="G66" i="30"/>
  <c r="H66" i="30"/>
  <c r="I66" i="30"/>
  <c r="J66" i="30"/>
  <c r="K66" i="30"/>
  <c r="L66" i="30"/>
  <c r="M66" i="30"/>
  <c r="N66" i="30"/>
  <c r="O66" i="30"/>
  <c r="P66" i="30"/>
  <c r="Q66" i="30"/>
  <c r="R66" i="30"/>
  <c r="S66" i="30"/>
  <c r="T66" i="30"/>
  <c r="U66" i="30"/>
  <c r="V66" i="30"/>
  <c r="W66" i="30"/>
  <c r="X66" i="30"/>
  <c r="Y66" i="30"/>
  <c r="Z66" i="30"/>
  <c r="AA66" i="30"/>
  <c r="AB66" i="30"/>
  <c r="AC66" i="30"/>
  <c r="AD66" i="30"/>
  <c r="AE66" i="30"/>
  <c r="AF66" i="30"/>
  <c r="AG66" i="30"/>
  <c r="AH66" i="30"/>
  <c r="AI66" i="30"/>
  <c r="AJ66" i="30"/>
  <c r="AK66" i="30"/>
  <c r="C67" i="30"/>
  <c r="D67" i="30"/>
  <c r="E67" i="30"/>
  <c r="F67" i="30"/>
  <c r="G67" i="30"/>
  <c r="H67" i="30"/>
  <c r="I67" i="30"/>
  <c r="J67" i="30"/>
  <c r="K67" i="30"/>
  <c r="L67" i="30"/>
  <c r="M67" i="30"/>
  <c r="N67" i="30"/>
  <c r="O67" i="30"/>
  <c r="P67" i="30"/>
  <c r="Q67" i="30"/>
  <c r="R67" i="30"/>
  <c r="S67" i="30"/>
  <c r="T67" i="30"/>
  <c r="U67" i="30"/>
  <c r="V67" i="30"/>
  <c r="W67" i="30"/>
  <c r="X67" i="30"/>
  <c r="Y67" i="30"/>
  <c r="Z67" i="30"/>
  <c r="AA67" i="30"/>
  <c r="AB67" i="30"/>
  <c r="AC67" i="30"/>
  <c r="AD67" i="30"/>
  <c r="AE67" i="30"/>
  <c r="AF67" i="30"/>
  <c r="AG67" i="30"/>
  <c r="AH67" i="30"/>
  <c r="AI67" i="30"/>
  <c r="AJ67" i="30"/>
  <c r="AK67" i="30"/>
  <c r="C68" i="30"/>
  <c r="D68" i="30"/>
  <c r="E68" i="30"/>
  <c r="F68" i="30"/>
  <c r="G68" i="30"/>
  <c r="H68" i="30"/>
  <c r="I68" i="30"/>
  <c r="J68" i="30"/>
  <c r="K68" i="30"/>
  <c r="L68" i="30"/>
  <c r="M68" i="30"/>
  <c r="N68" i="30"/>
  <c r="O68" i="30"/>
  <c r="P68" i="30"/>
  <c r="Q68" i="30"/>
  <c r="R68" i="30"/>
  <c r="S68" i="30"/>
  <c r="T68" i="30"/>
  <c r="U68" i="30"/>
  <c r="V68" i="30"/>
  <c r="W68" i="30"/>
  <c r="X68" i="30"/>
  <c r="Y68" i="30"/>
  <c r="Z68" i="30"/>
  <c r="AA68" i="30"/>
  <c r="AB68" i="30"/>
  <c r="AC68" i="30"/>
  <c r="AD68" i="30"/>
  <c r="AE68" i="30"/>
  <c r="AF68" i="30"/>
  <c r="AG68" i="30"/>
  <c r="AH68" i="30"/>
  <c r="AI68" i="30"/>
  <c r="AJ68" i="30"/>
  <c r="AK68" i="30"/>
  <c r="C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AG69" i="30"/>
  <c r="AH69" i="30"/>
  <c r="AI69" i="30"/>
  <c r="AJ69" i="30"/>
  <c r="AK69" i="30"/>
  <c r="C48" i="30"/>
  <c r="D48" i="30"/>
  <c r="E48" i="30"/>
  <c r="F48" i="30"/>
  <c r="G48" i="30"/>
  <c r="H48" i="30"/>
  <c r="I48" i="30"/>
  <c r="J48" i="30"/>
  <c r="K48" i="30"/>
  <c r="L48" i="30"/>
  <c r="M48" i="30"/>
  <c r="N48" i="30"/>
  <c r="O48" i="30"/>
  <c r="P48" i="30"/>
  <c r="Q48" i="30"/>
  <c r="R48" i="30"/>
  <c r="S48" i="30"/>
  <c r="T48" i="30"/>
  <c r="U48" i="30"/>
  <c r="V48" i="30"/>
  <c r="W48" i="30"/>
  <c r="X48" i="30"/>
  <c r="Y48" i="30"/>
  <c r="Z48" i="30"/>
  <c r="AA48" i="30"/>
  <c r="AB48" i="30"/>
  <c r="AC48" i="30"/>
  <c r="AD48" i="30"/>
  <c r="AE48" i="30"/>
  <c r="AF48" i="30"/>
  <c r="AG48" i="30"/>
  <c r="AH48" i="30"/>
  <c r="AI48" i="30"/>
  <c r="AJ48" i="30"/>
  <c r="AK48" i="30"/>
  <c r="C49" i="30"/>
  <c r="D49" i="30"/>
  <c r="E49" i="30"/>
  <c r="F49" i="30"/>
  <c r="G49" i="30"/>
  <c r="H49" i="30"/>
  <c r="I49" i="30"/>
  <c r="J49" i="30"/>
  <c r="K49" i="30"/>
  <c r="L49" i="30"/>
  <c r="M49" i="30"/>
  <c r="N49" i="30"/>
  <c r="O49" i="30"/>
  <c r="P49" i="30"/>
  <c r="Q49" i="30"/>
  <c r="R49" i="30"/>
  <c r="S49" i="30"/>
  <c r="T49" i="30"/>
  <c r="U49" i="30"/>
  <c r="V49" i="30"/>
  <c r="W49" i="30"/>
  <c r="X49" i="30"/>
  <c r="Y49" i="30"/>
  <c r="Z49" i="30"/>
  <c r="AA49" i="30"/>
  <c r="AB49" i="30"/>
  <c r="AC49" i="30"/>
  <c r="AD49" i="30"/>
  <c r="AE49" i="30"/>
  <c r="AF49" i="30"/>
  <c r="AG49" i="30"/>
  <c r="AH49" i="30"/>
  <c r="AI49" i="30"/>
  <c r="AJ49" i="30"/>
  <c r="AK49" i="30"/>
  <c r="C50" i="30"/>
  <c r="D50" i="30"/>
  <c r="E50" i="30"/>
  <c r="F50" i="30"/>
  <c r="G50" i="30"/>
  <c r="H50" i="30"/>
  <c r="I50" i="30"/>
  <c r="J50" i="30"/>
  <c r="K50" i="30"/>
  <c r="L50" i="30"/>
  <c r="M50" i="30"/>
  <c r="N50" i="30"/>
  <c r="O50" i="30"/>
  <c r="P50" i="30"/>
  <c r="Q50" i="30"/>
  <c r="R50" i="30"/>
  <c r="S50" i="30"/>
  <c r="T50" i="30"/>
  <c r="U50" i="30"/>
  <c r="V50" i="30"/>
  <c r="W50" i="30"/>
  <c r="X50" i="30"/>
  <c r="Y50" i="30"/>
  <c r="Z50" i="30"/>
  <c r="AA50" i="30"/>
  <c r="AB50" i="30"/>
  <c r="AC50" i="30"/>
  <c r="AD50" i="30"/>
  <c r="AE50" i="30"/>
  <c r="AF50" i="30"/>
  <c r="AG50" i="30"/>
  <c r="AH50" i="30"/>
  <c r="AI50" i="30"/>
  <c r="AJ50" i="30"/>
  <c r="AK50" i="30"/>
  <c r="C51" i="30"/>
  <c r="D51" i="30"/>
  <c r="E51" i="30"/>
  <c r="F51" i="30"/>
  <c r="G51" i="30"/>
  <c r="H51" i="30"/>
  <c r="I51" i="30"/>
  <c r="J51" i="30"/>
  <c r="K51" i="30"/>
  <c r="L51" i="30"/>
  <c r="M51" i="30"/>
  <c r="N51" i="30"/>
  <c r="O51" i="30"/>
  <c r="P51" i="30"/>
  <c r="Q51" i="30"/>
  <c r="R51" i="30"/>
  <c r="S51" i="30"/>
  <c r="T51" i="30"/>
  <c r="U51" i="30"/>
  <c r="V51" i="30"/>
  <c r="W51" i="30"/>
  <c r="X51" i="30"/>
  <c r="Y51" i="30"/>
  <c r="Z51" i="30"/>
  <c r="AA51" i="30"/>
  <c r="AB51" i="30"/>
  <c r="AC51" i="30"/>
  <c r="AD51" i="30"/>
  <c r="AE51" i="30"/>
  <c r="AF51" i="30"/>
  <c r="AG51" i="30"/>
  <c r="AH51" i="30"/>
  <c r="AI51" i="30"/>
  <c r="AJ51" i="30"/>
  <c r="AK51" i="30"/>
  <c r="C52" i="30"/>
  <c r="D52" i="30"/>
  <c r="E52" i="30"/>
  <c r="F52" i="30"/>
  <c r="G52" i="30"/>
  <c r="H52" i="30"/>
  <c r="I52" i="30"/>
  <c r="J52" i="30"/>
  <c r="K52" i="30"/>
  <c r="L52" i="30"/>
  <c r="M52" i="30"/>
  <c r="N52" i="30"/>
  <c r="O52" i="30"/>
  <c r="P52" i="30"/>
  <c r="Q52" i="30"/>
  <c r="R52" i="30"/>
  <c r="S52" i="30"/>
  <c r="T52" i="30"/>
  <c r="U52" i="30"/>
  <c r="V52" i="30"/>
  <c r="W52" i="30"/>
  <c r="X52" i="30"/>
  <c r="Y52" i="30"/>
  <c r="Z52" i="30"/>
  <c r="AA52" i="30"/>
  <c r="AB52" i="30"/>
  <c r="AC52" i="30"/>
  <c r="AD52" i="30"/>
  <c r="AE52" i="30"/>
  <c r="AF52" i="30"/>
  <c r="AG52" i="30"/>
  <c r="AH52" i="30"/>
  <c r="AI52" i="30"/>
  <c r="AJ52" i="30"/>
  <c r="AK52" i="30"/>
  <c r="C53" i="30"/>
  <c r="D53" i="30"/>
  <c r="E53" i="30"/>
  <c r="F53" i="30"/>
  <c r="G53" i="30"/>
  <c r="H53" i="30"/>
  <c r="I53" i="30"/>
  <c r="J53" i="30"/>
  <c r="K53" i="30"/>
  <c r="L53" i="30"/>
  <c r="M53" i="30"/>
  <c r="N53" i="30"/>
  <c r="O53" i="30"/>
  <c r="P53" i="30"/>
  <c r="Q53" i="30"/>
  <c r="R53" i="30"/>
  <c r="S53" i="30"/>
  <c r="T53" i="30"/>
  <c r="U53" i="30"/>
  <c r="V53" i="30"/>
  <c r="W53" i="30"/>
  <c r="X53" i="30"/>
  <c r="Y53" i="30"/>
  <c r="Z53" i="30"/>
  <c r="AA53" i="30"/>
  <c r="AB53" i="30"/>
  <c r="AC53" i="30"/>
  <c r="AD53" i="30"/>
  <c r="AE53" i="30"/>
  <c r="AF53" i="30"/>
  <c r="AG53" i="30"/>
  <c r="AH53" i="30"/>
  <c r="AI53" i="30"/>
  <c r="AJ53" i="30"/>
  <c r="AK53" i="30"/>
  <c r="C56" i="30"/>
  <c r="D56" i="30"/>
  <c r="E56" i="30"/>
  <c r="F56" i="30"/>
  <c r="G56" i="30"/>
  <c r="H56" i="30"/>
  <c r="I56" i="30"/>
  <c r="J56" i="30"/>
  <c r="K56" i="30"/>
  <c r="L56" i="30"/>
  <c r="M56" i="30"/>
  <c r="N56" i="30"/>
  <c r="O56" i="30"/>
  <c r="P56" i="30"/>
  <c r="Q56" i="30"/>
  <c r="R56" i="30"/>
  <c r="S56" i="30"/>
  <c r="T56" i="30"/>
  <c r="U56" i="30"/>
  <c r="V56" i="30"/>
  <c r="W56" i="30"/>
  <c r="X56" i="30"/>
  <c r="Y56" i="30"/>
  <c r="Z56" i="30"/>
  <c r="AA56" i="30"/>
  <c r="AB56" i="30"/>
  <c r="AC56" i="30"/>
  <c r="AD56" i="30"/>
  <c r="AE56" i="30"/>
  <c r="AF56" i="30"/>
  <c r="AG56" i="30"/>
  <c r="AH56" i="30"/>
  <c r="AI56" i="30"/>
  <c r="AJ56" i="30"/>
  <c r="AK56" i="30"/>
  <c r="B156" i="20"/>
  <c r="B157" i="20"/>
  <c r="B148" i="20"/>
  <c r="B123" i="20"/>
  <c r="B44" i="20"/>
  <c r="B33" i="18"/>
  <c r="B32" i="18"/>
  <c r="B31" i="18"/>
  <c r="B30" i="18"/>
  <c r="B29" i="18"/>
  <c r="D16" i="19"/>
  <c r="E16" i="19"/>
  <c r="F16" i="19"/>
  <c r="G16" i="19"/>
  <c r="H16" i="19"/>
  <c r="I16" i="19"/>
  <c r="J16" i="19"/>
  <c r="K16" i="19"/>
  <c r="L16" i="19"/>
  <c r="M16" i="19"/>
  <c r="N16" i="19"/>
  <c r="O16" i="19"/>
  <c r="P16" i="19"/>
  <c r="Q16" i="19"/>
  <c r="R16" i="19"/>
  <c r="S16" i="19"/>
  <c r="T16" i="19"/>
  <c r="U16" i="19"/>
  <c r="V16" i="19"/>
  <c r="W16" i="19"/>
  <c r="X16" i="19"/>
  <c r="Y16" i="19"/>
  <c r="Z16" i="19"/>
  <c r="AA16" i="19"/>
  <c r="AB16" i="19"/>
  <c r="AC16" i="19"/>
  <c r="AD16" i="19"/>
  <c r="AE16" i="19"/>
  <c r="AF16" i="19"/>
  <c r="AG16" i="19"/>
  <c r="AH16" i="19"/>
  <c r="AI16" i="19"/>
  <c r="AJ16" i="19"/>
  <c r="AK16" i="19"/>
  <c r="C16" i="19"/>
  <c r="B16" i="19"/>
  <c r="B82" i="28"/>
  <c r="B56" i="30"/>
  <c r="B53" i="30"/>
  <c r="B52" i="30"/>
  <c r="B22" i="28"/>
  <c r="B17" i="28"/>
  <c r="N3" i="43"/>
  <c r="O3" i="43"/>
  <c r="P3" i="43"/>
  <c r="Q3" i="43"/>
  <c r="R3" i="43"/>
  <c r="S3" i="43"/>
  <c r="T3" i="43"/>
  <c r="U3" i="43"/>
  <c r="V3" i="43"/>
  <c r="W3" i="43"/>
  <c r="X3" i="43"/>
  <c r="Y3" i="43"/>
  <c r="Z3" i="43"/>
  <c r="AA3" i="43"/>
  <c r="AB3" i="43"/>
  <c r="AC3" i="43"/>
  <c r="AD3" i="43"/>
  <c r="AE3" i="43"/>
  <c r="AF3" i="43"/>
  <c r="AG3" i="43"/>
  <c r="AH3" i="43"/>
  <c r="AI3" i="43"/>
  <c r="AJ3" i="43"/>
  <c r="AK3" i="43"/>
  <c r="AL3" i="43"/>
  <c r="AM3" i="43"/>
  <c r="AN3" i="43"/>
  <c r="AO3" i="43"/>
  <c r="AP3" i="43"/>
  <c r="AQ3" i="43"/>
  <c r="AR3" i="43"/>
  <c r="AS3" i="43"/>
  <c r="AT3" i="43"/>
  <c r="AU3" i="43"/>
  <c r="AV3" i="43"/>
  <c r="N4" i="43"/>
  <c r="O4" i="43"/>
  <c r="P4" i="43"/>
  <c r="Q4" i="43"/>
  <c r="R4" i="43"/>
  <c r="S4" i="43"/>
  <c r="T4" i="43"/>
  <c r="U4" i="43"/>
  <c r="V4" i="43"/>
  <c r="W4" i="43"/>
  <c r="X4" i="43"/>
  <c r="Y4" i="43"/>
  <c r="Z4" i="43"/>
  <c r="AA4" i="43"/>
  <c r="AB4" i="43"/>
  <c r="AC4" i="43"/>
  <c r="AD4" i="43"/>
  <c r="AE4" i="43"/>
  <c r="AF4" i="43"/>
  <c r="AG4" i="43"/>
  <c r="AH4" i="43"/>
  <c r="AI4" i="43"/>
  <c r="AJ4" i="43"/>
  <c r="AK4" i="43"/>
  <c r="AL4" i="43"/>
  <c r="AM4" i="43"/>
  <c r="AN4" i="43"/>
  <c r="AO4" i="43"/>
  <c r="AP4" i="43"/>
  <c r="AQ4" i="43"/>
  <c r="AR4" i="43"/>
  <c r="AS4" i="43"/>
  <c r="AT4" i="43"/>
  <c r="AU4" i="43"/>
  <c r="AV4" i="43"/>
  <c r="N5" i="43"/>
  <c r="O5" i="43"/>
  <c r="P5" i="43"/>
  <c r="Q5" i="43"/>
  <c r="R5" i="43"/>
  <c r="S5" i="43"/>
  <c r="T5" i="43"/>
  <c r="U5" i="43"/>
  <c r="V5" i="43"/>
  <c r="W5" i="43"/>
  <c r="X5" i="43"/>
  <c r="Y5" i="43"/>
  <c r="Z5" i="43"/>
  <c r="AA5" i="43"/>
  <c r="AB5" i="43"/>
  <c r="AC5" i="43"/>
  <c r="AD5" i="43"/>
  <c r="AE5" i="43"/>
  <c r="AF5" i="43"/>
  <c r="AG5" i="43"/>
  <c r="AH5" i="43"/>
  <c r="AI5" i="43"/>
  <c r="AJ5" i="43"/>
  <c r="AK5" i="43"/>
  <c r="AL5" i="43"/>
  <c r="AM5" i="43"/>
  <c r="AN5" i="43"/>
  <c r="AO5" i="43"/>
  <c r="AP5" i="43"/>
  <c r="AQ5" i="43"/>
  <c r="AR5" i="43"/>
  <c r="AS5" i="43"/>
  <c r="AT5" i="43"/>
  <c r="AU5" i="43"/>
  <c r="AV5" i="43"/>
  <c r="N6" i="43"/>
  <c r="O6" i="43"/>
  <c r="P6" i="43"/>
  <c r="Q6" i="43"/>
  <c r="R6" i="43"/>
  <c r="S6" i="43"/>
  <c r="T6" i="43"/>
  <c r="U6" i="43"/>
  <c r="V6" i="43"/>
  <c r="W6" i="43"/>
  <c r="X6" i="43"/>
  <c r="Y6" i="43"/>
  <c r="Z6" i="43"/>
  <c r="AA6" i="43"/>
  <c r="AB6" i="43"/>
  <c r="AC6" i="43"/>
  <c r="AD6" i="43"/>
  <c r="AE6" i="43"/>
  <c r="AF6" i="43"/>
  <c r="AG6" i="43"/>
  <c r="AH6" i="43"/>
  <c r="AI6" i="43"/>
  <c r="AJ6" i="43"/>
  <c r="AK6" i="43"/>
  <c r="AL6" i="43"/>
  <c r="AM6" i="43"/>
  <c r="AN6" i="43"/>
  <c r="AO6" i="43"/>
  <c r="AP6" i="43"/>
  <c r="AQ6" i="43"/>
  <c r="AR6" i="43"/>
  <c r="AS6" i="43"/>
  <c r="AT6" i="43"/>
  <c r="AU6" i="43"/>
  <c r="AV6" i="43"/>
  <c r="N7" i="43"/>
  <c r="O7" i="43"/>
  <c r="P7" i="43"/>
  <c r="Q7" i="43"/>
  <c r="R7" i="43"/>
  <c r="S7" i="43"/>
  <c r="T7" i="43"/>
  <c r="U7" i="43"/>
  <c r="V7" i="43"/>
  <c r="W7" i="43"/>
  <c r="X7" i="43"/>
  <c r="Y7" i="43"/>
  <c r="Z7" i="43"/>
  <c r="AA7" i="43"/>
  <c r="AB7" i="43"/>
  <c r="AC7" i="43"/>
  <c r="AD7" i="43"/>
  <c r="AE7" i="43"/>
  <c r="AF7" i="43"/>
  <c r="AG7" i="43"/>
  <c r="AH7" i="43"/>
  <c r="AI7" i="43"/>
  <c r="AJ7" i="43"/>
  <c r="AK7" i="43"/>
  <c r="AL7" i="43"/>
  <c r="AM7" i="43"/>
  <c r="AN7" i="43"/>
  <c r="AO7" i="43"/>
  <c r="AP7" i="43"/>
  <c r="AQ7" i="43"/>
  <c r="AR7" i="43"/>
  <c r="AS7" i="43"/>
  <c r="AT7" i="43"/>
  <c r="AU7" i="43"/>
  <c r="AV7" i="43"/>
  <c r="N8" i="43"/>
  <c r="O8" i="43"/>
  <c r="P8" i="43"/>
  <c r="Q8" i="43"/>
  <c r="R8" i="43"/>
  <c r="S8" i="43"/>
  <c r="T8" i="43"/>
  <c r="U8" i="43"/>
  <c r="V8" i="43"/>
  <c r="W8" i="43"/>
  <c r="X8" i="43"/>
  <c r="Y8" i="43"/>
  <c r="Z8" i="43"/>
  <c r="AA8" i="43"/>
  <c r="AB8" i="43"/>
  <c r="AC8" i="43"/>
  <c r="AD8" i="43"/>
  <c r="AE8" i="43"/>
  <c r="AF8" i="43"/>
  <c r="AG8" i="43"/>
  <c r="AH8" i="43"/>
  <c r="AI8" i="43"/>
  <c r="AJ8" i="43"/>
  <c r="AK8" i="43"/>
  <c r="AL8" i="43"/>
  <c r="AM8" i="43"/>
  <c r="AN8" i="43"/>
  <c r="AO8" i="43"/>
  <c r="AP8" i="43"/>
  <c r="AQ8" i="43"/>
  <c r="AR8" i="43"/>
  <c r="AS8" i="43"/>
  <c r="AT8" i="43"/>
  <c r="AU8" i="43"/>
  <c r="AV8" i="43"/>
  <c r="N9" i="43"/>
  <c r="O9" i="43"/>
  <c r="P9" i="43"/>
  <c r="Q9" i="43"/>
  <c r="R9" i="43"/>
  <c r="S9" i="43"/>
  <c r="T9" i="43"/>
  <c r="U9" i="43"/>
  <c r="V9" i="43"/>
  <c r="W9" i="43"/>
  <c r="X9" i="43"/>
  <c r="Y9" i="43"/>
  <c r="Z9" i="43"/>
  <c r="AA9" i="43"/>
  <c r="AB9" i="43"/>
  <c r="AC9" i="43"/>
  <c r="AD9" i="43"/>
  <c r="AE9" i="43"/>
  <c r="AF9" i="43"/>
  <c r="AG9" i="43"/>
  <c r="AH9" i="43"/>
  <c r="AI9" i="43"/>
  <c r="AJ9" i="43"/>
  <c r="AK9" i="43"/>
  <c r="AL9" i="43"/>
  <c r="AM9" i="43"/>
  <c r="AN9" i="43"/>
  <c r="AO9" i="43"/>
  <c r="AP9" i="43"/>
  <c r="AQ9" i="43"/>
  <c r="AR9" i="43"/>
  <c r="AS9" i="43"/>
  <c r="AT9" i="43"/>
  <c r="AU9" i="43"/>
  <c r="AV9" i="43"/>
  <c r="N10" i="43"/>
  <c r="O10" i="43"/>
  <c r="P10" i="43"/>
  <c r="Q10" i="43"/>
  <c r="R10" i="43"/>
  <c r="S10" i="43"/>
  <c r="T10" i="43"/>
  <c r="U10" i="43"/>
  <c r="V10" i="43"/>
  <c r="W10" i="43"/>
  <c r="X10" i="43"/>
  <c r="Y10" i="43"/>
  <c r="Z10" i="43"/>
  <c r="AA10" i="43"/>
  <c r="AB10" i="43"/>
  <c r="AC10" i="43"/>
  <c r="AD10" i="43"/>
  <c r="AE10" i="43"/>
  <c r="AF10" i="43"/>
  <c r="AG10" i="43"/>
  <c r="AH10" i="43"/>
  <c r="AI10" i="43"/>
  <c r="AJ10" i="43"/>
  <c r="AK10" i="43"/>
  <c r="AL10" i="43"/>
  <c r="AM10" i="43"/>
  <c r="AN10" i="43"/>
  <c r="AO10" i="43"/>
  <c r="AP10" i="43"/>
  <c r="AQ10" i="43"/>
  <c r="AR10" i="43"/>
  <c r="AS10" i="43"/>
  <c r="AT10" i="43"/>
  <c r="AU10" i="43"/>
  <c r="AV10" i="43"/>
  <c r="N11" i="43"/>
  <c r="O11" i="43"/>
  <c r="P11" i="43"/>
  <c r="Q11" i="43"/>
  <c r="R11" i="43"/>
  <c r="S11" i="43"/>
  <c r="T11" i="43"/>
  <c r="U11" i="43"/>
  <c r="V11" i="43"/>
  <c r="W11" i="43"/>
  <c r="X11" i="43"/>
  <c r="Y11" i="43"/>
  <c r="Z11" i="43"/>
  <c r="AA11" i="43"/>
  <c r="AB11" i="43"/>
  <c r="AC11" i="43"/>
  <c r="AD11" i="43"/>
  <c r="AE11" i="43"/>
  <c r="AF11" i="43"/>
  <c r="AG11" i="43"/>
  <c r="AH11" i="43"/>
  <c r="AI11" i="43"/>
  <c r="AJ11" i="43"/>
  <c r="AK11" i="43"/>
  <c r="AL11" i="43"/>
  <c r="AM11" i="43"/>
  <c r="AN11" i="43"/>
  <c r="AO11" i="43"/>
  <c r="AP11" i="43"/>
  <c r="AQ11" i="43"/>
  <c r="AR11" i="43"/>
  <c r="AS11" i="43"/>
  <c r="AT11" i="43"/>
  <c r="AU11" i="43"/>
  <c r="AV11" i="43"/>
  <c r="N12" i="43"/>
  <c r="O12" i="43"/>
  <c r="P12" i="43"/>
  <c r="Q12" i="43"/>
  <c r="R12" i="43"/>
  <c r="S12" i="43"/>
  <c r="T12" i="43"/>
  <c r="U12" i="43"/>
  <c r="V12" i="43"/>
  <c r="W12" i="43"/>
  <c r="X12" i="43"/>
  <c r="Y12" i="43"/>
  <c r="Z12" i="43"/>
  <c r="AA12" i="43"/>
  <c r="AB12" i="43"/>
  <c r="AC12" i="43"/>
  <c r="AD12" i="43"/>
  <c r="AE12" i="43"/>
  <c r="AF12" i="43"/>
  <c r="AG12" i="43"/>
  <c r="AH12" i="43"/>
  <c r="AI12" i="43"/>
  <c r="AJ12" i="43"/>
  <c r="AK12" i="43"/>
  <c r="AL12" i="43"/>
  <c r="AM12" i="43"/>
  <c r="AN12" i="43"/>
  <c r="AO12" i="43"/>
  <c r="AP12" i="43"/>
  <c r="AQ12" i="43"/>
  <c r="AR12" i="43"/>
  <c r="AS12" i="43"/>
  <c r="AT12" i="43"/>
  <c r="AU12" i="43"/>
  <c r="AV12" i="43"/>
  <c r="N13" i="43"/>
  <c r="O13" i="43"/>
  <c r="P13" i="43"/>
  <c r="Q13" i="43"/>
  <c r="R13" i="43"/>
  <c r="S13" i="43"/>
  <c r="T13" i="43"/>
  <c r="U13" i="43"/>
  <c r="V13" i="43"/>
  <c r="W13" i="43"/>
  <c r="X13" i="43"/>
  <c r="Y13" i="43"/>
  <c r="Z13" i="43"/>
  <c r="AA13" i="43"/>
  <c r="AB13" i="43"/>
  <c r="AC13" i="43"/>
  <c r="AD13" i="43"/>
  <c r="AE13" i="43"/>
  <c r="AF13" i="43"/>
  <c r="AG13" i="43"/>
  <c r="AH13" i="43"/>
  <c r="AI13" i="43"/>
  <c r="AJ13" i="43"/>
  <c r="AK13" i="43"/>
  <c r="AL13" i="43"/>
  <c r="AM13" i="43"/>
  <c r="AN13" i="43"/>
  <c r="AO13" i="43"/>
  <c r="AP13" i="43"/>
  <c r="AQ13" i="43"/>
  <c r="AR13" i="43"/>
  <c r="AS13" i="43"/>
  <c r="AT13" i="43"/>
  <c r="AU13" i="43"/>
  <c r="AV13" i="43"/>
  <c r="N14" i="43"/>
  <c r="O14" i="43"/>
  <c r="P14" i="43"/>
  <c r="Q14" i="43"/>
  <c r="R14" i="43"/>
  <c r="S14" i="43"/>
  <c r="T14" i="43"/>
  <c r="U14" i="43"/>
  <c r="V14" i="43"/>
  <c r="W14" i="43"/>
  <c r="X14" i="43"/>
  <c r="Y14" i="43"/>
  <c r="Z14" i="43"/>
  <c r="AA14" i="43"/>
  <c r="AB14" i="43"/>
  <c r="AC14" i="43"/>
  <c r="AD14" i="43"/>
  <c r="AE14" i="43"/>
  <c r="AF14" i="43"/>
  <c r="AG14" i="43"/>
  <c r="AH14" i="43"/>
  <c r="AI14" i="43"/>
  <c r="AJ14" i="43"/>
  <c r="AK14" i="43"/>
  <c r="AL14" i="43"/>
  <c r="AM14" i="43"/>
  <c r="AN14" i="43"/>
  <c r="AO14" i="43"/>
  <c r="AP14" i="43"/>
  <c r="AQ14" i="43"/>
  <c r="AR14" i="43"/>
  <c r="AS14" i="43"/>
  <c r="AT14" i="43"/>
  <c r="AU14" i="43"/>
  <c r="AV14" i="43"/>
  <c r="N15" i="43"/>
  <c r="O15" i="43"/>
  <c r="P15" i="43"/>
  <c r="Q15" i="43"/>
  <c r="R15" i="43"/>
  <c r="S15" i="43"/>
  <c r="T15" i="43"/>
  <c r="U15" i="43"/>
  <c r="V15" i="43"/>
  <c r="W15" i="43"/>
  <c r="X15" i="43"/>
  <c r="Y15" i="43"/>
  <c r="Z15" i="43"/>
  <c r="AA15" i="43"/>
  <c r="AB15" i="43"/>
  <c r="AC15" i="43"/>
  <c r="AD15" i="43"/>
  <c r="AE15" i="43"/>
  <c r="AF15" i="43"/>
  <c r="AG15" i="43"/>
  <c r="AH15" i="43"/>
  <c r="AI15" i="43"/>
  <c r="AJ15" i="43"/>
  <c r="AK15" i="43"/>
  <c r="AL15" i="43"/>
  <c r="AM15" i="43"/>
  <c r="AN15" i="43"/>
  <c r="AO15" i="43"/>
  <c r="AP15" i="43"/>
  <c r="AQ15" i="43"/>
  <c r="AR15" i="43"/>
  <c r="AS15" i="43"/>
  <c r="AT15" i="43"/>
  <c r="AU15" i="43"/>
  <c r="AV15" i="43"/>
  <c r="N16" i="43"/>
  <c r="O16" i="43"/>
  <c r="P16" i="43"/>
  <c r="Q16" i="43"/>
  <c r="R16" i="43"/>
  <c r="S16" i="43"/>
  <c r="T16" i="43"/>
  <c r="U16" i="43"/>
  <c r="V16" i="43"/>
  <c r="W16" i="43"/>
  <c r="X16" i="43"/>
  <c r="Y16" i="43"/>
  <c r="Z16" i="43"/>
  <c r="AA16" i="43"/>
  <c r="AB16" i="43"/>
  <c r="AC16" i="43"/>
  <c r="AD16" i="43"/>
  <c r="AE16" i="43"/>
  <c r="AF16" i="43"/>
  <c r="AG16" i="43"/>
  <c r="AH16" i="43"/>
  <c r="AI16" i="43"/>
  <c r="AJ16" i="43"/>
  <c r="AK16" i="43"/>
  <c r="AL16" i="43"/>
  <c r="AM16" i="43"/>
  <c r="AN16" i="43"/>
  <c r="AO16" i="43"/>
  <c r="AP16" i="43"/>
  <c r="AQ16" i="43"/>
  <c r="AR16" i="43"/>
  <c r="AS16" i="43"/>
  <c r="AT16" i="43"/>
  <c r="AU16" i="43"/>
  <c r="AV16" i="43"/>
  <c r="N17" i="43"/>
  <c r="O17" i="43"/>
  <c r="P17" i="43"/>
  <c r="Q17" i="43"/>
  <c r="R17" i="43"/>
  <c r="S17" i="43"/>
  <c r="T17" i="43"/>
  <c r="U17" i="43"/>
  <c r="V17" i="43"/>
  <c r="W17" i="43"/>
  <c r="X17" i="43"/>
  <c r="Y17" i="43"/>
  <c r="Z17" i="43"/>
  <c r="AA17" i="43"/>
  <c r="AB17" i="43"/>
  <c r="AC17" i="43"/>
  <c r="AD17" i="43"/>
  <c r="AE17" i="43"/>
  <c r="AF17" i="43"/>
  <c r="AG17" i="43"/>
  <c r="AH17" i="43"/>
  <c r="AI17" i="43"/>
  <c r="AJ17" i="43"/>
  <c r="AK17" i="43"/>
  <c r="AL17" i="43"/>
  <c r="AM17" i="43"/>
  <c r="AN17" i="43"/>
  <c r="AO17" i="43"/>
  <c r="AP17" i="43"/>
  <c r="AQ17" i="43"/>
  <c r="AR17" i="43"/>
  <c r="AS17" i="43"/>
  <c r="AT17" i="43"/>
  <c r="AU17" i="43"/>
  <c r="AV17" i="43"/>
  <c r="N18" i="43"/>
  <c r="O18" i="43"/>
  <c r="P18" i="43"/>
  <c r="Q18" i="43"/>
  <c r="R18" i="43"/>
  <c r="S18" i="43"/>
  <c r="T18" i="43"/>
  <c r="U18" i="43"/>
  <c r="V18" i="43"/>
  <c r="W18" i="43"/>
  <c r="X18" i="43"/>
  <c r="Y18" i="43"/>
  <c r="Z18" i="43"/>
  <c r="AA18" i="43"/>
  <c r="AB18" i="43"/>
  <c r="AC18" i="43"/>
  <c r="AD18" i="43"/>
  <c r="AE18" i="43"/>
  <c r="AF18" i="43"/>
  <c r="AG18" i="43"/>
  <c r="AH18" i="43"/>
  <c r="AI18" i="43"/>
  <c r="AJ18" i="43"/>
  <c r="AK18" i="43"/>
  <c r="AL18" i="43"/>
  <c r="AM18" i="43"/>
  <c r="AN18" i="43"/>
  <c r="AO18" i="43"/>
  <c r="AP18" i="43"/>
  <c r="AQ18" i="43"/>
  <c r="AR18" i="43"/>
  <c r="AS18" i="43"/>
  <c r="AT18" i="43"/>
  <c r="AU18" i="43"/>
  <c r="AV18" i="43"/>
  <c r="N19" i="43"/>
  <c r="O19" i="43"/>
  <c r="P19" i="43"/>
  <c r="Q19" i="43"/>
  <c r="R19" i="43"/>
  <c r="S19" i="43"/>
  <c r="T19" i="43"/>
  <c r="U19" i="43"/>
  <c r="V19" i="43"/>
  <c r="W19" i="43"/>
  <c r="X19" i="43"/>
  <c r="Y19" i="43"/>
  <c r="Z19" i="43"/>
  <c r="AA19" i="43"/>
  <c r="AB19" i="43"/>
  <c r="AC19" i="43"/>
  <c r="AD19" i="43"/>
  <c r="AE19" i="43"/>
  <c r="AF19" i="43"/>
  <c r="AG19" i="43"/>
  <c r="AH19" i="43"/>
  <c r="AI19" i="43"/>
  <c r="AJ19" i="43"/>
  <c r="AK19" i="43"/>
  <c r="AL19" i="43"/>
  <c r="AM19" i="43"/>
  <c r="AN19" i="43"/>
  <c r="AO19" i="43"/>
  <c r="AP19" i="43"/>
  <c r="AQ19" i="43"/>
  <c r="AR19" i="43"/>
  <c r="AS19" i="43"/>
  <c r="AT19" i="43"/>
  <c r="AU19" i="43"/>
  <c r="AV19" i="43"/>
  <c r="N21" i="43"/>
  <c r="O21" i="43"/>
  <c r="P21" i="43"/>
  <c r="Q21" i="43"/>
  <c r="R21" i="43"/>
  <c r="S21" i="43"/>
  <c r="T21" i="43"/>
  <c r="U21" i="43"/>
  <c r="V21" i="43"/>
  <c r="W21" i="43"/>
  <c r="X21" i="43"/>
  <c r="Y21" i="43"/>
  <c r="Z21" i="43"/>
  <c r="AA21" i="43"/>
  <c r="AB21" i="43"/>
  <c r="AC21" i="43"/>
  <c r="AD21" i="43"/>
  <c r="AE21" i="43"/>
  <c r="AF21" i="43"/>
  <c r="AG21" i="43"/>
  <c r="AH21" i="43"/>
  <c r="AI21" i="43"/>
  <c r="AJ21" i="43"/>
  <c r="AK21" i="43"/>
  <c r="AL21" i="43"/>
  <c r="AM21" i="43"/>
  <c r="AN21" i="43"/>
  <c r="AO21" i="43"/>
  <c r="AP21" i="43"/>
  <c r="AQ21" i="43"/>
  <c r="AR21" i="43"/>
  <c r="AS21" i="43"/>
  <c r="AT21" i="43"/>
  <c r="AU21" i="43"/>
  <c r="AV21" i="43"/>
  <c r="N22" i="43"/>
  <c r="O22" i="43"/>
  <c r="P22" i="43"/>
  <c r="Q22" i="43"/>
  <c r="R22" i="43"/>
  <c r="S22" i="43"/>
  <c r="T22" i="43"/>
  <c r="U22" i="43"/>
  <c r="V22" i="43"/>
  <c r="W22" i="43"/>
  <c r="X22" i="43"/>
  <c r="Y22" i="43"/>
  <c r="Z22" i="43"/>
  <c r="AA22" i="43"/>
  <c r="AB22" i="43"/>
  <c r="AC22" i="43"/>
  <c r="AD22" i="43"/>
  <c r="AE22" i="43"/>
  <c r="AF22" i="43"/>
  <c r="AG22" i="43"/>
  <c r="AH22" i="43"/>
  <c r="AI22" i="43"/>
  <c r="AJ22" i="43"/>
  <c r="AK22" i="43"/>
  <c r="AL22" i="43"/>
  <c r="AM22" i="43"/>
  <c r="AN22" i="43"/>
  <c r="AO22" i="43"/>
  <c r="AP22" i="43"/>
  <c r="AQ22" i="43"/>
  <c r="AR22" i="43"/>
  <c r="AS22" i="43"/>
  <c r="AT22" i="43"/>
  <c r="AU22" i="43"/>
  <c r="AV22" i="43"/>
  <c r="N23" i="43"/>
  <c r="O23" i="43"/>
  <c r="P23" i="43"/>
  <c r="Q23" i="43"/>
  <c r="R23" i="43"/>
  <c r="S23" i="43"/>
  <c r="T23" i="43"/>
  <c r="U23" i="43"/>
  <c r="V23" i="43"/>
  <c r="W23" i="43"/>
  <c r="X23" i="43"/>
  <c r="Y23" i="43"/>
  <c r="Z23" i="43"/>
  <c r="AA23" i="43"/>
  <c r="AB23" i="43"/>
  <c r="AC23" i="43"/>
  <c r="AD23" i="43"/>
  <c r="AE23" i="43"/>
  <c r="AF23" i="43"/>
  <c r="AG23" i="43"/>
  <c r="AH23" i="43"/>
  <c r="AI23" i="43"/>
  <c r="AJ23" i="43"/>
  <c r="AK23" i="43"/>
  <c r="AL23" i="43"/>
  <c r="AM23" i="43"/>
  <c r="AN23" i="43"/>
  <c r="AO23" i="43"/>
  <c r="AP23" i="43"/>
  <c r="AQ23" i="43"/>
  <c r="AR23" i="43"/>
  <c r="AS23" i="43"/>
  <c r="AT23" i="43"/>
  <c r="AU23" i="43"/>
  <c r="AV23" i="43"/>
  <c r="N24" i="43"/>
  <c r="O24" i="43"/>
  <c r="P24" i="43"/>
  <c r="Q24" i="43"/>
  <c r="R24" i="43"/>
  <c r="S24" i="43"/>
  <c r="T24" i="43"/>
  <c r="U24" i="43"/>
  <c r="V24" i="43"/>
  <c r="W24" i="43"/>
  <c r="X24" i="43"/>
  <c r="Y24" i="43"/>
  <c r="Z24" i="43"/>
  <c r="AA24" i="43"/>
  <c r="AB24" i="43"/>
  <c r="AC24" i="43"/>
  <c r="AD24" i="43"/>
  <c r="AE24" i="43"/>
  <c r="AF24" i="43"/>
  <c r="AG24" i="43"/>
  <c r="AH24" i="43"/>
  <c r="AI24" i="43"/>
  <c r="AJ24" i="43"/>
  <c r="AK24" i="43"/>
  <c r="AL24" i="43"/>
  <c r="AM24" i="43"/>
  <c r="AN24" i="43"/>
  <c r="AO24" i="43"/>
  <c r="AP24" i="43"/>
  <c r="AQ24" i="43"/>
  <c r="AR24" i="43"/>
  <c r="AS24" i="43"/>
  <c r="AT24" i="43"/>
  <c r="AU24" i="43"/>
  <c r="AV24" i="43"/>
  <c r="N25" i="43"/>
  <c r="O25" i="43"/>
  <c r="P25" i="43"/>
  <c r="Q25" i="43"/>
  <c r="R25" i="43"/>
  <c r="S25" i="43"/>
  <c r="T25" i="43"/>
  <c r="U25" i="43"/>
  <c r="V25" i="43"/>
  <c r="W25" i="43"/>
  <c r="X25" i="43"/>
  <c r="Y25" i="43"/>
  <c r="Z25" i="43"/>
  <c r="AA25" i="43"/>
  <c r="AB25" i="43"/>
  <c r="AC25" i="43"/>
  <c r="AD25" i="43"/>
  <c r="AE25" i="43"/>
  <c r="AF25" i="43"/>
  <c r="AG25" i="43"/>
  <c r="AH25" i="43"/>
  <c r="AI25" i="43"/>
  <c r="AJ25" i="43"/>
  <c r="AK25" i="43"/>
  <c r="AL25" i="43"/>
  <c r="AM25" i="43"/>
  <c r="AN25" i="43"/>
  <c r="AO25" i="43"/>
  <c r="AP25" i="43"/>
  <c r="AQ25" i="43"/>
  <c r="AR25" i="43"/>
  <c r="AS25" i="43"/>
  <c r="AT25" i="43"/>
  <c r="AU25" i="43"/>
  <c r="AV25" i="43"/>
  <c r="N26" i="43"/>
  <c r="O26" i="43"/>
  <c r="P26" i="43"/>
  <c r="Q26" i="43"/>
  <c r="R26" i="43"/>
  <c r="S26" i="43"/>
  <c r="T26" i="43"/>
  <c r="U26" i="43"/>
  <c r="V26" i="43"/>
  <c r="W26" i="43"/>
  <c r="X26" i="43"/>
  <c r="Y26" i="43"/>
  <c r="Z26" i="43"/>
  <c r="AA26" i="43"/>
  <c r="AB26" i="43"/>
  <c r="AC26" i="43"/>
  <c r="AD26" i="43"/>
  <c r="AE26" i="43"/>
  <c r="AF26" i="43"/>
  <c r="AG26" i="43"/>
  <c r="AH26" i="43"/>
  <c r="AI26" i="43"/>
  <c r="AJ26" i="43"/>
  <c r="AK26" i="43"/>
  <c r="AL26" i="43"/>
  <c r="AM26" i="43"/>
  <c r="AN26" i="43"/>
  <c r="AO26" i="43"/>
  <c r="AP26" i="43"/>
  <c r="AQ26" i="43"/>
  <c r="AR26" i="43"/>
  <c r="AS26" i="43"/>
  <c r="AT26" i="43"/>
  <c r="AU26" i="43"/>
  <c r="AV26" i="43"/>
  <c r="N27" i="43"/>
  <c r="O27" i="43"/>
  <c r="P27" i="43"/>
  <c r="Q27" i="43"/>
  <c r="R27" i="43"/>
  <c r="S27" i="43"/>
  <c r="T27" i="43"/>
  <c r="U27" i="43"/>
  <c r="V27" i="43"/>
  <c r="W27" i="43"/>
  <c r="X27" i="43"/>
  <c r="Y27" i="43"/>
  <c r="Z27" i="43"/>
  <c r="AA27" i="43"/>
  <c r="AB27" i="43"/>
  <c r="AC27" i="43"/>
  <c r="AD27" i="43"/>
  <c r="AE27" i="43"/>
  <c r="AF27" i="43"/>
  <c r="AG27" i="43"/>
  <c r="AH27" i="43"/>
  <c r="AI27" i="43"/>
  <c r="AJ27" i="43"/>
  <c r="AK27" i="43"/>
  <c r="AL27" i="43"/>
  <c r="AM27" i="43"/>
  <c r="AN27" i="43"/>
  <c r="AO27" i="43"/>
  <c r="AP27" i="43"/>
  <c r="AQ27" i="43"/>
  <c r="AR27" i="43"/>
  <c r="AS27" i="43"/>
  <c r="AT27" i="43"/>
  <c r="AU27" i="43"/>
  <c r="AV27" i="43"/>
  <c r="N28" i="43"/>
  <c r="O28" i="43"/>
  <c r="P28" i="43"/>
  <c r="Q28" i="43"/>
  <c r="R28" i="43"/>
  <c r="S28" i="43"/>
  <c r="T28" i="43"/>
  <c r="U28" i="43"/>
  <c r="V28" i="43"/>
  <c r="W28" i="43"/>
  <c r="X28" i="43"/>
  <c r="Y28" i="43"/>
  <c r="Z28" i="43"/>
  <c r="AA28" i="43"/>
  <c r="AB28" i="43"/>
  <c r="AC28" i="43"/>
  <c r="AD28" i="43"/>
  <c r="AE28" i="43"/>
  <c r="AF28" i="43"/>
  <c r="AG28" i="43"/>
  <c r="AH28" i="43"/>
  <c r="AI28" i="43"/>
  <c r="AJ28" i="43"/>
  <c r="AK28" i="43"/>
  <c r="AL28" i="43"/>
  <c r="AM28" i="43"/>
  <c r="AN28" i="43"/>
  <c r="AO28" i="43"/>
  <c r="AP28" i="43"/>
  <c r="AQ28" i="43"/>
  <c r="AR28" i="43"/>
  <c r="AS28" i="43"/>
  <c r="AT28" i="43"/>
  <c r="AU28" i="43"/>
  <c r="AV28" i="43"/>
  <c r="N29" i="43"/>
  <c r="O29" i="43"/>
  <c r="P29" i="43"/>
  <c r="Q29" i="43"/>
  <c r="R29" i="43"/>
  <c r="S29" i="43"/>
  <c r="T29" i="43"/>
  <c r="U29" i="43"/>
  <c r="V29" i="43"/>
  <c r="W29" i="43"/>
  <c r="X29" i="43"/>
  <c r="Y29" i="43"/>
  <c r="Z29" i="43"/>
  <c r="AA29" i="43"/>
  <c r="AB29" i="43"/>
  <c r="AC29" i="43"/>
  <c r="AD29" i="43"/>
  <c r="AE29" i="43"/>
  <c r="AF29" i="43"/>
  <c r="AG29" i="43"/>
  <c r="AH29" i="43"/>
  <c r="AI29" i="43"/>
  <c r="AJ29" i="43"/>
  <c r="AK29" i="43"/>
  <c r="AL29" i="43"/>
  <c r="AM29" i="43"/>
  <c r="AN29" i="43"/>
  <c r="AO29" i="43"/>
  <c r="AP29" i="43"/>
  <c r="AQ29" i="43"/>
  <c r="AR29" i="43"/>
  <c r="AS29" i="43"/>
  <c r="AT29" i="43"/>
  <c r="AU29" i="43"/>
  <c r="AV29" i="43"/>
  <c r="N30" i="43"/>
  <c r="O30" i="43"/>
  <c r="P30" i="43"/>
  <c r="Q30" i="43"/>
  <c r="R30" i="43"/>
  <c r="S30" i="43"/>
  <c r="T30" i="43"/>
  <c r="U30" i="43"/>
  <c r="V30" i="43"/>
  <c r="W30" i="43"/>
  <c r="X30" i="43"/>
  <c r="Y30" i="43"/>
  <c r="Z30" i="43"/>
  <c r="AA30" i="43"/>
  <c r="AB30" i="43"/>
  <c r="AC30" i="43"/>
  <c r="AD30" i="43"/>
  <c r="AE30" i="43"/>
  <c r="AF30" i="43"/>
  <c r="AG30" i="43"/>
  <c r="AH30" i="43"/>
  <c r="AI30" i="43"/>
  <c r="AJ30" i="43"/>
  <c r="AK30" i="43"/>
  <c r="AL30" i="43"/>
  <c r="AM30" i="43"/>
  <c r="AN30" i="43"/>
  <c r="AO30" i="43"/>
  <c r="AP30" i="43"/>
  <c r="AQ30" i="43"/>
  <c r="AR30" i="43"/>
  <c r="AS30" i="43"/>
  <c r="AT30" i="43"/>
  <c r="AU30" i="43"/>
  <c r="AV30" i="43"/>
  <c r="N31" i="43"/>
  <c r="O31" i="43"/>
  <c r="P31" i="43"/>
  <c r="Q31" i="43"/>
  <c r="R31" i="43"/>
  <c r="S31" i="43"/>
  <c r="T31" i="43"/>
  <c r="U31" i="43"/>
  <c r="V31" i="43"/>
  <c r="W31" i="43"/>
  <c r="X31" i="43"/>
  <c r="Y31" i="43"/>
  <c r="Z31" i="43"/>
  <c r="AA31" i="43"/>
  <c r="AB31" i="43"/>
  <c r="AC31" i="43"/>
  <c r="AD31" i="43"/>
  <c r="AE31" i="43"/>
  <c r="AF31" i="43"/>
  <c r="AG31" i="43"/>
  <c r="AH31" i="43"/>
  <c r="AI31" i="43"/>
  <c r="AJ31" i="43"/>
  <c r="AK31" i="43"/>
  <c r="AL31" i="43"/>
  <c r="AM31" i="43"/>
  <c r="AN31" i="43"/>
  <c r="AO31" i="43"/>
  <c r="AP31" i="43"/>
  <c r="AQ31" i="43"/>
  <c r="AR31" i="43"/>
  <c r="AS31" i="43"/>
  <c r="AT31" i="43"/>
  <c r="AU31" i="43"/>
  <c r="AV31" i="43"/>
  <c r="N32" i="43"/>
  <c r="O32" i="43"/>
  <c r="P32" i="43"/>
  <c r="Q32" i="43"/>
  <c r="R32" i="43"/>
  <c r="S32" i="43"/>
  <c r="T32" i="43"/>
  <c r="U32" i="43"/>
  <c r="V32" i="43"/>
  <c r="W32" i="43"/>
  <c r="X32" i="43"/>
  <c r="Y32" i="43"/>
  <c r="Z32" i="43"/>
  <c r="AA32" i="43"/>
  <c r="AB32" i="43"/>
  <c r="AC32" i="43"/>
  <c r="AD32" i="43"/>
  <c r="AE32" i="43"/>
  <c r="AF32" i="43"/>
  <c r="AG32" i="43"/>
  <c r="AH32" i="43"/>
  <c r="AI32" i="43"/>
  <c r="AJ32" i="43"/>
  <c r="AK32" i="43"/>
  <c r="AL32" i="43"/>
  <c r="AM32" i="43"/>
  <c r="AN32" i="43"/>
  <c r="AO32" i="43"/>
  <c r="AP32" i="43"/>
  <c r="AQ32" i="43"/>
  <c r="AR32" i="43"/>
  <c r="AS32" i="43"/>
  <c r="AT32" i="43"/>
  <c r="AU32" i="43"/>
  <c r="AV32" i="43"/>
  <c r="N33" i="43"/>
  <c r="O33" i="43"/>
  <c r="P33" i="43"/>
  <c r="Q33" i="43"/>
  <c r="R33" i="43"/>
  <c r="S33" i="43"/>
  <c r="T33" i="43"/>
  <c r="U33" i="43"/>
  <c r="V33" i="43"/>
  <c r="W33" i="43"/>
  <c r="X33" i="43"/>
  <c r="Y33" i="43"/>
  <c r="Z33" i="43"/>
  <c r="AA33" i="43"/>
  <c r="AB33" i="43"/>
  <c r="AC33" i="43"/>
  <c r="AD33" i="43"/>
  <c r="AE33" i="43"/>
  <c r="AF33" i="43"/>
  <c r="AG33" i="43"/>
  <c r="AH33" i="43"/>
  <c r="AI33" i="43"/>
  <c r="AJ33" i="43"/>
  <c r="AK33" i="43"/>
  <c r="AL33" i="43"/>
  <c r="AM33" i="43"/>
  <c r="AN33" i="43"/>
  <c r="AO33" i="43"/>
  <c r="AP33" i="43"/>
  <c r="AQ33" i="43"/>
  <c r="AR33" i="43"/>
  <c r="AS33" i="43"/>
  <c r="AT33" i="43"/>
  <c r="AU33" i="43"/>
  <c r="AV33" i="43"/>
  <c r="N34" i="43"/>
  <c r="O34" i="43"/>
  <c r="P34" i="43"/>
  <c r="Q34" i="43"/>
  <c r="R34" i="43"/>
  <c r="S34" i="43"/>
  <c r="T34" i="43"/>
  <c r="U34" i="43"/>
  <c r="V34" i="43"/>
  <c r="W34" i="43"/>
  <c r="X34" i="43"/>
  <c r="Y34" i="43"/>
  <c r="Z34" i="43"/>
  <c r="AA34" i="43"/>
  <c r="AB34" i="43"/>
  <c r="AC34" i="43"/>
  <c r="AD34" i="43"/>
  <c r="AE34" i="43"/>
  <c r="AF34" i="43"/>
  <c r="AG34" i="43"/>
  <c r="AH34" i="43"/>
  <c r="AI34" i="43"/>
  <c r="AJ34" i="43"/>
  <c r="AK34" i="43"/>
  <c r="AL34" i="43"/>
  <c r="AM34" i="43"/>
  <c r="AN34" i="43"/>
  <c r="AO34" i="43"/>
  <c r="AP34" i="43"/>
  <c r="AQ34" i="43"/>
  <c r="AR34" i="43"/>
  <c r="AS34" i="43"/>
  <c r="AT34" i="43"/>
  <c r="AU34" i="43"/>
  <c r="AV34" i="43"/>
  <c r="N35" i="43"/>
  <c r="O35" i="43"/>
  <c r="P35" i="43"/>
  <c r="Q35" i="43"/>
  <c r="R35" i="43"/>
  <c r="S35" i="43"/>
  <c r="T35" i="43"/>
  <c r="U35" i="43"/>
  <c r="V35" i="43"/>
  <c r="W35" i="43"/>
  <c r="X35" i="43"/>
  <c r="Y35" i="43"/>
  <c r="Z35" i="43"/>
  <c r="AA35" i="43"/>
  <c r="AB35" i="43"/>
  <c r="AC35" i="43"/>
  <c r="AD35" i="43"/>
  <c r="AE35" i="43"/>
  <c r="AF35" i="43"/>
  <c r="AG35" i="43"/>
  <c r="AH35" i="43"/>
  <c r="AI35" i="43"/>
  <c r="AJ35" i="43"/>
  <c r="AK35" i="43"/>
  <c r="AL35" i="43"/>
  <c r="AM35" i="43"/>
  <c r="AN35" i="43"/>
  <c r="AO35" i="43"/>
  <c r="AP35" i="43"/>
  <c r="AQ35" i="43"/>
  <c r="AR35" i="43"/>
  <c r="AS35" i="43"/>
  <c r="AT35" i="43"/>
  <c r="AU35" i="43"/>
  <c r="AV35" i="43"/>
  <c r="N36" i="43"/>
  <c r="O36" i="43"/>
  <c r="P36" i="43"/>
  <c r="Q36" i="43"/>
  <c r="R36" i="43"/>
  <c r="S36" i="43"/>
  <c r="T36" i="43"/>
  <c r="U36" i="43"/>
  <c r="V36" i="43"/>
  <c r="W36" i="43"/>
  <c r="X36" i="43"/>
  <c r="Y36" i="43"/>
  <c r="Z36" i="43"/>
  <c r="AA36" i="43"/>
  <c r="AB36" i="43"/>
  <c r="AC36" i="43"/>
  <c r="AD36" i="43"/>
  <c r="AE36" i="43"/>
  <c r="AF36" i="43"/>
  <c r="AG36" i="43"/>
  <c r="AH36" i="43"/>
  <c r="AI36" i="43"/>
  <c r="AJ36" i="43"/>
  <c r="AK36" i="43"/>
  <c r="AL36" i="43"/>
  <c r="AM36" i="43"/>
  <c r="AN36" i="43"/>
  <c r="AO36" i="43"/>
  <c r="AP36" i="43"/>
  <c r="AQ36" i="43"/>
  <c r="AR36" i="43"/>
  <c r="AS36" i="43"/>
  <c r="AT36" i="43"/>
  <c r="AU36" i="43"/>
  <c r="AV36" i="43"/>
  <c r="N37" i="43"/>
  <c r="O37" i="43"/>
  <c r="P37" i="43"/>
  <c r="Q37" i="43"/>
  <c r="R37" i="43"/>
  <c r="S37" i="43"/>
  <c r="T37" i="43"/>
  <c r="U37" i="43"/>
  <c r="V37" i="43"/>
  <c r="W37" i="43"/>
  <c r="X37" i="43"/>
  <c r="Y37" i="43"/>
  <c r="Z37" i="43"/>
  <c r="AA37" i="43"/>
  <c r="AB37" i="43"/>
  <c r="AC37" i="43"/>
  <c r="AD37" i="43"/>
  <c r="AE37" i="43"/>
  <c r="AF37" i="43"/>
  <c r="AG37" i="43"/>
  <c r="AH37" i="43"/>
  <c r="AI37" i="43"/>
  <c r="AJ37" i="43"/>
  <c r="AK37" i="43"/>
  <c r="AL37" i="43"/>
  <c r="AM37" i="43"/>
  <c r="AN37" i="43"/>
  <c r="AO37" i="43"/>
  <c r="AP37" i="43"/>
  <c r="AQ37" i="43"/>
  <c r="AR37" i="43"/>
  <c r="AS37" i="43"/>
  <c r="AT37" i="43"/>
  <c r="AU37" i="43"/>
  <c r="AV37" i="43"/>
  <c r="N38" i="43"/>
  <c r="O38" i="43"/>
  <c r="P38" i="43"/>
  <c r="Q38" i="43"/>
  <c r="R38" i="43"/>
  <c r="S38" i="43"/>
  <c r="T38" i="43"/>
  <c r="U38" i="43"/>
  <c r="V38" i="43"/>
  <c r="W38" i="43"/>
  <c r="X38" i="43"/>
  <c r="Y38" i="43"/>
  <c r="Z38" i="43"/>
  <c r="AA38" i="43"/>
  <c r="AB38" i="43"/>
  <c r="AC38" i="43"/>
  <c r="AD38" i="43"/>
  <c r="AE38" i="43"/>
  <c r="AF38" i="43"/>
  <c r="AG38" i="43"/>
  <c r="AH38" i="43"/>
  <c r="AI38" i="43"/>
  <c r="AJ38" i="43"/>
  <c r="AK38" i="43"/>
  <c r="AL38" i="43"/>
  <c r="AM38" i="43"/>
  <c r="AN38" i="43"/>
  <c r="AO38" i="43"/>
  <c r="AP38" i="43"/>
  <c r="AQ38" i="43"/>
  <c r="AR38" i="43"/>
  <c r="AS38" i="43"/>
  <c r="AT38" i="43"/>
  <c r="AU38" i="43"/>
  <c r="AV38" i="43"/>
  <c r="N39" i="43"/>
  <c r="O39" i="43"/>
  <c r="P39" i="43"/>
  <c r="Q39" i="43"/>
  <c r="R39" i="43"/>
  <c r="S39" i="43"/>
  <c r="T39" i="43"/>
  <c r="U39" i="43"/>
  <c r="V39" i="43"/>
  <c r="W39" i="43"/>
  <c r="X39" i="43"/>
  <c r="Y39" i="43"/>
  <c r="Z39" i="43"/>
  <c r="AA39" i="43"/>
  <c r="AB39" i="43"/>
  <c r="AC39" i="43"/>
  <c r="AD39" i="43"/>
  <c r="AE39" i="43"/>
  <c r="AF39" i="43"/>
  <c r="AG39" i="43"/>
  <c r="AH39" i="43"/>
  <c r="AI39" i="43"/>
  <c r="AJ39" i="43"/>
  <c r="AK39" i="43"/>
  <c r="AL39" i="43"/>
  <c r="AM39" i="43"/>
  <c r="AN39" i="43"/>
  <c r="AO39" i="43"/>
  <c r="AP39" i="43"/>
  <c r="AQ39" i="43"/>
  <c r="AR39" i="43"/>
  <c r="AS39" i="43"/>
  <c r="AT39" i="43"/>
  <c r="AU39" i="43"/>
  <c r="AV39" i="43"/>
  <c r="N40" i="43"/>
  <c r="O40" i="43"/>
  <c r="P40" i="43"/>
  <c r="Q40" i="43"/>
  <c r="R40" i="43"/>
  <c r="S40" i="43"/>
  <c r="T40" i="43"/>
  <c r="U40" i="43"/>
  <c r="V40" i="43"/>
  <c r="W40" i="43"/>
  <c r="X40" i="43"/>
  <c r="Y40" i="43"/>
  <c r="Z40" i="43"/>
  <c r="AA40" i="43"/>
  <c r="AB40" i="43"/>
  <c r="AC40" i="43"/>
  <c r="AD40" i="43"/>
  <c r="AE40" i="43"/>
  <c r="AF40" i="43"/>
  <c r="AG40" i="43"/>
  <c r="AH40" i="43"/>
  <c r="AI40" i="43"/>
  <c r="AJ40" i="43"/>
  <c r="AK40" i="43"/>
  <c r="AL40" i="43"/>
  <c r="AM40" i="43"/>
  <c r="AN40" i="43"/>
  <c r="AO40" i="43"/>
  <c r="AP40" i="43"/>
  <c r="AQ40" i="43"/>
  <c r="AR40" i="43"/>
  <c r="AS40" i="43"/>
  <c r="AT40" i="43"/>
  <c r="AU40" i="43"/>
  <c r="AV40" i="43"/>
  <c r="N41" i="43"/>
  <c r="O41" i="43"/>
  <c r="P41" i="43"/>
  <c r="Q41" i="43"/>
  <c r="R41" i="43"/>
  <c r="S41" i="43"/>
  <c r="T41" i="43"/>
  <c r="U41" i="43"/>
  <c r="V41" i="43"/>
  <c r="W41" i="43"/>
  <c r="X41" i="43"/>
  <c r="Y41" i="43"/>
  <c r="Z41" i="43"/>
  <c r="AA41" i="43"/>
  <c r="AB41" i="43"/>
  <c r="AC41" i="43"/>
  <c r="AD41" i="43"/>
  <c r="AE41" i="43"/>
  <c r="AF41" i="43"/>
  <c r="AG41" i="43"/>
  <c r="AH41" i="43"/>
  <c r="AI41" i="43"/>
  <c r="AJ41" i="43"/>
  <c r="AK41" i="43"/>
  <c r="AL41" i="43"/>
  <c r="AM41" i="43"/>
  <c r="AN41" i="43"/>
  <c r="AO41" i="43"/>
  <c r="AP41" i="43"/>
  <c r="AQ41" i="43"/>
  <c r="AR41" i="43"/>
  <c r="AS41" i="43"/>
  <c r="AT41" i="43"/>
  <c r="AU41" i="43"/>
  <c r="AV41" i="43"/>
  <c r="N42" i="43"/>
  <c r="O42" i="43"/>
  <c r="P42" i="43"/>
  <c r="Q42" i="43"/>
  <c r="R42" i="43"/>
  <c r="S42" i="43"/>
  <c r="T42" i="43"/>
  <c r="U42" i="43"/>
  <c r="V42" i="43"/>
  <c r="W42" i="43"/>
  <c r="X42" i="43"/>
  <c r="Y42" i="43"/>
  <c r="Z42" i="43"/>
  <c r="AA42" i="43"/>
  <c r="AB42" i="43"/>
  <c r="AC42" i="43"/>
  <c r="AD42" i="43"/>
  <c r="AE42" i="43"/>
  <c r="AF42" i="43"/>
  <c r="AG42" i="43"/>
  <c r="AH42" i="43"/>
  <c r="AI42" i="43"/>
  <c r="AJ42" i="43"/>
  <c r="AK42" i="43"/>
  <c r="AL42" i="43"/>
  <c r="AM42" i="43"/>
  <c r="AN42" i="43"/>
  <c r="AO42" i="43"/>
  <c r="AP42" i="43"/>
  <c r="AQ42" i="43"/>
  <c r="AR42" i="43"/>
  <c r="AS42" i="43"/>
  <c r="AT42" i="43"/>
  <c r="AU42" i="43"/>
  <c r="AV42" i="43"/>
  <c r="N43" i="43"/>
  <c r="O43" i="43"/>
  <c r="P43" i="43"/>
  <c r="Q43" i="43"/>
  <c r="R43" i="43"/>
  <c r="S43" i="43"/>
  <c r="T43" i="43"/>
  <c r="U43" i="43"/>
  <c r="V43" i="43"/>
  <c r="W43" i="43"/>
  <c r="X43" i="43"/>
  <c r="Y43" i="43"/>
  <c r="Z43" i="43"/>
  <c r="AA43" i="43"/>
  <c r="AB43" i="43"/>
  <c r="AC43" i="43"/>
  <c r="AD43" i="43"/>
  <c r="AE43" i="43"/>
  <c r="AF43" i="43"/>
  <c r="AG43" i="43"/>
  <c r="AH43" i="43"/>
  <c r="AI43" i="43"/>
  <c r="AJ43" i="43"/>
  <c r="AK43" i="43"/>
  <c r="AL43" i="43"/>
  <c r="AM43" i="43"/>
  <c r="AN43" i="43"/>
  <c r="AO43" i="43"/>
  <c r="AP43" i="43"/>
  <c r="AQ43" i="43"/>
  <c r="AR43" i="43"/>
  <c r="AS43" i="43"/>
  <c r="AT43" i="43"/>
  <c r="AU43" i="43"/>
  <c r="AV43" i="43"/>
  <c r="N45" i="43"/>
  <c r="O45" i="43"/>
  <c r="P45" i="43"/>
  <c r="Q45" i="43"/>
  <c r="R45" i="43"/>
  <c r="S45" i="43"/>
  <c r="T45" i="43"/>
  <c r="U45" i="43"/>
  <c r="V45" i="43"/>
  <c r="W45" i="43"/>
  <c r="X45" i="43"/>
  <c r="Y45" i="43"/>
  <c r="Z45" i="43"/>
  <c r="AA45" i="43"/>
  <c r="AB45" i="43"/>
  <c r="AC45" i="43"/>
  <c r="AD45" i="43"/>
  <c r="AE45" i="43"/>
  <c r="AF45" i="43"/>
  <c r="AG45" i="43"/>
  <c r="AH45" i="43"/>
  <c r="AI45" i="43"/>
  <c r="AJ45" i="43"/>
  <c r="AK45" i="43"/>
  <c r="AL45" i="43"/>
  <c r="AM45" i="43"/>
  <c r="AN45" i="43"/>
  <c r="AO45" i="43"/>
  <c r="AP45" i="43"/>
  <c r="AQ45" i="43"/>
  <c r="AR45" i="43"/>
  <c r="AS45" i="43"/>
  <c r="AT45" i="43"/>
  <c r="AU45" i="43"/>
  <c r="AV45" i="43"/>
  <c r="N46" i="43"/>
  <c r="O46" i="43"/>
  <c r="P46" i="43"/>
  <c r="Q46" i="43"/>
  <c r="R46" i="43"/>
  <c r="S46" i="43"/>
  <c r="T46" i="43"/>
  <c r="U46" i="43"/>
  <c r="V46" i="43"/>
  <c r="W46" i="43"/>
  <c r="X46" i="43"/>
  <c r="Y46" i="43"/>
  <c r="Z46" i="43"/>
  <c r="AA46" i="43"/>
  <c r="AB46" i="43"/>
  <c r="AC46" i="43"/>
  <c r="AD46" i="43"/>
  <c r="AE46" i="43"/>
  <c r="AF46" i="43"/>
  <c r="AG46" i="43"/>
  <c r="AH46" i="43"/>
  <c r="AI46" i="43"/>
  <c r="AJ46" i="43"/>
  <c r="AK46" i="43"/>
  <c r="AL46" i="43"/>
  <c r="AM46" i="43"/>
  <c r="AN46" i="43"/>
  <c r="AO46" i="43"/>
  <c r="AP46" i="43"/>
  <c r="AQ46" i="43"/>
  <c r="AR46" i="43"/>
  <c r="AS46" i="43"/>
  <c r="AT46" i="43"/>
  <c r="AU46" i="43"/>
  <c r="AV46" i="43"/>
  <c r="N47" i="43"/>
  <c r="O47" i="43"/>
  <c r="P47" i="43"/>
  <c r="Q47" i="43"/>
  <c r="R47" i="43"/>
  <c r="S47" i="43"/>
  <c r="T47" i="43"/>
  <c r="U47" i="43"/>
  <c r="V47" i="43"/>
  <c r="W47" i="43"/>
  <c r="X47" i="43"/>
  <c r="Y47" i="43"/>
  <c r="Z47" i="43"/>
  <c r="AA47" i="43"/>
  <c r="AB47" i="43"/>
  <c r="AC47" i="43"/>
  <c r="AD47" i="43"/>
  <c r="AE47" i="43"/>
  <c r="AF47" i="43"/>
  <c r="AG47" i="43"/>
  <c r="AH47" i="43"/>
  <c r="AI47" i="43"/>
  <c r="AJ47" i="43"/>
  <c r="AK47" i="43"/>
  <c r="AL47" i="43"/>
  <c r="AM47" i="43"/>
  <c r="AN47" i="43"/>
  <c r="AO47" i="43"/>
  <c r="AP47" i="43"/>
  <c r="AQ47" i="43"/>
  <c r="AR47" i="43"/>
  <c r="AS47" i="43"/>
  <c r="AT47" i="43"/>
  <c r="AU47" i="43"/>
  <c r="AV47" i="43"/>
  <c r="N48" i="43"/>
  <c r="O48" i="43"/>
  <c r="P48" i="43"/>
  <c r="Q48" i="43"/>
  <c r="R48" i="43"/>
  <c r="S48" i="43"/>
  <c r="T48" i="43"/>
  <c r="U48" i="43"/>
  <c r="V48" i="43"/>
  <c r="W48" i="43"/>
  <c r="X48" i="43"/>
  <c r="Y48" i="43"/>
  <c r="Z48" i="43"/>
  <c r="AA48" i="43"/>
  <c r="AB48" i="43"/>
  <c r="AC48" i="43"/>
  <c r="AD48" i="43"/>
  <c r="AE48" i="43"/>
  <c r="AF48" i="43"/>
  <c r="AG48" i="43"/>
  <c r="AH48" i="43"/>
  <c r="AI48" i="43"/>
  <c r="AJ48" i="43"/>
  <c r="AK48" i="43"/>
  <c r="AL48" i="43"/>
  <c r="AM48" i="43"/>
  <c r="AN48" i="43"/>
  <c r="AO48" i="43"/>
  <c r="AP48" i="43"/>
  <c r="AQ48" i="43"/>
  <c r="AR48" i="43"/>
  <c r="AS48" i="43"/>
  <c r="AT48" i="43"/>
  <c r="AU48" i="43"/>
  <c r="AV48" i="43"/>
  <c r="N49" i="43"/>
  <c r="O49" i="43"/>
  <c r="P49" i="43"/>
  <c r="Q49" i="43"/>
  <c r="R49" i="43"/>
  <c r="S49" i="43"/>
  <c r="T49" i="43"/>
  <c r="U49" i="43"/>
  <c r="V49" i="43"/>
  <c r="W49" i="43"/>
  <c r="X49" i="43"/>
  <c r="Y49" i="43"/>
  <c r="Z49" i="43"/>
  <c r="AA49" i="43"/>
  <c r="AB49" i="43"/>
  <c r="AC49" i="43"/>
  <c r="AD49" i="43"/>
  <c r="AE49" i="43"/>
  <c r="AF49" i="43"/>
  <c r="AG49" i="43"/>
  <c r="AH49" i="43"/>
  <c r="AI49" i="43"/>
  <c r="AJ49" i="43"/>
  <c r="AK49" i="43"/>
  <c r="AL49" i="43"/>
  <c r="AM49" i="43"/>
  <c r="AN49" i="43"/>
  <c r="AO49" i="43"/>
  <c r="AP49" i="43"/>
  <c r="AQ49" i="43"/>
  <c r="AR49" i="43"/>
  <c r="AS49" i="43"/>
  <c r="AT49" i="43"/>
  <c r="AU49" i="43"/>
  <c r="AV49" i="43"/>
  <c r="N50" i="43"/>
  <c r="O50" i="43"/>
  <c r="P50" i="43"/>
  <c r="Q50" i="43"/>
  <c r="R50" i="43"/>
  <c r="S50" i="43"/>
  <c r="T50" i="43"/>
  <c r="U50" i="43"/>
  <c r="V50" i="43"/>
  <c r="W50" i="43"/>
  <c r="X50" i="43"/>
  <c r="Y50" i="43"/>
  <c r="Z50" i="43"/>
  <c r="AA50" i="43"/>
  <c r="AB50" i="43"/>
  <c r="AC50" i="43"/>
  <c r="AD50" i="43"/>
  <c r="AE50" i="43"/>
  <c r="AF50" i="43"/>
  <c r="AG50" i="43"/>
  <c r="AH50" i="43"/>
  <c r="AI50" i="43"/>
  <c r="AJ50" i="43"/>
  <c r="AK50" i="43"/>
  <c r="AL50" i="43"/>
  <c r="AM50" i="43"/>
  <c r="AN50" i="43"/>
  <c r="AO50" i="43"/>
  <c r="AP50" i="43"/>
  <c r="AQ50" i="43"/>
  <c r="AR50" i="43"/>
  <c r="AS50" i="43"/>
  <c r="AT50" i="43"/>
  <c r="AU50" i="43"/>
  <c r="AV50" i="43"/>
  <c r="N51" i="43"/>
  <c r="O51" i="43"/>
  <c r="P51" i="43"/>
  <c r="Q51" i="43"/>
  <c r="R51" i="43"/>
  <c r="S51" i="43"/>
  <c r="T51" i="43"/>
  <c r="U51" i="43"/>
  <c r="V51" i="43"/>
  <c r="W51" i="43"/>
  <c r="X51" i="43"/>
  <c r="Y51" i="43"/>
  <c r="Z51" i="43"/>
  <c r="AA51" i="43"/>
  <c r="AB51" i="43"/>
  <c r="AC51" i="43"/>
  <c r="AD51" i="43"/>
  <c r="AE51" i="43"/>
  <c r="AF51" i="43"/>
  <c r="AG51" i="43"/>
  <c r="AH51" i="43"/>
  <c r="AI51" i="43"/>
  <c r="AJ51" i="43"/>
  <c r="AK51" i="43"/>
  <c r="AL51" i="43"/>
  <c r="AM51" i="43"/>
  <c r="AN51" i="43"/>
  <c r="AO51" i="43"/>
  <c r="AP51" i="43"/>
  <c r="AQ51" i="43"/>
  <c r="AR51" i="43"/>
  <c r="AS51" i="43"/>
  <c r="AT51" i="43"/>
  <c r="AU51" i="43"/>
  <c r="AV51" i="43"/>
  <c r="N52" i="43"/>
  <c r="O52" i="43"/>
  <c r="P52" i="43"/>
  <c r="Q52" i="43"/>
  <c r="R52" i="43"/>
  <c r="S52" i="43"/>
  <c r="T52" i="43"/>
  <c r="U52" i="43"/>
  <c r="V52" i="43"/>
  <c r="W52" i="43"/>
  <c r="X52" i="43"/>
  <c r="Y52" i="43"/>
  <c r="Z52" i="43"/>
  <c r="AA52" i="43"/>
  <c r="AB52" i="43"/>
  <c r="AC52" i="43"/>
  <c r="AD52" i="43"/>
  <c r="AE52" i="43"/>
  <c r="AF52" i="43"/>
  <c r="AG52" i="43"/>
  <c r="AH52" i="43"/>
  <c r="AI52" i="43"/>
  <c r="AJ52" i="43"/>
  <c r="AK52" i="43"/>
  <c r="AL52" i="43"/>
  <c r="AM52" i="43"/>
  <c r="AN52" i="43"/>
  <c r="AO52" i="43"/>
  <c r="AP52" i="43"/>
  <c r="AQ52" i="43"/>
  <c r="AR52" i="43"/>
  <c r="AS52" i="43"/>
  <c r="AT52" i="43"/>
  <c r="AU52" i="43"/>
  <c r="AV52" i="43"/>
  <c r="N53" i="43"/>
  <c r="O53" i="43"/>
  <c r="P53" i="43"/>
  <c r="Q53" i="43"/>
  <c r="R53" i="43"/>
  <c r="S53" i="43"/>
  <c r="T53" i="43"/>
  <c r="U53" i="43"/>
  <c r="V53" i="43"/>
  <c r="W53" i="43"/>
  <c r="X53" i="43"/>
  <c r="Y53" i="43"/>
  <c r="Z53" i="43"/>
  <c r="AA53" i="43"/>
  <c r="AB53" i="43"/>
  <c r="AC53" i="43"/>
  <c r="AD53" i="43"/>
  <c r="AE53" i="43"/>
  <c r="AF53" i="43"/>
  <c r="AG53" i="43"/>
  <c r="AH53" i="43"/>
  <c r="AI53" i="43"/>
  <c r="AJ53" i="43"/>
  <c r="AK53" i="43"/>
  <c r="AL53" i="43"/>
  <c r="AM53" i="43"/>
  <c r="AN53" i="43"/>
  <c r="AO53" i="43"/>
  <c r="AP53" i="43"/>
  <c r="AQ53" i="43"/>
  <c r="AR53" i="43"/>
  <c r="AS53" i="43"/>
  <c r="AT53" i="43"/>
  <c r="AU53" i="43"/>
  <c r="AV53" i="43"/>
  <c r="N54" i="43"/>
  <c r="O54" i="43"/>
  <c r="P54" i="43"/>
  <c r="Q54" i="43"/>
  <c r="R54" i="43"/>
  <c r="S54" i="43"/>
  <c r="T54" i="43"/>
  <c r="U54" i="43"/>
  <c r="V54" i="43"/>
  <c r="W54" i="43"/>
  <c r="X54" i="43"/>
  <c r="Y54" i="43"/>
  <c r="Z54" i="43"/>
  <c r="AA54" i="43"/>
  <c r="AB54" i="43"/>
  <c r="AC54" i="43"/>
  <c r="AD54" i="43"/>
  <c r="AE54" i="43"/>
  <c r="AF54" i="43"/>
  <c r="AG54" i="43"/>
  <c r="AH54" i="43"/>
  <c r="AI54" i="43"/>
  <c r="AJ54" i="43"/>
  <c r="AK54" i="43"/>
  <c r="AL54" i="43"/>
  <c r="AM54" i="43"/>
  <c r="AN54" i="43"/>
  <c r="AO54" i="43"/>
  <c r="AP54" i="43"/>
  <c r="AQ54" i="43"/>
  <c r="AR54" i="43"/>
  <c r="AS54" i="43"/>
  <c r="AT54" i="43"/>
  <c r="AU54" i="43"/>
  <c r="AV54" i="43"/>
  <c r="N55" i="43"/>
  <c r="O55" i="43"/>
  <c r="P55" i="43"/>
  <c r="Q55" i="43"/>
  <c r="R55" i="43"/>
  <c r="S55" i="43"/>
  <c r="T55" i="43"/>
  <c r="U55" i="43"/>
  <c r="V55" i="43"/>
  <c r="W55" i="43"/>
  <c r="X55" i="43"/>
  <c r="Y55" i="43"/>
  <c r="Z55" i="43"/>
  <c r="AA55" i="43"/>
  <c r="AB55" i="43"/>
  <c r="AC55" i="43"/>
  <c r="AD55" i="43"/>
  <c r="AE55" i="43"/>
  <c r="AF55" i="43"/>
  <c r="AG55" i="43"/>
  <c r="AH55" i="43"/>
  <c r="AI55" i="43"/>
  <c r="AJ55" i="43"/>
  <c r="AK55" i="43"/>
  <c r="AL55" i="43"/>
  <c r="AM55" i="43"/>
  <c r="AN55" i="43"/>
  <c r="AO55" i="43"/>
  <c r="AP55" i="43"/>
  <c r="AQ55" i="43"/>
  <c r="AR55" i="43"/>
  <c r="AS55" i="43"/>
  <c r="AT55" i="43"/>
  <c r="AU55" i="43"/>
  <c r="AV55" i="43"/>
  <c r="N56" i="43"/>
  <c r="O56" i="43"/>
  <c r="P56" i="43"/>
  <c r="Q56" i="43"/>
  <c r="R56" i="43"/>
  <c r="S56" i="43"/>
  <c r="T56" i="43"/>
  <c r="U56" i="43"/>
  <c r="V56" i="43"/>
  <c r="W56" i="43"/>
  <c r="X56" i="43"/>
  <c r="Y56" i="43"/>
  <c r="Z56" i="43"/>
  <c r="AA56" i="43"/>
  <c r="AB56" i="43"/>
  <c r="AC56" i="43"/>
  <c r="AD56" i="43"/>
  <c r="AE56" i="43"/>
  <c r="AF56" i="43"/>
  <c r="AG56" i="43"/>
  <c r="AH56" i="43"/>
  <c r="AI56" i="43"/>
  <c r="AJ56" i="43"/>
  <c r="AK56" i="43"/>
  <c r="AL56" i="43"/>
  <c r="AM56" i="43"/>
  <c r="AN56" i="43"/>
  <c r="AO56" i="43"/>
  <c r="AP56" i="43"/>
  <c r="AQ56" i="43"/>
  <c r="AR56" i="43"/>
  <c r="AS56" i="43"/>
  <c r="AT56" i="43"/>
  <c r="AU56" i="43"/>
  <c r="AV56" i="43"/>
  <c r="N57" i="43"/>
  <c r="O57" i="43"/>
  <c r="P57" i="43"/>
  <c r="Q57" i="43"/>
  <c r="R57" i="43"/>
  <c r="S57" i="43"/>
  <c r="T57" i="43"/>
  <c r="U57" i="43"/>
  <c r="V57" i="43"/>
  <c r="W57" i="43"/>
  <c r="X57" i="43"/>
  <c r="Y57" i="43"/>
  <c r="Z57" i="43"/>
  <c r="AA57" i="43"/>
  <c r="AB57" i="43"/>
  <c r="AC57" i="43"/>
  <c r="AD57" i="43"/>
  <c r="AE57" i="43"/>
  <c r="AF57" i="43"/>
  <c r="AG57" i="43"/>
  <c r="AH57" i="43"/>
  <c r="AI57" i="43"/>
  <c r="AJ57" i="43"/>
  <c r="AK57" i="43"/>
  <c r="AL57" i="43"/>
  <c r="AM57" i="43"/>
  <c r="AN57" i="43"/>
  <c r="AO57" i="43"/>
  <c r="AP57" i="43"/>
  <c r="AQ57" i="43"/>
  <c r="AR57" i="43"/>
  <c r="AS57" i="43"/>
  <c r="AT57" i="43"/>
  <c r="AU57" i="43"/>
  <c r="AV57" i="43"/>
  <c r="N58" i="43"/>
  <c r="O58" i="43"/>
  <c r="P58" i="43"/>
  <c r="Q58" i="43"/>
  <c r="R58" i="43"/>
  <c r="S58" i="43"/>
  <c r="T58" i="43"/>
  <c r="U58" i="43"/>
  <c r="V58" i="43"/>
  <c r="W58" i="43"/>
  <c r="X58" i="43"/>
  <c r="Y58" i="43"/>
  <c r="Z58" i="43"/>
  <c r="AA58" i="43"/>
  <c r="AB58" i="43"/>
  <c r="AC58" i="43"/>
  <c r="AD58" i="43"/>
  <c r="AE58" i="43"/>
  <c r="AF58" i="43"/>
  <c r="AG58" i="43"/>
  <c r="AH58" i="43"/>
  <c r="AI58" i="43"/>
  <c r="AJ58" i="43"/>
  <c r="AK58" i="43"/>
  <c r="AL58" i="43"/>
  <c r="AM58" i="43"/>
  <c r="AN58" i="43"/>
  <c r="AO58" i="43"/>
  <c r="AP58" i="43"/>
  <c r="AQ58" i="43"/>
  <c r="AR58" i="43"/>
  <c r="AS58" i="43"/>
  <c r="AT58" i="43"/>
  <c r="AU58" i="43"/>
  <c r="AV58" i="43"/>
  <c r="N59" i="43"/>
  <c r="O59" i="43"/>
  <c r="P59" i="43"/>
  <c r="Q59" i="43"/>
  <c r="R59" i="43"/>
  <c r="S59" i="43"/>
  <c r="T59" i="43"/>
  <c r="U59" i="43"/>
  <c r="V59" i="43"/>
  <c r="W59" i="43"/>
  <c r="X59" i="43"/>
  <c r="Y59" i="43"/>
  <c r="Z59" i="43"/>
  <c r="AA59" i="43"/>
  <c r="AB59" i="43"/>
  <c r="AC59" i="43"/>
  <c r="AD59" i="43"/>
  <c r="AE59" i="43"/>
  <c r="AF59" i="43"/>
  <c r="AG59" i="43"/>
  <c r="AH59" i="43"/>
  <c r="AI59" i="43"/>
  <c r="AJ59" i="43"/>
  <c r="AK59" i="43"/>
  <c r="AL59" i="43"/>
  <c r="AM59" i="43"/>
  <c r="AN59" i="43"/>
  <c r="AO59" i="43"/>
  <c r="AP59" i="43"/>
  <c r="AQ59" i="43"/>
  <c r="AR59" i="43"/>
  <c r="AS59" i="43"/>
  <c r="AT59" i="43"/>
  <c r="AU59" i="43"/>
  <c r="AV59" i="43"/>
  <c r="N60" i="43"/>
  <c r="O60" i="43"/>
  <c r="P60" i="43"/>
  <c r="Q60" i="43"/>
  <c r="R60" i="43"/>
  <c r="S60" i="43"/>
  <c r="T60" i="43"/>
  <c r="U60" i="43"/>
  <c r="V60" i="43"/>
  <c r="W60" i="43"/>
  <c r="X60" i="43"/>
  <c r="Y60" i="43"/>
  <c r="Z60" i="43"/>
  <c r="AA60" i="43"/>
  <c r="AB60" i="43"/>
  <c r="AC60" i="43"/>
  <c r="AD60" i="43"/>
  <c r="AE60" i="43"/>
  <c r="AF60" i="43"/>
  <c r="AG60" i="43"/>
  <c r="AH60" i="43"/>
  <c r="AI60" i="43"/>
  <c r="AJ60" i="43"/>
  <c r="AK60" i="43"/>
  <c r="AL60" i="43"/>
  <c r="AM60" i="43"/>
  <c r="AN60" i="43"/>
  <c r="AO60" i="43"/>
  <c r="AP60" i="43"/>
  <c r="AQ60" i="43"/>
  <c r="AR60" i="43"/>
  <c r="AS60" i="43"/>
  <c r="AT60" i="43"/>
  <c r="AU60" i="43"/>
  <c r="AV60" i="43"/>
  <c r="N61" i="43"/>
  <c r="O61" i="43"/>
  <c r="P61" i="43"/>
  <c r="Q61" i="43"/>
  <c r="R61" i="43"/>
  <c r="S61" i="43"/>
  <c r="T61" i="43"/>
  <c r="U61" i="43"/>
  <c r="V61" i="43"/>
  <c r="W61" i="43"/>
  <c r="X61" i="43"/>
  <c r="Y61" i="43"/>
  <c r="Z61" i="43"/>
  <c r="AA61" i="43"/>
  <c r="AB61" i="43"/>
  <c r="AC61" i="43"/>
  <c r="AD61" i="43"/>
  <c r="AE61" i="43"/>
  <c r="AF61" i="43"/>
  <c r="AG61" i="43"/>
  <c r="AH61" i="43"/>
  <c r="AI61" i="43"/>
  <c r="AJ61" i="43"/>
  <c r="AK61" i="43"/>
  <c r="AL61" i="43"/>
  <c r="AM61" i="43"/>
  <c r="AN61" i="43"/>
  <c r="AO61" i="43"/>
  <c r="AP61" i="43"/>
  <c r="AQ61" i="43"/>
  <c r="AR61" i="43"/>
  <c r="AS61" i="43"/>
  <c r="AT61" i="43"/>
  <c r="AU61" i="43"/>
  <c r="AV61" i="43"/>
  <c r="N62" i="43"/>
  <c r="O62" i="43"/>
  <c r="P62" i="43"/>
  <c r="Q62" i="43"/>
  <c r="R62" i="43"/>
  <c r="S62" i="43"/>
  <c r="T62" i="43"/>
  <c r="U62" i="43"/>
  <c r="V62" i="43"/>
  <c r="W62" i="43"/>
  <c r="X62" i="43"/>
  <c r="Y62" i="43"/>
  <c r="Z62" i="43"/>
  <c r="AA62" i="43"/>
  <c r="AB62" i="43"/>
  <c r="AC62" i="43"/>
  <c r="AD62" i="43"/>
  <c r="AE62" i="43"/>
  <c r="AF62" i="43"/>
  <c r="AG62" i="43"/>
  <c r="AH62" i="43"/>
  <c r="AI62" i="43"/>
  <c r="AJ62" i="43"/>
  <c r="AK62" i="43"/>
  <c r="AL62" i="43"/>
  <c r="AM62" i="43"/>
  <c r="AN62" i="43"/>
  <c r="AO62" i="43"/>
  <c r="AP62" i="43"/>
  <c r="AQ62" i="43"/>
  <c r="AR62" i="43"/>
  <c r="AS62" i="43"/>
  <c r="AT62" i="43"/>
  <c r="AU62" i="43"/>
  <c r="AV62" i="43"/>
  <c r="N63" i="43"/>
  <c r="O63" i="43"/>
  <c r="P63" i="43"/>
  <c r="Q63" i="43"/>
  <c r="R63" i="43"/>
  <c r="S63" i="43"/>
  <c r="T63" i="43"/>
  <c r="U63" i="43"/>
  <c r="V63" i="43"/>
  <c r="W63" i="43"/>
  <c r="X63" i="43"/>
  <c r="Y63" i="43"/>
  <c r="Z63" i="43"/>
  <c r="AA63" i="43"/>
  <c r="AB63" i="43"/>
  <c r="AC63" i="43"/>
  <c r="AD63" i="43"/>
  <c r="AE63" i="43"/>
  <c r="AF63" i="43"/>
  <c r="AG63" i="43"/>
  <c r="AH63" i="43"/>
  <c r="AI63" i="43"/>
  <c r="AJ63" i="43"/>
  <c r="AK63" i="43"/>
  <c r="AL63" i="43"/>
  <c r="AM63" i="43"/>
  <c r="AN63" i="43"/>
  <c r="AO63" i="43"/>
  <c r="AP63" i="43"/>
  <c r="AQ63" i="43"/>
  <c r="AR63" i="43"/>
  <c r="AS63" i="43"/>
  <c r="AT63" i="43"/>
  <c r="AU63" i="43"/>
  <c r="AV63" i="43"/>
  <c r="N64" i="43"/>
  <c r="O64" i="43"/>
  <c r="P64" i="43"/>
  <c r="Q64" i="43"/>
  <c r="R64" i="43"/>
  <c r="S64" i="43"/>
  <c r="T64" i="43"/>
  <c r="U64" i="43"/>
  <c r="V64" i="43"/>
  <c r="W64" i="43"/>
  <c r="X64" i="43"/>
  <c r="Y64" i="43"/>
  <c r="Z64" i="43"/>
  <c r="AA64" i="43"/>
  <c r="AB64" i="43"/>
  <c r="AC64" i="43"/>
  <c r="AD64" i="43"/>
  <c r="AE64" i="43"/>
  <c r="AF64" i="43"/>
  <c r="AG64" i="43"/>
  <c r="AH64" i="43"/>
  <c r="AI64" i="43"/>
  <c r="AJ64" i="43"/>
  <c r="AK64" i="43"/>
  <c r="AL64" i="43"/>
  <c r="AM64" i="43"/>
  <c r="AN64" i="43"/>
  <c r="AO64" i="43"/>
  <c r="AP64" i="43"/>
  <c r="AQ64" i="43"/>
  <c r="AR64" i="43"/>
  <c r="AS64" i="43"/>
  <c r="AT64" i="43"/>
  <c r="AU64" i="43"/>
  <c r="AV64" i="43"/>
  <c r="N65" i="43"/>
  <c r="O65" i="43"/>
  <c r="P65" i="43"/>
  <c r="Q65" i="43"/>
  <c r="R65" i="43"/>
  <c r="S65" i="43"/>
  <c r="T65" i="43"/>
  <c r="U65" i="43"/>
  <c r="V65" i="43"/>
  <c r="W65" i="43"/>
  <c r="X65" i="43"/>
  <c r="Y65" i="43"/>
  <c r="Z65" i="43"/>
  <c r="AA65" i="43"/>
  <c r="AB65" i="43"/>
  <c r="AC65" i="43"/>
  <c r="AD65" i="43"/>
  <c r="AE65" i="43"/>
  <c r="AF65" i="43"/>
  <c r="AG65" i="43"/>
  <c r="AH65" i="43"/>
  <c r="AI65" i="43"/>
  <c r="AJ65" i="43"/>
  <c r="AK65" i="43"/>
  <c r="AL65" i="43"/>
  <c r="AM65" i="43"/>
  <c r="AN65" i="43"/>
  <c r="AO65" i="43"/>
  <c r="AP65" i="43"/>
  <c r="AQ65" i="43"/>
  <c r="AR65" i="43"/>
  <c r="AS65" i="43"/>
  <c r="AT65" i="43"/>
  <c r="AU65" i="43"/>
  <c r="AV65" i="43"/>
  <c r="N66" i="43"/>
  <c r="O66" i="43"/>
  <c r="P66" i="43"/>
  <c r="Q66" i="43"/>
  <c r="R66" i="43"/>
  <c r="S66" i="43"/>
  <c r="T66" i="43"/>
  <c r="U66" i="43"/>
  <c r="V66" i="43"/>
  <c r="W66" i="43"/>
  <c r="X66" i="43"/>
  <c r="Y66" i="43"/>
  <c r="Z66" i="43"/>
  <c r="AA66" i="43"/>
  <c r="AB66" i="43"/>
  <c r="AC66" i="43"/>
  <c r="AD66" i="43"/>
  <c r="AE66" i="43"/>
  <c r="AF66" i="43"/>
  <c r="AG66" i="43"/>
  <c r="AH66" i="43"/>
  <c r="AI66" i="43"/>
  <c r="AJ66" i="43"/>
  <c r="AK66" i="43"/>
  <c r="AL66" i="43"/>
  <c r="AM66" i="43"/>
  <c r="AN66" i="43"/>
  <c r="AO66" i="43"/>
  <c r="AP66" i="43"/>
  <c r="AQ66" i="43"/>
  <c r="AR66" i="43"/>
  <c r="AS66" i="43"/>
  <c r="AT66" i="43"/>
  <c r="AU66" i="43"/>
  <c r="AV66" i="43"/>
  <c r="N67" i="43"/>
  <c r="O67" i="43"/>
  <c r="P67" i="43"/>
  <c r="Q67" i="43"/>
  <c r="R67" i="43"/>
  <c r="S67" i="43"/>
  <c r="T67" i="43"/>
  <c r="U67" i="43"/>
  <c r="V67" i="43"/>
  <c r="W67" i="43"/>
  <c r="X67" i="43"/>
  <c r="Y67" i="43"/>
  <c r="Z67" i="43"/>
  <c r="AA67" i="43"/>
  <c r="AB67" i="43"/>
  <c r="AC67" i="43"/>
  <c r="AD67" i="43"/>
  <c r="AE67" i="43"/>
  <c r="AF67" i="43"/>
  <c r="AG67" i="43"/>
  <c r="AH67" i="43"/>
  <c r="AI67" i="43"/>
  <c r="AJ67" i="43"/>
  <c r="AK67" i="43"/>
  <c r="AL67" i="43"/>
  <c r="AM67" i="43"/>
  <c r="AN67" i="43"/>
  <c r="AO67" i="43"/>
  <c r="AP67" i="43"/>
  <c r="AQ67" i="43"/>
  <c r="AR67" i="43"/>
  <c r="AS67" i="43"/>
  <c r="AT67" i="43"/>
  <c r="AU67" i="43"/>
  <c r="AV67" i="43"/>
  <c r="N69" i="43"/>
  <c r="O69" i="43"/>
  <c r="P69" i="43"/>
  <c r="Q69" i="43"/>
  <c r="R69" i="43"/>
  <c r="S69" i="43"/>
  <c r="T69" i="43"/>
  <c r="U69" i="43"/>
  <c r="V69" i="43"/>
  <c r="W69" i="43"/>
  <c r="X69" i="43"/>
  <c r="Y69" i="43"/>
  <c r="Z69" i="43"/>
  <c r="AA69" i="43"/>
  <c r="AB69" i="43"/>
  <c r="AC69" i="43"/>
  <c r="AD69" i="43"/>
  <c r="AE69" i="43"/>
  <c r="AF69" i="43"/>
  <c r="AG69" i="43"/>
  <c r="AH69" i="43"/>
  <c r="AI69" i="43"/>
  <c r="AJ69" i="43"/>
  <c r="AK69" i="43"/>
  <c r="AL69" i="43"/>
  <c r="AM69" i="43"/>
  <c r="AN69" i="43"/>
  <c r="AO69" i="43"/>
  <c r="AP69" i="43"/>
  <c r="AQ69" i="43"/>
  <c r="AR69" i="43"/>
  <c r="AS69" i="43"/>
  <c r="AT69" i="43"/>
  <c r="AU69" i="43"/>
  <c r="AV69" i="43"/>
  <c r="N70" i="43"/>
  <c r="O70" i="43"/>
  <c r="P70" i="43"/>
  <c r="Q70" i="43"/>
  <c r="R70" i="43"/>
  <c r="S70" i="43"/>
  <c r="T70" i="43"/>
  <c r="U70" i="43"/>
  <c r="V70" i="43"/>
  <c r="W70" i="43"/>
  <c r="X70" i="43"/>
  <c r="Y70" i="43"/>
  <c r="Z70" i="43"/>
  <c r="AA70" i="43"/>
  <c r="AB70" i="43"/>
  <c r="AC70" i="43"/>
  <c r="AD70" i="43"/>
  <c r="AE70" i="43"/>
  <c r="AF70" i="43"/>
  <c r="AG70" i="43"/>
  <c r="AH70" i="43"/>
  <c r="AI70" i="43"/>
  <c r="AJ70" i="43"/>
  <c r="AK70" i="43"/>
  <c r="AL70" i="43"/>
  <c r="AM70" i="43"/>
  <c r="AN70" i="43"/>
  <c r="AO70" i="43"/>
  <c r="AP70" i="43"/>
  <c r="AQ70" i="43"/>
  <c r="AR70" i="43"/>
  <c r="AS70" i="43"/>
  <c r="AT70" i="43"/>
  <c r="AU70" i="43"/>
  <c r="AV70" i="43"/>
  <c r="N71" i="43"/>
  <c r="O71" i="43"/>
  <c r="P71" i="43"/>
  <c r="Q71" i="43"/>
  <c r="R71" i="43"/>
  <c r="S71" i="43"/>
  <c r="T71" i="43"/>
  <c r="U71" i="43"/>
  <c r="V71" i="43"/>
  <c r="W71" i="43"/>
  <c r="X71" i="43"/>
  <c r="Y71" i="43"/>
  <c r="Z71" i="43"/>
  <c r="AA71" i="43"/>
  <c r="AB71" i="43"/>
  <c r="AC71" i="43"/>
  <c r="AD71" i="43"/>
  <c r="AE71" i="43"/>
  <c r="AF71" i="43"/>
  <c r="AG71" i="43"/>
  <c r="AH71" i="43"/>
  <c r="AI71" i="43"/>
  <c r="AJ71" i="43"/>
  <c r="AK71" i="43"/>
  <c r="AL71" i="43"/>
  <c r="AM71" i="43"/>
  <c r="AN71" i="43"/>
  <c r="AO71" i="43"/>
  <c r="AP71" i="43"/>
  <c r="AQ71" i="43"/>
  <c r="AR71" i="43"/>
  <c r="AS71" i="43"/>
  <c r="AT71" i="43"/>
  <c r="AU71" i="43"/>
  <c r="AV71" i="43"/>
  <c r="N72" i="43"/>
  <c r="O72" i="43"/>
  <c r="P72" i="43"/>
  <c r="Q72" i="43"/>
  <c r="R72" i="43"/>
  <c r="S72" i="43"/>
  <c r="T72" i="43"/>
  <c r="U72" i="43"/>
  <c r="V72" i="43"/>
  <c r="W72" i="43"/>
  <c r="X72" i="43"/>
  <c r="Y72" i="43"/>
  <c r="Z72" i="43"/>
  <c r="AA72" i="43"/>
  <c r="AB72" i="43"/>
  <c r="AC72" i="43"/>
  <c r="AD72" i="43"/>
  <c r="AE72" i="43"/>
  <c r="AF72" i="43"/>
  <c r="AG72" i="43"/>
  <c r="AH72" i="43"/>
  <c r="AI72" i="43"/>
  <c r="AJ72" i="43"/>
  <c r="AK72" i="43"/>
  <c r="AL72" i="43"/>
  <c r="AM72" i="43"/>
  <c r="AN72" i="43"/>
  <c r="AO72" i="43"/>
  <c r="AP72" i="43"/>
  <c r="AQ72" i="43"/>
  <c r="AR72" i="43"/>
  <c r="AS72" i="43"/>
  <c r="AT72" i="43"/>
  <c r="AU72" i="43"/>
  <c r="AV72" i="43"/>
  <c r="N73" i="43"/>
  <c r="O73" i="43"/>
  <c r="P73" i="43"/>
  <c r="Q73" i="43"/>
  <c r="R73" i="43"/>
  <c r="S73" i="43"/>
  <c r="T73" i="43"/>
  <c r="U73" i="43"/>
  <c r="V73" i="43"/>
  <c r="W73" i="43"/>
  <c r="X73" i="43"/>
  <c r="Y73" i="43"/>
  <c r="Z73" i="43"/>
  <c r="AA73" i="43"/>
  <c r="AB73" i="43"/>
  <c r="AC73" i="43"/>
  <c r="AD73" i="43"/>
  <c r="AE73" i="43"/>
  <c r="AF73" i="43"/>
  <c r="AG73" i="43"/>
  <c r="AH73" i="43"/>
  <c r="AI73" i="43"/>
  <c r="AJ73" i="43"/>
  <c r="AK73" i="43"/>
  <c r="AL73" i="43"/>
  <c r="AM73" i="43"/>
  <c r="AN73" i="43"/>
  <c r="AO73" i="43"/>
  <c r="AP73" i="43"/>
  <c r="AQ73" i="43"/>
  <c r="AR73" i="43"/>
  <c r="AS73" i="43"/>
  <c r="AT73" i="43"/>
  <c r="AU73" i="43"/>
  <c r="AV73" i="43"/>
  <c r="N74" i="43"/>
  <c r="O74" i="43"/>
  <c r="P74" i="43"/>
  <c r="Q74" i="43"/>
  <c r="R74" i="43"/>
  <c r="S74" i="43"/>
  <c r="T74" i="43"/>
  <c r="U74" i="43"/>
  <c r="V74" i="43"/>
  <c r="W74" i="43"/>
  <c r="X74" i="43"/>
  <c r="Y74" i="43"/>
  <c r="Z74" i="43"/>
  <c r="AA74" i="43"/>
  <c r="AB74" i="43"/>
  <c r="AC74" i="43"/>
  <c r="AD74" i="43"/>
  <c r="AE74" i="43"/>
  <c r="AF74" i="43"/>
  <c r="AG74" i="43"/>
  <c r="AH74" i="43"/>
  <c r="AI74" i="43"/>
  <c r="AJ74" i="43"/>
  <c r="AK74" i="43"/>
  <c r="AL74" i="43"/>
  <c r="AM74" i="43"/>
  <c r="AN74" i="43"/>
  <c r="AO74" i="43"/>
  <c r="AP74" i="43"/>
  <c r="AQ74" i="43"/>
  <c r="AR74" i="43"/>
  <c r="AS74" i="43"/>
  <c r="AT74" i="43"/>
  <c r="AU74" i="43"/>
  <c r="AV74" i="43"/>
  <c r="N75" i="43"/>
  <c r="O75" i="43"/>
  <c r="P75" i="43"/>
  <c r="Q75" i="43"/>
  <c r="R75" i="43"/>
  <c r="S75" i="43"/>
  <c r="T75" i="43"/>
  <c r="U75" i="43"/>
  <c r="V75" i="43"/>
  <c r="W75" i="43"/>
  <c r="X75" i="43"/>
  <c r="Y75" i="43"/>
  <c r="Z75" i="43"/>
  <c r="AA75" i="43"/>
  <c r="AB75" i="43"/>
  <c r="AC75" i="43"/>
  <c r="AD75" i="43"/>
  <c r="AE75" i="43"/>
  <c r="AF75" i="43"/>
  <c r="AG75" i="43"/>
  <c r="AH75" i="43"/>
  <c r="AI75" i="43"/>
  <c r="AJ75" i="43"/>
  <c r="AK75" i="43"/>
  <c r="AL75" i="43"/>
  <c r="AM75" i="43"/>
  <c r="AN75" i="43"/>
  <c r="AO75" i="43"/>
  <c r="AP75" i="43"/>
  <c r="AQ75" i="43"/>
  <c r="AR75" i="43"/>
  <c r="AS75" i="43"/>
  <c r="AT75" i="43"/>
  <c r="AU75" i="43"/>
  <c r="AV75" i="43"/>
  <c r="N76" i="43"/>
  <c r="O76" i="43"/>
  <c r="P76" i="43"/>
  <c r="Q76" i="43"/>
  <c r="R76" i="43"/>
  <c r="S76" i="43"/>
  <c r="T76" i="43"/>
  <c r="U76" i="43"/>
  <c r="V76" i="43"/>
  <c r="W76" i="43"/>
  <c r="X76" i="43"/>
  <c r="Y76" i="43"/>
  <c r="Z76" i="43"/>
  <c r="AA76" i="43"/>
  <c r="AB76" i="43"/>
  <c r="AC76" i="43"/>
  <c r="AD76" i="43"/>
  <c r="AE76" i="43"/>
  <c r="AF76" i="43"/>
  <c r="AG76" i="43"/>
  <c r="AH76" i="43"/>
  <c r="AI76" i="43"/>
  <c r="AJ76" i="43"/>
  <c r="AK76" i="43"/>
  <c r="AL76" i="43"/>
  <c r="AM76" i="43"/>
  <c r="AN76" i="43"/>
  <c r="AO76" i="43"/>
  <c r="AP76" i="43"/>
  <c r="AQ76" i="43"/>
  <c r="AR76" i="43"/>
  <c r="AS76" i="43"/>
  <c r="AT76" i="43"/>
  <c r="AU76" i="43"/>
  <c r="AV76" i="43"/>
  <c r="N77" i="43"/>
  <c r="O77" i="43"/>
  <c r="P77" i="43"/>
  <c r="Q77" i="43"/>
  <c r="R77" i="43"/>
  <c r="S77" i="43"/>
  <c r="T77" i="43"/>
  <c r="U77" i="43"/>
  <c r="V77" i="43"/>
  <c r="W77" i="43"/>
  <c r="X77" i="43"/>
  <c r="Y77" i="43"/>
  <c r="Z77" i="43"/>
  <c r="AA77" i="43"/>
  <c r="AB77" i="43"/>
  <c r="AC77" i="43"/>
  <c r="AD77" i="43"/>
  <c r="AE77" i="43"/>
  <c r="AF77" i="43"/>
  <c r="AG77" i="43"/>
  <c r="AH77" i="43"/>
  <c r="AI77" i="43"/>
  <c r="AJ77" i="43"/>
  <c r="AK77" i="43"/>
  <c r="AL77" i="43"/>
  <c r="AM77" i="43"/>
  <c r="AN77" i="43"/>
  <c r="AO77" i="43"/>
  <c r="AP77" i="43"/>
  <c r="AQ77" i="43"/>
  <c r="AR77" i="43"/>
  <c r="AS77" i="43"/>
  <c r="AT77" i="43"/>
  <c r="AU77" i="43"/>
  <c r="AV77" i="43"/>
  <c r="N78" i="43"/>
  <c r="O78" i="43"/>
  <c r="P78" i="43"/>
  <c r="Q78" i="43"/>
  <c r="R78" i="43"/>
  <c r="S78" i="43"/>
  <c r="T78" i="43"/>
  <c r="U78" i="43"/>
  <c r="V78" i="43"/>
  <c r="W78" i="43"/>
  <c r="X78" i="43"/>
  <c r="Y78" i="43"/>
  <c r="Z78" i="43"/>
  <c r="AA78" i="43"/>
  <c r="AB78" i="43"/>
  <c r="AC78" i="43"/>
  <c r="AD78" i="43"/>
  <c r="AE78" i="43"/>
  <c r="AF78" i="43"/>
  <c r="AG78" i="43"/>
  <c r="AH78" i="43"/>
  <c r="AI78" i="43"/>
  <c r="AJ78" i="43"/>
  <c r="AK78" i="43"/>
  <c r="AL78" i="43"/>
  <c r="AM78" i="43"/>
  <c r="AN78" i="43"/>
  <c r="AO78" i="43"/>
  <c r="AP78" i="43"/>
  <c r="AQ78" i="43"/>
  <c r="AR78" i="43"/>
  <c r="AS78" i="43"/>
  <c r="AT78" i="43"/>
  <c r="AU78" i="43"/>
  <c r="AV78" i="43"/>
  <c r="N79" i="43"/>
  <c r="O79" i="43"/>
  <c r="P79" i="43"/>
  <c r="Q79" i="43"/>
  <c r="R79" i="43"/>
  <c r="S79" i="43"/>
  <c r="T79" i="43"/>
  <c r="U79" i="43"/>
  <c r="V79" i="43"/>
  <c r="W79" i="43"/>
  <c r="X79" i="43"/>
  <c r="Y79" i="43"/>
  <c r="Z79" i="43"/>
  <c r="AA79" i="43"/>
  <c r="AB79" i="43"/>
  <c r="AC79" i="43"/>
  <c r="AD79" i="43"/>
  <c r="AE79" i="43"/>
  <c r="AF79" i="43"/>
  <c r="AG79" i="43"/>
  <c r="AH79" i="43"/>
  <c r="AI79" i="43"/>
  <c r="AJ79" i="43"/>
  <c r="AK79" i="43"/>
  <c r="AL79" i="43"/>
  <c r="AM79" i="43"/>
  <c r="AN79" i="43"/>
  <c r="AO79" i="43"/>
  <c r="AP79" i="43"/>
  <c r="AQ79" i="43"/>
  <c r="AR79" i="43"/>
  <c r="AS79" i="43"/>
  <c r="AT79" i="43"/>
  <c r="AU79" i="43"/>
  <c r="AV79" i="43"/>
  <c r="N80" i="43"/>
  <c r="O80" i="43"/>
  <c r="P80" i="43"/>
  <c r="Q80" i="43"/>
  <c r="R80" i="43"/>
  <c r="S80" i="43"/>
  <c r="T80" i="43"/>
  <c r="U80" i="43"/>
  <c r="V80" i="43"/>
  <c r="W80" i="43"/>
  <c r="X80" i="43"/>
  <c r="Y80" i="43"/>
  <c r="Z80" i="43"/>
  <c r="AA80" i="43"/>
  <c r="AB80" i="43"/>
  <c r="AC80" i="43"/>
  <c r="AD80" i="43"/>
  <c r="AE80" i="43"/>
  <c r="AF80" i="43"/>
  <c r="AG80" i="43"/>
  <c r="AH80" i="43"/>
  <c r="AI80" i="43"/>
  <c r="AJ80" i="43"/>
  <c r="AK80" i="43"/>
  <c r="AL80" i="43"/>
  <c r="AM80" i="43"/>
  <c r="AN80" i="43"/>
  <c r="AO80" i="43"/>
  <c r="AP80" i="43"/>
  <c r="AQ80" i="43"/>
  <c r="AR80" i="43"/>
  <c r="AS80" i="43"/>
  <c r="AT80" i="43"/>
  <c r="AU80" i="43"/>
  <c r="AV80" i="43"/>
  <c r="N81" i="43"/>
  <c r="O81" i="43"/>
  <c r="P81" i="43"/>
  <c r="Q81" i="43"/>
  <c r="R81" i="43"/>
  <c r="S81" i="43"/>
  <c r="T81" i="43"/>
  <c r="U81" i="43"/>
  <c r="V81" i="43"/>
  <c r="W81" i="43"/>
  <c r="X81" i="43"/>
  <c r="Y81" i="43"/>
  <c r="Z81" i="43"/>
  <c r="AA81" i="43"/>
  <c r="AB81" i="43"/>
  <c r="AC81" i="43"/>
  <c r="AD81" i="43"/>
  <c r="AE81" i="43"/>
  <c r="AF81" i="43"/>
  <c r="AG81" i="43"/>
  <c r="AH81" i="43"/>
  <c r="AI81" i="43"/>
  <c r="AJ81" i="43"/>
  <c r="AK81" i="43"/>
  <c r="AL81" i="43"/>
  <c r="AM81" i="43"/>
  <c r="AN81" i="43"/>
  <c r="AO81" i="43"/>
  <c r="AP81" i="43"/>
  <c r="AQ81" i="43"/>
  <c r="AR81" i="43"/>
  <c r="AS81" i="43"/>
  <c r="AT81" i="43"/>
  <c r="AU81" i="43"/>
  <c r="AV81" i="43"/>
  <c r="N82" i="43"/>
  <c r="O82" i="43"/>
  <c r="P82" i="43"/>
  <c r="Q82" i="43"/>
  <c r="R82" i="43"/>
  <c r="S82" i="43"/>
  <c r="T82" i="43"/>
  <c r="U82" i="43"/>
  <c r="V82" i="43"/>
  <c r="W82" i="43"/>
  <c r="X82" i="43"/>
  <c r="Y82" i="43"/>
  <c r="Z82" i="43"/>
  <c r="AA82" i="43"/>
  <c r="AB82" i="43"/>
  <c r="AC82" i="43"/>
  <c r="AD82" i="43"/>
  <c r="AE82" i="43"/>
  <c r="AF82" i="43"/>
  <c r="AG82" i="43"/>
  <c r="AH82" i="43"/>
  <c r="AI82" i="43"/>
  <c r="AJ82" i="43"/>
  <c r="AK82" i="43"/>
  <c r="AL82" i="43"/>
  <c r="AM82" i="43"/>
  <c r="AN82" i="43"/>
  <c r="AO82" i="43"/>
  <c r="AP82" i="43"/>
  <c r="AQ82" i="43"/>
  <c r="AR82" i="43"/>
  <c r="AS82" i="43"/>
  <c r="AT82" i="43"/>
  <c r="AU82" i="43"/>
  <c r="AV82" i="43"/>
  <c r="N83" i="43"/>
  <c r="O83" i="43"/>
  <c r="P83" i="43"/>
  <c r="Q83" i="43"/>
  <c r="R83" i="43"/>
  <c r="S83" i="43"/>
  <c r="T83" i="43"/>
  <c r="U83" i="43"/>
  <c r="V83" i="43"/>
  <c r="W83" i="43"/>
  <c r="X83" i="43"/>
  <c r="Y83" i="43"/>
  <c r="Z83" i="43"/>
  <c r="AA83" i="43"/>
  <c r="AB83" i="43"/>
  <c r="AC83" i="43"/>
  <c r="AD83" i="43"/>
  <c r="AE83" i="43"/>
  <c r="AF83" i="43"/>
  <c r="AG83" i="43"/>
  <c r="AH83" i="43"/>
  <c r="AI83" i="43"/>
  <c r="AJ83" i="43"/>
  <c r="AK83" i="43"/>
  <c r="AL83" i="43"/>
  <c r="AM83" i="43"/>
  <c r="AN83" i="43"/>
  <c r="AO83" i="43"/>
  <c r="AP83" i="43"/>
  <c r="AQ83" i="43"/>
  <c r="AR83" i="43"/>
  <c r="AS83" i="43"/>
  <c r="AT83" i="43"/>
  <c r="AU83" i="43"/>
  <c r="AV83" i="43"/>
  <c r="N84" i="43"/>
  <c r="O84" i="43"/>
  <c r="P84" i="43"/>
  <c r="Q84" i="43"/>
  <c r="R84" i="43"/>
  <c r="S84" i="43"/>
  <c r="T84" i="43"/>
  <c r="U84" i="43"/>
  <c r="V84" i="43"/>
  <c r="W84" i="43"/>
  <c r="X84" i="43"/>
  <c r="Y84" i="43"/>
  <c r="Z84" i="43"/>
  <c r="AA84" i="43"/>
  <c r="AB84" i="43"/>
  <c r="AC84" i="43"/>
  <c r="AD84" i="43"/>
  <c r="AE84" i="43"/>
  <c r="AF84" i="43"/>
  <c r="AG84" i="43"/>
  <c r="AH84" i="43"/>
  <c r="AI84" i="43"/>
  <c r="AJ84" i="43"/>
  <c r="AK84" i="43"/>
  <c r="AL84" i="43"/>
  <c r="AM84" i="43"/>
  <c r="AN84" i="43"/>
  <c r="AO84" i="43"/>
  <c r="AP84" i="43"/>
  <c r="AQ84" i="43"/>
  <c r="AR84" i="43"/>
  <c r="AS84" i="43"/>
  <c r="AT84" i="43"/>
  <c r="AU84" i="43"/>
  <c r="AV84" i="43"/>
  <c r="N85" i="43"/>
  <c r="O85" i="43"/>
  <c r="P85" i="43"/>
  <c r="Q85" i="43"/>
  <c r="R85" i="43"/>
  <c r="S85" i="43"/>
  <c r="T85" i="43"/>
  <c r="U85" i="43"/>
  <c r="V85" i="43"/>
  <c r="W85" i="43"/>
  <c r="X85" i="43"/>
  <c r="Y85" i="43"/>
  <c r="Z85" i="43"/>
  <c r="AA85" i="43"/>
  <c r="AB85" i="43"/>
  <c r="AC85" i="43"/>
  <c r="AD85" i="43"/>
  <c r="AE85" i="43"/>
  <c r="AF85" i="43"/>
  <c r="AG85" i="43"/>
  <c r="AH85" i="43"/>
  <c r="AI85" i="43"/>
  <c r="AJ85" i="43"/>
  <c r="AK85" i="43"/>
  <c r="AL85" i="43"/>
  <c r="AM85" i="43"/>
  <c r="AN85" i="43"/>
  <c r="AO85" i="43"/>
  <c r="AP85" i="43"/>
  <c r="AQ85" i="43"/>
  <c r="AR85" i="43"/>
  <c r="AS85" i="43"/>
  <c r="AT85" i="43"/>
  <c r="AU85" i="43"/>
  <c r="AV85" i="43"/>
  <c r="N86" i="43"/>
  <c r="O86" i="43"/>
  <c r="P86" i="43"/>
  <c r="Q86" i="43"/>
  <c r="R86" i="43"/>
  <c r="S86" i="43"/>
  <c r="T86" i="43"/>
  <c r="U86" i="43"/>
  <c r="V86" i="43"/>
  <c r="W86" i="43"/>
  <c r="X86" i="43"/>
  <c r="Y86" i="43"/>
  <c r="Z86" i="43"/>
  <c r="AA86" i="43"/>
  <c r="AB86" i="43"/>
  <c r="AC86" i="43"/>
  <c r="AD86" i="43"/>
  <c r="AE86" i="43"/>
  <c r="AF86" i="43"/>
  <c r="AG86" i="43"/>
  <c r="AH86" i="43"/>
  <c r="AI86" i="43"/>
  <c r="AJ86" i="43"/>
  <c r="AK86" i="43"/>
  <c r="AL86" i="43"/>
  <c r="AM86" i="43"/>
  <c r="AN86" i="43"/>
  <c r="AO86" i="43"/>
  <c r="AP86" i="43"/>
  <c r="AQ86" i="43"/>
  <c r="AR86" i="43"/>
  <c r="AS86" i="43"/>
  <c r="AT86" i="43"/>
  <c r="AU86" i="43"/>
  <c r="AV86" i="43"/>
  <c r="N87" i="43"/>
  <c r="O87" i="43"/>
  <c r="P87" i="43"/>
  <c r="Q87" i="43"/>
  <c r="R87" i="43"/>
  <c r="S87" i="43"/>
  <c r="T87" i="43"/>
  <c r="U87" i="43"/>
  <c r="V87" i="43"/>
  <c r="W87" i="43"/>
  <c r="X87" i="43"/>
  <c r="Y87" i="43"/>
  <c r="Z87" i="43"/>
  <c r="AA87" i="43"/>
  <c r="AB87" i="43"/>
  <c r="AC87" i="43"/>
  <c r="AD87" i="43"/>
  <c r="AE87" i="43"/>
  <c r="AF87" i="43"/>
  <c r="AG87" i="43"/>
  <c r="AH87" i="43"/>
  <c r="AI87" i="43"/>
  <c r="AJ87" i="43"/>
  <c r="AK87" i="43"/>
  <c r="AL87" i="43"/>
  <c r="AM87" i="43"/>
  <c r="AN87" i="43"/>
  <c r="AO87" i="43"/>
  <c r="AP87" i="43"/>
  <c r="AQ87" i="43"/>
  <c r="AR87" i="43"/>
  <c r="AS87" i="43"/>
  <c r="AT87" i="43"/>
  <c r="AU87" i="43"/>
  <c r="AV87" i="43"/>
  <c r="N88" i="43"/>
  <c r="O88" i="43"/>
  <c r="P88" i="43"/>
  <c r="Q88" i="43"/>
  <c r="R88" i="43"/>
  <c r="S88" i="43"/>
  <c r="T88" i="43"/>
  <c r="U88" i="43"/>
  <c r="V88" i="43"/>
  <c r="W88" i="43"/>
  <c r="X88" i="43"/>
  <c r="Y88" i="43"/>
  <c r="Z88" i="43"/>
  <c r="AA88" i="43"/>
  <c r="AB88" i="43"/>
  <c r="AC88" i="43"/>
  <c r="AD88" i="43"/>
  <c r="AE88" i="43"/>
  <c r="AF88" i="43"/>
  <c r="AG88" i="43"/>
  <c r="AH88" i="43"/>
  <c r="AI88" i="43"/>
  <c r="AJ88" i="43"/>
  <c r="AK88" i="43"/>
  <c r="AL88" i="43"/>
  <c r="AM88" i="43"/>
  <c r="AN88" i="43"/>
  <c r="AO88" i="43"/>
  <c r="AP88" i="43"/>
  <c r="AQ88" i="43"/>
  <c r="AR88" i="43"/>
  <c r="AS88" i="43"/>
  <c r="AT88" i="43"/>
  <c r="AU88" i="43"/>
  <c r="AV88" i="43"/>
  <c r="N89" i="43"/>
  <c r="O89" i="43"/>
  <c r="P89" i="43"/>
  <c r="Q89" i="43"/>
  <c r="R89" i="43"/>
  <c r="S89" i="43"/>
  <c r="T89" i="43"/>
  <c r="U89" i="43"/>
  <c r="V89" i="43"/>
  <c r="W89" i="43"/>
  <c r="X89" i="43"/>
  <c r="Y89" i="43"/>
  <c r="Z89" i="43"/>
  <c r="AA89" i="43"/>
  <c r="AB89" i="43"/>
  <c r="AC89" i="43"/>
  <c r="AD89" i="43"/>
  <c r="AE89" i="43"/>
  <c r="AF89" i="43"/>
  <c r="AG89" i="43"/>
  <c r="AH89" i="43"/>
  <c r="AI89" i="43"/>
  <c r="AJ89" i="43"/>
  <c r="AK89" i="43"/>
  <c r="AL89" i="43"/>
  <c r="AM89" i="43"/>
  <c r="AN89" i="43"/>
  <c r="AO89" i="43"/>
  <c r="AP89" i="43"/>
  <c r="AQ89" i="43"/>
  <c r="AR89" i="43"/>
  <c r="AS89" i="43"/>
  <c r="AT89" i="43"/>
  <c r="AU89" i="43"/>
  <c r="AV89" i="43"/>
  <c r="N90" i="43"/>
  <c r="O90" i="43"/>
  <c r="P90" i="43"/>
  <c r="Q90" i="43"/>
  <c r="R90" i="43"/>
  <c r="S90" i="43"/>
  <c r="T90" i="43"/>
  <c r="U90" i="43"/>
  <c r="V90" i="43"/>
  <c r="W90" i="43"/>
  <c r="X90" i="43"/>
  <c r="Y90" i="43"/>
  <c r="Z90" i="43"/>
  <c r="AA90" i="43"/>
  <c r="AB90" i="43"/>
  <c r="AC90" i="43"/>
  <c r="AD90" i="43"/>
  <c r="AE90" i="43"/>
  <c r="AF90" i="43"/>
  <c r="AG90" i="43"/>
  <c r="AH90" i="43"/>
  <c r="AI90" i="43"/>
  <c r="AJ90" i="43"/>
  <c r="AK90" i="43"/>
  <c r="AL90" i="43"/>
  <c r="AM90" i="43"/>
  <c r="AN90" i="43"/>
  <c r="AO90" i="43"/>
  <c r="AP90" i="43"/>
  <c r="AQ90" i="43"/>
  <c r="AR90" i="43"/>
  <c r="AS90" i="43"/>
  <c r="AT90" i="43"/>
  <c r="AU90" i="43"/>
  <c r="AV90" i="43"/>
  <c r="N91" i="43"/>
  <c r="O91" i="43"/>
  <c r="P91" i="43"/>
  <c r="Q91" i="43"/>
  <c r="R91" i="43"/>
  <c r="S91" i="43"/>
  <c r="T91" i="43"/>
  <c r="U91" i="43"/>
  <c r="V91" i="43"/>
  <c r="W91" i="43"/>
  <c r="X91" i="43"/>
  <c r="Y91" i="43"/>
  <c r="Z91" i="43"/>
  <c r="AA91" i="43"/>
  <c r="AB91" i="43"/>
  <c r="AC91" i="43"/>
  <c r="AD91" i="43"/>
  <c r="AE91" i="43"/>
  <c r="AF91" i="43"/>
  <c r="AG91" i="43"/>
  <c r="AH91" i="43"/>
  <c r="AI91" i="43"/>
  <c r="AJ91" i="43"/>
  <c r="AK91" i="43"/>
  <c r="AL91" i="43"/>
  <c r="AM91" i="43"/>
  <c r="AN91" i="43"/>
  <c r="AO91" i="43"/>
  <c r="AP91" i="43"/>
  <c r="AQ91" i="43"/>
  <c r="AR91" i="43"/>
  <c r="AS91" i="43"/>
  <c r="AT91" i="43"/>
  <c r="AU91" i="43"/>
  <c r="AV91" i="43"/>
  <c r="N93" i="43"/>
  <c r="O93" i="43"/>
  <c r="P93" i="43"/>
  <c r="Q93" i="43"/>
  <c r="R93" i="43"/>
  <c r="S93" i="43"/>
  <c r="T93" i="43"/>
  <c r="U93" i="43"/>
  <c r="V93" i="43"/>
  <c r="W93" i="43"/>
  <c r="X93" i="43"/>
  <c r="Y93" i="43"/>
  <c r="Z93" i="43"/>
  <c r="AA93" i="43"/>
  <c r="AB93" i="43"/>
  <c r="AC93" i="43"/>
  <c r="AD93" i="43"/>
  <c r="AE93" i="43"/>
  <c r="AF93" i="43"/>
  <c r="AG93" i="43"/>
  <c r="AH93" i="43"/>
  <c r="AI93" i="43"/>
  <c r="AJ93" i="43"/>
  <c r="AK93" i="43"/>
  <c r="AL93" i="43"/>
  <c r="AM93" i="43"/>
  <c r="AN93" i="43"/>
  <c r="AO93" i="43"/>
  <c r="AP93" i="43"/>
  <c r="AQ93" i="43"/>
  <c r="AR93" i="43"/>
  <c r="AS93" i="43"/>
  <c r="AT93" i="43"/>
  <c r="AU93" i="43"/>
  <c r="AV93" i="43"/>
  <c r="N94" i="43"/>
  <c r="O94" i="43"/>
  <c r="P94" i="43"/>
  <c r="Q94" i="43"/>
  <c r="R94" i="43"/>
  <c r="S94" i="43"/>
  <c r="T94" i="43"/>
  <c r="U94" i="43"/>
  <c r="V94" i="43"/>
  <c r="W94" i="43"/>
  <c r="X94" i="43"/>
  <c r="Y94" i="43"/>
  <c r="Z94" i="43"/>
  <c r="AA94" i="43"/>
  <c r="AB94" i="43"/>
  <c r="AC94" i="43"/>
  <c r="AD94" i="43"/>
  <c r="AE94" i="43"/>
  <c r="AF94" i="43"/>
  <c r="AG94" i="43"/>
  <c r="AH94" i="43"/>
  <c r="AI94" i="43"/>
  <c r="AJ94" i="43"/>
  <c r="AK94" i="43"/>
  <c r="AL94" i="43"/>
  <c r="AM94" i="43"/>
  <c r="AN94" i="43"/>
  <c r="AO94" i="43"/>
  <c r="AP94" i="43"/>
  <c r="AQ94" i="43"/>
  <c r="AR94" i="43"/>
  <c r="AS94" i="43"/>
  <c r="AT94" i="43"/>
  <c r="AU94" i="43"/>
  <c r="AV94" i="43"/>
  <c r="N95" i="43"/>
  <c r="O95" i="43"/>
  <c r="P95" i="43"/>
  <c r="Q95" i="43"/>
  <c r="R95" i="43"/>
  <c r="S95" i="43"/>
  <c r="T95" i="43"/>
  <c r="U95" i="43"/>
  <c r="V95" i="43"/>
  <c r="W95" i="43"/>
  <c r="X95" i="43"/>
  <c r="Y95" i="43"/>
  <c r="Z95" i="43"/>
  <c r="AA95" i="43"/>
  <c r="AB95" i="43"/>
  <c r="AC95" i="43"/>
  <c r="AD95" i="43"/>
  <c r="AE95" i="43"/>
  <c r="AF95" i="43"/>
  <c r="AG95" i="43"/>
  <c r="AH95" i="43"/>
  <c r="AI95" i="43"/>
  <c r="AJ95" i="43"/>
  <c r="AK95" i="43"/>
  <c r="AL95" i="43"/>
  <c r="AM95" i="43"/>
  <c r="AN95" i="43"/>
  <c r="AO95" i="43"/>
  <c r="AP95" i="43"/>
  <c r="AQ95" i="43"/>
  <c r="AR95" i="43"/>
  <c r="AS95" i="43"/>
  <c r="AT95" i="43"/>
  <c r="AU95" i="43"/>
  <c r="AV95" i="43"/>
  <c r="N96" i="43"/>
  <c r="O96" i="43"/>
  <c r="P96" i="43"/>
  <c r="Q96" i="43"/>
  <c r="R96" i="43"/>
  <c r="S96" i="43"/>
  <c r="T96" i="43"/>
  <c r="U96" i="43"/>
  <c r="V96" i="43"/>
  <c r="W96" i="43"/>
  <c r="X96" i="43"/>
  <c r="Y96" i="43"/>
  <c r="Z96" i="43"/>
  <c r="AA96" i="43"/>
  <c r="AB96" i="43"/>
  <c r="AC96" i="43"/>
  <c r="AD96" i="43"/>
  <c r="AE96" i="43"/>
  <c r="AF96" i="43"/>
  <c r="AG96" i="43"/>
  <c r="AH96" i="43"/>
  <c r="AI96" i="43"/>
  <c r="AJ96" i="43"/>
  <c r="AK96" i="43"/>
  <c r="AL96" i="43"/>
  <c r="AM96" i="43"/>
  <c r="AN96" i="43"/>
  <c r="AO96" i="43"/>
  <c r="AP96" i="43"/>
  <c r="AQ96" i="43"/>
  <c r="AR96" i="43"/>
  <c r="AS96" i="43"/>
  <c r="AT96" i="43"/>
  <c r="AU96" i="43"/>
  <c r="AV96" i="43"/>
  <c r="N97" i="43"/>
  <c r="O97" i="43"/>
  <c r="P97" i="43"/>
  <c r="Q97" i="43"/>
  <c r="R97" i="43"/>
  <c r="S97" i="43"/>
  <c r="T97" i="43"/>
  <c r="U97" i="43"/>
  <c r="V97" i="43"/>
  <c r="W97" i="43"/>
  <c r="X97" i="43"/>
  <c r="Y97" i="43"/>
  <c r="Z97" i="43"/>
  <c r="AA97" i="43"/>
  <c r="AB97" i="43"/>
  <c r="AC97" i="43"/>
  <c r="AD97" i="43"/>
  <c r="AE97" i="43"/>
  <c r="AF97" i="43"/>
  <c r="AG97" i="43"/>
  <c r="AH97" i="43"/>
  <c r="AI97" i="43"/>
  <c r="AJ97" i="43"/>
  <c r="AK97" i="43"/>
  <c r="AL97" i="43"/>
  <c r="AM97" i="43"/>
  <c r="AN97" i="43"/>
  <c r="AO97" i="43"/>
  <c r="AP97" i="43"/>
  <c r="AQ97" i="43"/>
  <c r="AR97" i="43"/>
  <c r="AS97" i="43"/>
  <c r="AT97" i="43"/>
  <c r="AU97" i="43"/>
  <c r="AV97" i="43"/>
  <c r="N98" i="43"/>
  <c r="O98" i="43"/>
  <c r="P98" i="43"/>
  <c r="Q98" i="43"/>
  <c r="R98" i="43"/>
  <c r="S98" i="43"/>
  <c r="T98" i="43"/>
  <c r="U98" i="43"/>
  <c r="V98" i="43"/>
  <c r="W98" i="43"/>
  <c r="X98" i="43"/>
  <c r="Y98" i="43"/>
  <c r="Z98" i="43"/>
  <c r="AA98" i="43"/>
  <c r="AB98" i="43"/>
  <c r="AC98" i="43"/>
  <c r="AD98" i="43"/>
  <c r="AE98" i="43"/>
  <c r="AF98" i="43"/>
  <c r="AG98" i="43"/>
  <c r="AH98" i="43"/>
  <c r="AI98" i="43"/>
  <c r="AJ98" i="43"/>
  <c r="AK98" i="43"/>
  <c r="AL98" i="43"/>
  <c r="AM98" i="43"/>
  <c r="AN98" i="43"/>
  <c r="AO98" i="43"/>
  <c r="AP98" i="43"/>
  <c r="AQ98" i="43"/>
  <c r="AR98" i="43"/>
  <c r="AS98" i="43"/>
  <c r="AT98" i="43"/>
  <c r="AU98" i="43"/>
  <c r="AV98" i="43"/>
  <c r="N99" i="43"/>
  <c r="O99" i="43"/>
  <c r="P99" i="43"/>
  <c r="Q99" i="43"/>
  <c r="R99" i="43"/>
  <c r="S99" i="43"/>
  <c r="T99" i="43"/>
  <c r="U99" i="43"/>
  <c r="V99" i="43"/>
  <c r="W99" i="43"/>
  <c r="X99" i="43"/>
  <c r="Y99" i="43"/>
  <c r="Z99" i="43"/>
  <c r="AA99" i="43"/>
  <c r="AB99" i="43"/>
  <c r="AC99" i="43"/>
  <c r="AD99" i="43"/>
  <c r="AE99" i="43"/>
  <c r="AF99" i="43"/>
  <c r="AG99" i="43"/>
  <c r="AH99" i="43"/>
  <c r="AI99" i="43"/>
  <c r="AJ99" i="43"/>
  <c r="AK99" i="43"/>
  <c r="AL99" i="43"/>
  <c r="AM99" i="43"/>
  <c r="AN99" i="43"/>
  <c r="AO99" i="43"/>
  <c r="AP99" i="43"/>
  <c r="AQ99" i="43"/>
  <c r="AR99" i="43"/>
  <c r="AS99" i="43"/>
  <c r="AT99" i="43"/>
  <c r="AU99" i="43"/>
  <c r="AV99" i="43"/>
  <c r="N100" i="43"/>
  <c r="O100" i="43"/>
  <c r="P100" i="43"/>
  <c r="Q100" i="43"/>
  <c r="R100" i="43"/>
  <c r="S100" i="43"/>
  <c r="T100" i="43"/>
  <c r="U100" i="43"/>
  <c r="V100" i="43"/>
  <c r="W100" i="43"/>
  <c r="X100" i="43"/>
  <c r="Y100" i="43"/>
  <c r="Z100" i="43"/>
  <c r="AA100" i="43"/>
  <c r="AB100" i="43"/>
  <c r="AC100" i="43"/>
  <c r="AD100" i="43"/>
  <c r="AE100" i="43"/>
  <c r="AF100" i="43"/>
  <c r="AG100" i="43"/>
  <c r="AH100" i="43"/>
  <c r="AI100" i="43"/>
  <c r="AJ100" i="43"/>
  <c r="AK100" i="43"/>
  <c r="AL100" i="43"/>
  <c r="AM100" i="43"/>
  <c r="AN100" i="43"/>
  <c r="AO100" i="43"/>
  <c r="AP100" i="43"/>
  <c r="AQ100" i="43"/>
  <c r="AR100" i="43"/>
  <c r="AS100" i="43"/>
  <c r="AT100" i="43"/>
  <c r="AU100" i="43"/>
  <c r="AV100" i="43"/>
  <c r="N101" i="43"/>
  <c r="O101" i="43"/>
  <c r="P101" i="43"/>
  <c r="Q101" i="43"/>
  <c r="R101" i="43"/>
  <c r="S101" i="43"/>
  <c r="T101" i="43"/>
  <c r="U101" i="43"/>
  <c r="V101" i="43"/>
  <c r="W101" i="43"/>
  <c r="X101" i="43"/>
  <c r="Y101" i="43"/>
  <c r="Z101" i="43"/>
  <c r="AA101" i="43"/>
  <c r="AB101" i="43"/>
  <c r="AC101" i="43"/>
  <c r="AD101" i="43"/>
  <c r="AE101" i="43"/>
  <c r="AF101" i="43"/>
  <c r="AG101" i="43"/>
  <c r="AH101" i="43"/>
  <c r="AI101" i="43"/>
  <c r="AJ101" i="43"/>
  <c r="AK101" i="43"/>
  <c r="AL101" i="43"/>
  <c r="AM101" i="43"/>
  <c r="AN101" i="43"/>
  <c r="AO101" i="43"/>
  <c r="AP101" i="43"/>
  <c r="AQ101" i="43"/>
  <c r="AR101" i="43"/>
  <c r="AS101" i="43"/>
  <c r="AT101" i="43"/>
  <c r="AU101" i="43"/>
  <c r="AV101" i="43"/>
  <c r="N102" i="43"/>
  <c r="O102" i="43"/>
  <c r="P102" i="43"/>
  <c r="Q102" i="43"/>
  <c r="R102" i="43"/>
  <c r="S102" i="43"/>
  <c r="T102" i="43"/>
  <c r="U102" i="43"/>
  <c r="V102" i="43"/>
  <c r="W102" i="43"/>
  <c r="X102" i="43"/>
  <c r="Y102" i="43"/>
  <c r="Z102" i="43"/>
  <c r="AA102" i="43"/>
  <c r="AB102" i="43"/>
  <c r="AC102" i="43"/>
  <c r="AD102" i="43"/>
  <c r="AE102" i="43"/>
  <c r="AF102" i="43"/>
  <c r="AG102" i="43"/>
  <c r="AH102" i="43"/>
  <c r="AI102" i="43"/>
  <c r="AJ102" i="43"/>
  <c r="AK102" i="43"/>
  <c r="AL102" i="43"/>
  <c r="AM102" i="43"/>
  <c r="AN102" i="43"/>
  <c r="AO102" i="43"/>
  <c r="AP102" i="43"/>
  <c r="AQ102" i="43"/>
  <c r="AR102" i="43"/>
  <c r="AS102" i="43"/>
  <c r="AT102" i="43"/>
  <c r="AU102" i="43"/>
  <c r="AV102" i="43"/>
  <c r="N103" i="43"/>
  <c r="O103" i="43"/>
  <c r="P103" i="43"/>
  <c r="Q103" i="43"/>
  <c r="R103" i="43"/>
  <c r="S103" i="43"/>
  <c r="T103" i="43"/>
  <c r="U103" i="43"/>
  <c r="V103" i="43"/>
  <c r="W103" i="43"/>
  <c r="X103" i="43"/>
  <c r="Y103" i="43"/>
  <c r="Z103" i="43"/>
  <c r="AA103" i="43"/>
  <c r="AB103" i="43"/>
  <c r="AC103" i="43"/>
  <c r="AD103" i="43"/>
  <c r="AE103" i="43"/>
  <c r="AF103" i="43"/>
  <c r="AG103" i="43"/>
  <c r="AH103" i="43"/>
  <c r="AI103" i="43"/>
  <c r="AJ103" i="43"/>
  <c r="AK103" i="43"/>
  <c r="AL103" i="43"/>
  <c r="AM103" i="43"/>
  <c r="AN103" i="43"/>
  <c r="AO103" i="43"/>
  <c r="AP103" i="43"/>
  <c r="AQ103" i="43"/>
  <c r="AR103" i="43"/>
  <c r="AS103" i="43"/>
  <c r="AT103" i="43"/>
  <c r="AU103" i="43"/>
  <c r="AV103" i="43"/>
  <c r="N104" i="43"/>
  <c r="O104" i="43"/>
  <c r="P104" i="43"/>
  <c r="Q104" i="43"/>
  <c r="R104" i="43"/>
  <c r="S104" i="43"/>
  <c r="T104" i="43"/>
  <c r="U104" i="43"/>
  <c r="V104" i="43"/>
  <c r="W104" i="43"/>
  <c r="X104" i="43"/>
  <c r="Y104" i="43"/>
  <c r="Z104" i="43"/>
  <c r="AA104" i="43"/>
  <c r="AB104" i="43"/>
  <c r="AC104" i="43"/>
  <c r="AD104" i="43"/>
  <c r="AE104" i="43"/>
  <c r="AF104" i="43"/>
  <c r="AG104" i="43"/>
  <c r="AH104" i="43"/>
  <c r="AI104" i="43"/>
  <c r="AJ104" i="43"/>
  <c r="AK104" i="43"/>
  <c r="AL104" i="43"/>
  <c r="AM104" i="43"/>
  <c r="AN104" i="43"/>
  <c r="AO104" i="43"/>
  <c r="AP104" i="43"/>
  <c r="AQ104" i="43"/>
  <c r="AR104" i="43"/>
  <c r="AS104" i="43"/>
  <c r="AT104" i="43"/>
  <c r="AU104" i="43"/>
  <c r="AV104" i="43"/>
  <c r="N105" i="43"/>
  <c r="O105" i="43"/>
  <c r="P105" i="43"/>
  <c r="Q105" i="43"/>
  <c r="R105" i="43"/>
  <c r="S105" i="43"/>
  <c r="T105" i="43"/>
  <c r="U105" i="43"/>
  <c r="V105" i="43"/>
  <c r="W105" i="43"/>
  <c r="X105" i="43"/>
  <c r="Y105" i="43"/>
  <c r="Z105" i="43"/>
  <c r="AA105" i="43"/>
  <c r="AB105" i="43"/>
  <c r="AC105" i="43"/>
  <c r="AD105" i="43"/>
  <c r="AE105" i="43"/>
  <c r="AF105" i="43"/>
  <c r="AG105" i="43"/>
  <c r="AH105" i="43"/>
  <c r="AI105" i="43"/>
  <c r="AJ105" i="43"/>
  <c r="AK105" i="43"/>
  <c r="AL105" i="43"/>
  <c r="AM105" i="43"/>
  <c r="AN105" i="43"/>
  <c r="AO105" i="43"/>
  <c r="AP105" i="43"/>
  <c r="AQ105" i="43"/>
  <c r="AR105" i="43"/>
  <c r="AS105" i="43"/>
  <c r="AT105" i="43"/>
  <c r="AU105" i="43"/>
  <c r="AV105" i="43"/>
  <c r="N106" i="43"/>
  <c r="O106" i="43"/>
  <c r="P106" i="43"/>
  <c r="Q106" i="43"/>
  <c r="R106" i="43"/>
  <c r="S106" i="43"/>
  <c r="T106" i="43"/>
  <c r="U106" i="43"/>
  <c r="V106" i="43"/>
  <c r="W106" i="43"/>
  <c r="X106" i="43"/>
  <c r="Y106" i="43"/>
  <c r="Z106" i="43"/>
  <c r="AA106" i="43"/>
  <c r="AB106" i="43"/>
  <c r="AC106" i="43"/>
  <c r="AD106" i="43"/>
  <c r="AE106" i="43"/>
  <c r="AF106" i="43"/>
  <c r="AG106" i="43"/>
  <c r="AH106" i="43"/>
  <c r="AI106" i="43"/>
  <c r="AJ106" i="43"/>
  <c r="AK106" i="43"/>
  <c r="AL106" i="43"/>
  <c r="AM106" i="43"/>
  <c r="AN106" i="43"/>
  <c r="AO106" i="43"/>
  <c r="AP106" i="43"/>
  <c r="AQ106" i="43"/>
  <c r="AR106" i="43"/>
  <c r="AS106" i="43"/>
  <c r="AT106" i="43"/>
  <c r="AU106" i="43"/>
  <c r="AV106" i="43"/>
  <c r="N107" i="43"/>
  <c r="O107" i="43"/>
  <c r="P107" i="43"/>
  <c r="Q107" i="43"/>
  <c r="R107" i="43"/>
  <c r="S107" i="43"/>
  <c r="T107" i="43"/>
  <c r="U107" i="43"/>
  <c r="V107" i="43"/>
  <c r="W107" i="43"/>
  <c r="X107" i="43"/>
  <c r="Y107" i="43"/>
  <c r="Z107" i="43"/>
  <c r="AA107" i="43"/>
  <c r="AB107" i="43"/>
  <c r="AC107" i="43"/>
  <c r="AD107" i="43"/>
  <c r="AE107" i="43"/>
  <c r="AF107" i="43"/>
  <c r="AG107" i="43"/>
  <c r="AH107" i="43"/>
  <c r="AI107" i="43"/>
  <c r="AJ107" i="43"/>
  <c r="AK107" i="43"/>
  <c r="AL107" i="43"/>
  <c r="AM107" i="43"/>
  <c r="AN107" i="43"/>
  <c r="AO107" i="43"/>
  <c r="AP107" i="43"/>
  <c r="AQ107" i="43"/>
  <c r="AR107" i="43"/>
  <c r="AS107" i="43"/>
  <c r="AT107" i="43"/>
  <c r="AU107" i="43"/>
  <c r="AV107" i="43"/>
  <c r="N108" i="43"/>
  <c r="O108" i="43"/>
  <c r="P108" i="43"/>
  <c r="Q108" i="43"/>
  <c r="R108" i="43"/>
  <c r="S108" i="43"/>
  <c r="T108" i="43"/>
  <c r="U108" i="43"/>
  <c r="V108" i="43"/>
  <c r="W108" i="43"/>
  <c r="X108" i="43"/>
  <c r="Y108" i="43"/>
  <c r="Z108" i="43"/>
  <c r="AA108" i="43"/>
  <c r="AB108" i="43"/>
  <c r="AC108" i="43"/>
  <c r="AD108" i="43"/>
  <c r="AE108" i="43"/>
  <c r="AF108" i="43"/>
  <c r="AG108" i="43"/>
  <c r="AH108" i="43"/>
  <c r="AI108" i="43"/>
  <c r="AJ108" i="43"/>
  <c r="AK108" i="43"/>
  <c r="AL108" i="43"/>
  <c r="AM108" i="43"/>
  <c r="AN108" i="43"/>
  <c r="AO108" i="43"/>
  <c r="AP108" i="43"/>
  <c r="AQ108" i="43"/>
  <c r="AR108" i="43"/>
  <c r="AS108" i="43"/>
  <c r="AT108" i="43"/>
  <c r="AU108" i="43"/>
  <c r="AV108" i="43"/>
  <c r="N109" i="43"/>
  <c r="O109" i="43"/>
  <c r="P109" i="43"/>
  <c r="Q109" i="43"/>
  <c r="R109" i="43"/>
  <c r="S109" i="43"/>
  <c r="T109" i="43"/>
  <c r="U109" i="43"/>
  <c r="V109" i="43"/>
  <c r="W109" i="43"/>
  <c r="X109" i="43"/>
  <c r="Y109" i="43"/>
  <c r="Z109" i="43"/>
  <c r="AA109" i="43"/>
  <c r="AB109" i="43"/>
  <c r="AC109" i="43"/>
  <c r="AD109" i="43"/>
  <c r="AE109" i="43"/>
  <c r="AF109" i="43"/>
  <c r="AG109" i="43"/>
  <c r="AH109" i="43"/>
  <c r="AI109" i="43"/>
  <c r="AJ109" i="43"/>
  <c r="AK109" i="43"/>
  <c r="AL109" i="43"/>
  <c r="AM109" i="43"/>
  <c r="AN109" i="43"/>
  <c r="AO109" i="43"/>
  <c r="AP109" i="43"/>
  <c r="AQ109" i="43"/>
  <c r="AR109" i="43"/>
  <c r="AS109" i="43"/>
  <c r="AT109" i="43"/>
  <c r="AU109" i="43"/>
  <c r="AV109" i="43"/>
  <c r="N110" i="43"/>
  <c r="O110" i="43"/>
  <c r="P110" i="43"/>
  <c r="Q110" i="43"/>
  <c r="R110" i="43"/>
  <c r="S110" i="43"/>
  <c r="T110" i="43"/>
  <c r="U110" i="43"/>
  <c r="V110" i="43"/>
  <c r="W110" i="43"/>
  <c r="X110" i="43"/>
  <c r="Y110" i="43"/>
  <c r="Z110" i="43"/>
  <c r="AA110" i="43"/>
  <c r="AB110" i="43"/>
  <c r="AC110" i="43"/>
  <c r="AD110" i="43"/>
  <c r="AE110" i="43"/>
  <c r="AF110" i="43"/>
  <c r="AG110" i="43"/>
  <c r="AH110" i="43"/>
  <c r="AI110" i="43"/>
  <c r="AJ110" i="43"/>
  <c r="AK110" i="43"/>
  <c r="AL110" i="43"/>
  <c r="AM110" i="43"/>
  <c r="AN110" i="43"/>
  <c r="AO110" i="43"/>
  <c r="AP110" i="43"/>
  <c r="AQ110" i="43"/>
  <c r="AR110" i="43"/>
  <c r="AS110" i="43"/>
  <c r="AT110" i="43"/>
  <c r="AU110" i="43"/>
  <c r="AV110" i="43"/>
  <c r="N111" i="43"/>
  <c r="O111" i="43"/>
  <c r="P111" i="43"/>
  <c r="Q111" i="43"/>
  <c r="R111" i="43"/>
  <c r="S111" i="43"/>
  <c r="T111" i="43"/>
  <c r="U111" i="43"/>
  <c r="V111" i="43"/>
  <c r="W111" i="43"/>
  <c r="X111" i="43"/>
  <c r="Y111" i="43"/>
  <c r="Z111" i="43"/>
  <c r="AA111" i="43"/>
  <c r="AB111" i="43"/>
  <c r="AC111" i="43"/>
  <c r="AD111" i="43"/>
  <c r="AE111" i="43"/>
  <c r="AF111" i="43"/>
  <c r="AG111" i="43"/>
  <c r="AH111" i="43"/>
  <c r="AI111" i="43"/>
  <c r="AJ111" i="43"/>
  <c r="AK111" i="43"/>
  <c r="AL111" i="43"/>
  <c r="AM111" i="43"/>
  <c r="AN111" i="43"/>
  <c r="AO111" i="43"/>
  <c r="AP111" i="43"/>
  <c r="AQ111" i="43"/>
  <c r="AR111" i="43"/>
  <c r="AS111" i="43"/>
  <c r="AT111" i="43"/>
  <c r="AU111" i="43"/>
  <c r="AV111" i="43"/>
  <c r="N112" i="43"/>
  <c r="O112" i="43"/>
  <c r="P112" i="43"/>
  <c r="Q112" i="43"/>
  <c r="R112" i="43"/>
  <c r="S112" i="43"/>
  <c r="T112" i="43"/>
  <c r="U112" i="43"/>
  <c r="V112" i="43"/>
  <c r="W112" i="43"/>
  <c r="X112" i="43"/>
  <c r="Y112" i="43"/>
  <c r="Z112" i="43"/>
  <c r="AA112" i="43"/>
  <c r="AB112" i="43"/>
  <c r="AC112" i="43"/>
  <c r="AD112" i="43"/>
  <c r="AE112" i="43"/>
  <c r="AF112" i="43"/>
  <c r="AG112" i="43"/>
  <c r="AH112" i="43"/>
  <c r="AI112" i="43"/>
  <c r="AJ112" i="43"/>
  <c r="AK112" i="43"/>
  <c r="AL112" i="43"/>
  <c r="AM112" i="43"/>
  <c r="AN112" i="43"/>
  <c r="AO112" i="43"/>
  <c r="AP112" i="43"/>
  <c r="AQ112" i="43"/>
  <c r="AR112" i="43"/>
  <c r="AS112" i="43"/>
  <c r="AT112" i="43"/>
  <c r="AU112" i="43"/>
  <c r="AV112" i="43"/>
  <c r="N113" i="43"/>
  <c r="O113" i="43"/>
  <c r="P113" i="43"/>
  <c r="Q113" i="43"/>
  <c r="R113" i="43"/>
  <c r="S113" i="43"/>
  <c r="T113" i="43"/>
  <c r="U113" i="43"/>
  <c r="V113" i="43"/>
  <c r="W113" i="43"/>
  <c r="X113" i="43"/>
  <c r="Y113" i="43"/>
  <c r="Z113" i="43"/>
  <c r="AA113" i="43"/>
  <c r="AB113" i="43"/>
  <c r="AC113" i="43"/>
  <c r="AD113" i="43"/>
  <c r="AE113" i="43"/>
  <c r="AF113" i="43"/>
  <c r="AG113" i="43"/>
  <c r="AH113" i="43"/>
  <c r="AI113" i="43"/>
  <c r="AJ113" i="43"/>
  <c r="AK113" i="43"/>
  <c r="AL113" i="43"/>
  <c r="AM113" i="43"/>
  <c r="AN113" i="43"/>
  <c r="AO113" i="43"/>
  <c r="AP113" i="43"/>
  <c r="AQ113" i="43"/>
  <c r="AR113" i="43"/>
  <c r="AS113" i="43"/>
  <c r="AT113" i="43"/>
  <c r="AU113" i="43"/>
  <c r="AV113" i="43"/>
  <c r="N114" i="43"/>
  <c r="O114" i="43"/>
  <c r="P114" i="43"/>
  <c r="Q114" i="43"/>
  <c r="R114" i="43"/>
  <c r="S114" i="43"/>
  <c r="T114" i="43"/>
  <c r="U114" i="43"/>
  <c r="V114" i="43"/>
  <c r="W114" i="43"/>
  <c r="X114" i="43"/>
  <c r="Y114" i="43"/>
  <c r="Z114" i="43"/>
  <c r="AA114" i="43"/>
  <c r="AB114" i="43"/>
  <c r="AC114" i="43"/>
  <c r="AD114" i="43"/>
  <c r="AE114" i="43"/>
  <c r="AF114" i="43"/>
  <c r="AG114" i="43"/>
  <c r="AH114" i="43"/>
  <c r="AI114" i="43"/>
  <c r="AJ114" i="43"/>
  <c r="AK114" i="43"/>
  <c r="AL114" i="43"/>
  <c r="AM114" i="43"/>
  <c r="AN114" i="43"/>
  <c r="AO114" i="43"/>
  <c r="AP114" i="43"/>
  <c r="AQ114" i="43"/>
  <c r="AR114" i="43"/>
  <c r="AS114" i="43"/>
  <c r="AT114" i="43"/>
  <c r="AU114" i="43"/>
  <c r="AV114" i="43"/>
  <c r="N115" i="43"/>
  <c r="O115" i="43"/>
  <c r="P115" i="43"/>
  <c r="Q115" i="43"/>
  <c r="R115" i="43"/>
  <c r="S115" i="43"/>
  <c r="T115" i="43"/>
  <c r="U115" i="43"/>
  <c r="V115" i="43"/>
  <c r="W115" i="43"/>
  <c r="X115" i="43"/>
  <c r="Y115" i="43"/>
  <c r="Z115" i="43"/>
  <c r="AA115" i="43"/>
  <c r="AB115" i="43"/>
  <c r="AC115" i="43"/>
  <c r="AD115" i="43"/>
  <c r="AE115" i="43"/>
  <c r="AF115" i="43"/>
  <c r="AG115" i="43"/>
  <c r="AH115" i="43"/>
  <c r="AI115" i="43"/>
  <c r="AJ115" i="43"/>
  <c r="AK115" i="43"/>
  <c r="AL115" i="43"/>
  <c r="AM115" i="43"/>
  <c r="AN115" i="43"/>
  <c r="AO115" i="43"/>
  <c r="AP115" i="43"/>
  <c r="AQ115" i="43"/>
  <c r="AR115" i="43"/>
  <c r="AS115" i="43"/>
  <c r="AT115" i="43"/>
  <c r="AU115" i="43"/>
  <c r="AV115" i="43"/>
  <c r="N117" i="43"/>
  <c r="O117" i="43"/>
  <c r="P117" i="43"/>
  <c r="Q117" i="43"/>
  <c r="R117" i="43"/>
  <c r="S117" i="43"/>
  <c r="T117" i="43"/>
  <c r="U117" i="43"/>
  <c r="V117" i="43"/>
  <c r="W117" i="43"/>
  <c r="X117" i="43"/>
  <c r="Y117" i="43"/>
  <c r="Z117" i="43"/>
  <c r="AA117" i="43"/>
  <c r="AB117" i="43"/>
  <c r="AC117" i="43"/>
  <c r="AD117" i="43"/>
  <c r="AE117" i="43"/>
  <c r="AF117" i="43"/>
  <c r="AG117" i="43"/>
  <c r="AH117" i="43"/>
  <c r="AI117" i="43"/>
  <c r="AJ117" i="43"/>
  <c r="AK117" i="43"/>
  <c r="AL117" i="43"/>
  <c r="AM117" i="43"/>
  <c r="AN117" i="43"/>
  <c r="AO117" i="43"/>
  <c r="AP117" i="43"/>
  <c r="AQ117" i="43"/>
  <c r="AR117" i="43"/>
  <c r="AS117" i="43"/>
  <c r="AT117" i="43"/>
  <c r="AU117" i="43"/>
  <c r="AV117" i="43"/>
  <c r="N118" i="43"/>
  <c r="O118" i="43"/>
  <c r="P118" i="43"/>
  <c r="Q118" i="43"/>
  <c r="R118" i="43"/>
  <c r="S118" i="43"/>
  <c r="T118" i="43"/>
  <c r="U118" i="43"/>
  <c r="V118" i="43"/>
  <c r="W118" i="43"/>
  <c r="X118" i="43"/>
  <c r="Y118" i="43"/>
  <c r="Z118" i="43"/>
  <c r="AA118" i="43"/>
  <c r="AB118" i="43"/>
  <c r="AC118" i="43"/>
  <c r="AD118" i="43"/>
  <c r="AE118" i="43"/>
  <c r="AF118" i="43"/>
  <c r="AG118" i="43"/>
  <c r="AH118" i="43"/>
  <c r="AI118" i="43"/>
  <c r="AJ118" i="43"/>
  <c r="AK118" i="43"/>
  <c r="AL118" i="43"/>
  <c r="AM118" i="43"/>
  <c r="AN118" i="43"/>
  <c r="AO118" i="43"/>
  <c r="AP118" i="43"/>
  <c r="AQ118" i="43"/>
  <c r="AR118" i="43"/>
  <c r="AS118" i="43"/>
  <c r="AT118" i="43"/>
  <c r="AU118" i="43"/>
  <c r="AV118" i="43"/>
  <c r="N119" i="43"/>
  <c r="O119" i="43"/>
  <c r="P119" i="43"/>
  <c r="Q119" i="43"/>
  <c r="R119" i="43"/>
  <c r="S119" i="43"/>
  <c r="T119" i="43"/>
  <c r="U119" i="43"/>
  <c r="V119" i="43"/>
  <c r="W119" i="43"/>
  <c r="X119" i="43"/>
  <c r="Y119" i="43"/>
  <c r="Z119" i="43"/>
  <c r="AA119" i="43"/>
  <c r="AB119" i="43"/>
  <c r="AC119" i="43"/>
  <c r="AD119" i="43"/>
  <c r="AE119" i="43"/>
  <c r="AF119" i="43"/>
  <c r="AG119" i="43"/>
  <c r="AH119" i="43"/>
  <c r="AI119" i="43"/>
  <c r="AJ119" i="43"/>
  <c r="AK119" i="43"/>
  <c r="AL119" i="43"/>
  <c r="AM119" i="43"/>
  <c r="AN119" i="43"/>
  <c r="AO119" i="43"/>
  <c r="AP119" i="43"/>
  <c r="AQ119" i="43"/>
  <c r="AR119" i="43"/>
  <c r="AS119" i="43"/>
  <c r="AT119" i="43"/>
  <c r="AU119" i="43"/>
  <c r="AV119" i="43"/>
  <c r="N120" i="43"/>
  <c r="O120" i="43"/>
  <c r="P120" i="43"/>
  <c r="Q120" i="43"/>
  <c r="R120" i="43"/>
  <c r="S120" i="43"/>
  <c r="T120" i="43"/>
  <c r="U120" i="43"/>
  <c r="V120" i="43"/>
  <c r="W120" i="43"/>
  <c r="X120" i="43"/>
  <c r="Y120" i="43"/>
  <c r="Z120" i="43"/>
  <c r="AA120" i="43"/>
  <c r="AB120" i="43"/>
  <c r="AC120" i="43"/>
  <c r="AD120" i="43"/>
  <c r="AE120" i="43"/>
  <c r="AF120" i="43"/>
  <c r="AG120" i="43"/>
  <c r="AH120" i="43"/>
  <c r="AI120" i="43"/>
  <c r="AJ120" i="43"/>
  <c r="AK120" i="43"/>
  <c r="AL120" i="43"/>
  <c r="AM120" i="43"/>
  <c r="AN120" i="43"/>
  <c r="AO120" i="43"/>
  <c r="AP120" i="43"/>
  <c r="AQ120" i="43"/>
  <c r="AR120" i="43"/>
  <c r="AS120" i="43"/>
  <c r="AT120" i="43"/>
  <c r="AU120" i="43"/>
  <c r="AV120" i="43"/>
  <c r="N121" i="43"/>
  <c r="O121" i="43"/>
  <c r="P121" i="43"/>
  <c r="Q121" i="43"/>
  <c r="R121" i="43"/>
  <c r="S121" i="43"/>
  <c r="T121" i="43"/>
  <c r="U121" i="43"/>
  <c r="V121" i="43"/>
  <c r="W121" i="43"/>
  <c r="X121" i="43"/>
  <c r="Y121" i="43"/>
  <c r="Z121" i="43"/>
  <c r="AA121" i="43"/>
  <c r="AB121" i="43"/>
  <c r="AC121" i="43"/>
  <c r="AD121" i="43"/>
  <c r="AE121" i="43"/>
  <c r="AF121" i="43"/>
  <c r="AG121" i="43"/>
  <c r="AH121" i="43"/>
  <c r="AI121" i="43"/>
  <c r="AJ121" i="43"/>
  <c r="AK121" i="43"/>
  <c r="AL121" i="43"/>
  <c r="AM121" i="43"/>
  <c r="AN121" i="43"/>
  <c r="AO121" i="43"/>
  <c r="AP121" i="43"/>
  <c r="AQ121" i="43"/>
  <c r="AR121" i="43"/>
  <c r="AS121" i="43"/>
  <c r="AT121" i="43"/>
  <c r="AU121" i="43"/>
  <c r="AV121" i="43"/>
  <c r="N122" i="43"/>
  <c r="O122" i="43"/>
  <c r="P122" i="43"/>
  <c r="Q122" i="43"/>
  <c r="R122" i="43"/>
  <c r="S122" i="43"/>
  <c r="T122" i="43"/>
  <c r="U122" i="43"/>
  <c r="V122" i="43"/>
  <c r="W122" i="43"/>
  <c r="X122" i="43"/>
  <c r="Y122" i="43"/>
  <c r="Z122" i="43"/>
  <c r="AA122" i="43"/>
  <c r="AB122" i="43"/>
  <c r="AC122" i="43"/>
  <c r="AD122" i="43"/>
  <c r="AE122" i="43"/>
  <c r="AF122" i="43"/>
  <c r="AG122" i="43"/>
  <c r="AH122" i="43"/>
  <c r="AI122" i="43"/>
  <c r="AJ122" i="43"/>
  <c r="AK122" i="43"/>
  <c r="AL122" i="43"/>
  <c r="AM122" i="43"/>
  <c r="AN122" i="43"/>
  <c r="AO122" i="43"/>
  <c r="AP122" i="43"/>
  <c r="AQ122" i="43"/>
  <c r="AR122" i="43"/>
  <c r="AS122" i="43"/>
  <c r="AT122" i="43"/>
  <c r="AU122" i="43"/>
  <c r="AV122" i="43"/>
  <c r="N123" i="43"/>
  <c r="O123" i="43"/>
  <c r="P123" i="43"/>
  <c r="Q123" i="43"/>
  <c r="R123" i="43"/>
  <c r="S123" i="43"/>
  <c r="T123" i="43"/>
  <c r="U123" i="43"/>
  <c r="V123" i="43"/>
  <c r="W123" i="43"/>
  <c r="X123" i="43"/>
  <c r="Y123" i="43"/>
  <c r="Z123" i="43"/>
  <c r="AA123" i="43"/>
  <c r="AB123" i="43"/>
  <c r="AC123" i="43"/>
  <c r="AD123" i="43"/>
  <c r="AE123" i="43"/>
  <c r="AF123" i="43"/>
  <c r="AG123" i="43"/>
  <c r="AH123" i="43"/>
  <c r="AI123" i="43"/>
  <c r="AJ123" i="43"/>
  <c r="AK123" i="43"/>
  <c r="AL123" i="43"/>
  <c r="AM123" i="43"/>
  <c r="AN123" i="43"/>
  <c r="AO123" i="43"/>
  <c r="AP123" i="43"/>
  <c r="AQ123" i="43"/>
  <c r="AR123" i="43"/>
  <c r="AS123" i="43"/>
  <c r="AT123" i="43"/>
  <c r="AU123" i="43"/>
  <c r="AV123" i="43"/>
  <c r="N124" i="43"/>
  <c r="O124" i="43"/>
  <c r="P124" i="43"/>
  <c r="Q124" i="43"/>
  <c r="R124" i="43"/>
  <c r="S124" i="43"/>
  <c r="T124" i="43"/>
  <c r="U124" i="43"/>
  <c r="V124" i="43"/>
  <c r="W124" i="43"/>
  <c r="X124" i="43"/>
  <c r="Y124" i="43"/>
  <c r="Z124" i="43"/>
  <c r="AA124" i="43"/>
  <c r="AB124" i="43"/>
  <c r="AC124" i="43"/>
  <c r="AD124" i="43"/>
  <c r="AE124" i="43"/>
  <c r="AF124" i="43"/>
  <c r="AG124" i="43"/>
  <c r="AH124" i="43"/>
  <c r="AI124" i="43"/>
  <c r="AJ124" i="43"/>
  <c r="AK124" i="43"/>
  <c r="AL124" i="43"/>
  <c r="AM124" i="43"/>
  <c r="AN124" i="43"/>
  <c r="AO124" i="43"/>
  <c r="AP124" i="43"/>
  <c r="AQ124" i="43"/>
  <c r="AR124" i="43"/>
  <c r="AS124" i="43"/>
  <c r="AT124" i="43"/>
  <c r="AU124" i="43"/>
  <c r="AV124" i="43"/>
  <c r="N125" i="43"/>
  <c r="O125" i="43"/>
  <c r="P125" i="43"/>
  <c r="Q125" i="43"/>
  <c r="R125" i="43"/>
  <c r="S125" i="43"/>
  <c r="T125" i="43"/>
  <c r="U125" i="43"/>
  <c r="V125" i="43"/>
  <c r="W125" i="43"/>
  <c r="X125" i="43"/>
  <c r="Y125" i="43"/>
  <c r="Z125" i="43"/>
  <c r="AA125" i="43"/>
  <c r="AB125" i="43"/>
  <c r="AC125" i="43"/>
  <c r="AD125" i="43"/>
  <c r="AE125" i="43"/>
  <c r="AF125" i="43"/>
  <c r="AG125" i="43"/>
  <c r="AH125" i="43"/>
  <c r="AI125" i="43"/>
  <c r="AJ125" i="43"/>
  <c r="AK125" i="43"/>
  <c r="AL125" i="43"/>
  <c r="AM125" i="43"/>
  <c r="AN125" i="43"/>
  <c r="AO125" i="43"/>
  <c r="AP125" i="43"/>
  <c r="AQ125" i="43"/>
  <c r="AR125" i="43"/>
  <c r="AS125" i="43"/>
  <c r="AT125" i="43"/>
  <c r="AU125" i="43"/>
  <c r="AV125" i="43"/>
  <c r="N126" i="43"/>
  <c r="O126" i="43"/>
  <c r="P126" i="43"/>
  <c r="Q126" i="43"/>
  <c r="R126" i="43"/>
  <c r="S126" i="43"/>
  <c r="T126" i="43"/>
  <c r="U126" i="43"/>
  <c r="V126" i="43"/>
  <c r="W126" i="43"/>
  <c r="X126" i="43"/>
  <c r="Y126" i="43"/>
  <c r="Z126" i="43"/>
  <c r="AA126" i="43"/>
  <c r="AB126" i="43"/>
  <c r="AC126" i="43"/>
  <c r="AD126" i="43"/>
  <c r="AE126" i="43"/>
  <c r="AF126" i="43"/>
  <c r="AG126" i="43"/>
  <c r="AH126" i="43"/>
  <c r="AI126" i="43"/>
  <c r="AJ126" i="43"/>
  <c r="AK126" i="43"/>
  <c r="AL126" i="43"/>
  <c r="AM126" i="43"/>
  <c r="AN126" i="43"/>
  <c r="AO126" i="43"/>
  <c r="AP126" i="43"/>
  <c r="AQ126" i="43"/>
  <c r="AR126" i="43"/>
  <c r="AS126" i="43"/>
  <c r="AT126" i="43"/>
  <c r="AU126" i="43"/>
  <c r="AV126" i="43"/>
  <c r="N127" i="43"/>
  <c r="O127" i="43"/>
  <c r="P127" i="43"/>
  <c r="Q127" i="43"/>
  <c r="R127" i="43"/>
  <c r="S127" i="43"/>
  <c r="T127" i="43"/>
  <c r="U127" i="43"/>
  <c r="V127" i="43"/>
  <c r="W127" i="43"/>
  <c r="X127" i="43"/>
  <c r="Y127" i="43"/>
  <c r="Z127" i="43"/>
  <c r="AA127" i="43"/>
  <c r="AB127" i="43"/>
  <c r="AC127" i="43"/>
  <c r="AD127" i="43"/>
  <c r="AE127" i="43"/>
  <c r="AF127" i="43"/>
  <c r="AG127" i="43"/>
  <c r="AH127" i="43"/>
  <c r="AI127" i="43"/>
  <c r="AJ127" i="43"/>
  <c r="AK127" i="43"/>
  <c r="AL127" i="43"/>
  <c r="AM127" i="43"/>
  <c r="AN127" i="43"/>
  <c r="AO127" i="43"/>
  <c r="AP127" i="43"/>
  <c r="AQ127" i="43"/>
  <c r="AR127" i="43"/>
  <c r="AS127" i="43"/>
  <c r="AT127" i="43"/>
  <c r="AU127" i="43"/>
  <c r="AV127" i="43"/>
  <c r="N128" i="43"/>
  <c r="O128" i="43"/>
  <c r="P128" i="43"/>
  <c r="Q128" i="43"/>
  <c r="R128" i="43"/>
  <c r="S128" i="43"/>
  <c r="T128" i="43"/>
  <c r="U128" i="43"/>
  <c r="V128" i="43"/>
  <c r="W128" i="43"/>
  <c r="X128" i="43"/>
  <c r="Y128" i="43"/>
  <c r="Z128" i="43"/>
  <c r="AA128" i="43"/>
  <c r="AB128" i="43"/>
  <c r="AC128" i="43"/>
  <c r="AD128" i="43"/>
  <c r="AE128" i="43"/>
  <c r="AF128" i="43"/>
  <c r="AG128" i="43"/>
  <c r="AH128" i="43"/>
  <c r="AI128" i="43"/>
  <c r="AJ128" i="43"/>
  <c r="AK128" i="43"/>
  <c r="AL128" i="43"/>
  <c r="AM128" i="43"/>
  <c r="AN128" i="43"/>
  <c r="AO128" i="43"/>
  <c r="AP128" i="43"/>
  <c r="AQ128" i="43"/>
  <c r="AR128" i="43"/>
  <c r="AS128" i="43"/>
  <c r="AT128" i="43"/>
  <c r="AU128" i="43"/>
  <c r="AV128" i="43"/>
  <c r="N129" i="43"/>
  <c r="O129" i="43"/>
  <c r="P129" i="43"/>
  <c r="Q129" i="43"/>
  <c r="R129" i="43"/>
  <c r="S129" i="43"/>
  <c r="T129" i="43"/>
  <c r="U129" i="43"/>
  <c r="V129" i="43"/>
  <c r="W129" i="43"/>
  <c r="X129" i="43"/>
  <c r="Y129" i="43"/>
  <c r="Z129" i="43"/>
  <c r="AA129" i="43"/>
  <c r="AB129" i="43"/>
  <c r="AC129" i="43"/>
  <c r="AD129" i="43"/>
  <c r="AE129" i="43"/>
  <c r="AF129" i="43"/>
  <c r="AG129" i="43"/>
  <c r="AH129" i="43"/>
  <c r="AI129" i="43"/>
  <c r="AJ129" i="43"/>
  <c r="AK129" i="43"/>
  <c r="AL129" i="43"/>
  <c r="AM129" i="43"/>
  <c r="AN129" i="43"/>
  <c r="AO129" i="43"/>
  <c r="AP129" i="43"/>
  <c r="AQ129" i="43"/>
  <c r="AR129" i="43"/>
  <c r="AS129" i="43"/>
  <c r="AT129" i="43"/>
  <c r="AU129" i="43"/>
  <c r="AV129" i="43"/>
  <c r="N130" i="43"/>
  <c r="O130" i="43"/>
  <c r="P130" i="43"/>
  <c r="Q130" i="43"/>
  <c r="R130" i="43"/>
  <c r="S130" i="43"/>
  <c r="T130" i="43"/>
  <c r="U130" i="43"/>
  <c r="V130" i="43"/>
  <c r="W130" i="43"/>
  <c r="X130" i="43"/>
  <c r="Y130" i="43"/>
  <c r="Z130" i="43"/>
  <c r="AA130" i="43"/>
  <c r="AB130" i="43"/>
  <c r="AC130" i="43"/>
  <c r="AD130" i="43"/>
  <c r="AE130" i="43"/>
  <c r="AF130" i="43"/>
  <c r="AG130" i="43"/>
  <c r="AH130" i="43"/>
  <c r="AI130" i="43"/>
  <c r="AJ130" i="43"/>
  <c r="AK130" i="43"/>
  <c r="AL130" i="43"/>
  <c r="AM130" i="43"/>
  <c r="AN130" i="43"/>
  <c r="AO130" i="43"/>
  <c r="AP130" i="43"/>
  <c r="AQ130" i="43"/>
  <c r="AR130" i="43"/>
  <c r="AS130" i="43"/>
  <c r="AT130" i="43"/>
  <c r="AU130" i="43"/>
  <c r="AV130" i="43"/>
  <c r="N131" i="43"/>
  <c r="O131" i="43"/>
  <c r="P131" i="43"/>
  <c r="Q131" i="43"/>
  <c r="R131" i="43"/>
  <c r="S131" i="43"/>
  <c r="T131" i="43"/>
  <c r="U131" i="43"/>
  <c r="V131" i="43"/>
  <c r="W131" i="43"/>
  <c r="X131" i="43"/>
  <c r="Y131" i="43"/>
  <c r="Z131" i="43"/>
  <c r="AA131" i="43"/>
  <c r="AB131" i="43"/>
  <c r="AC131" i="43"/>
  <c r="AD131" i="43"/>
  <c r="AE131" i="43"/>
  <c r="AF131" i="43"/>
  <c r="AG131" i="43"/>
  <c r="AH131" i="43"/>
  <c r="AI131" i="43"/>
  <c r="AJ131" i="43"/>
  <c r="AK131" i="43"/>
  <c r="AL131" i="43"/>
  <c r="AM131" i="43"/>
  <c r="AN131" i="43"/>
  <c r="AO131" i="43"/>
  <c r="AP131" i="43"/>
  <c r="AQ131" i="43"/>
  <c r="AR131" i="43"/>
  <c r="AS131" i="43"/>
  <c r="AT131" i="43"/>
  <c r="AU131" i="43"/>
  <c r="AV131" i="43"/>
  <c r="N132" i="43"/>
  <c r="O132" i="43"/>
  <c r="P132" i="43"/>
  <c r="Q132" i="43"/>
  <c r="R132" i="43"/>
  <c r="S132" i="43"/>
  <c r="T132" i="43"/>
  <c r="U132" i="43"/>
  <c r="V132" i="43"/>
  <c r="W132" i="43"/>
  <c r="X132" i="43"/>
  <c r="Y132" i="43"/>
  <c r="Z132" i="43"/>
  <c r="AA132" i="43"/>
  <c r="AB132" i="43"/>
  <c r="AC132" i="43"/>
  <c r="AD132" i="43"/>
  <c r="AE132" i="43"/>
  <c r="AF132" i="43"/>
  <c r="AG132" i="43"/>
  <c r="AH132" i="43"/>
  <c r="AI132" i="43"/>
  <c r="AJ132" i="43"/>
  <c r="AK132" i="43"/>
  <c r="AL132" i="43"/>
  <c r="AM132" i="43"/>
  <c r="AN132" i="43"/>
  <c r="AO132" i="43"/>
  <c r="AP132" i="43"/>
  <c r="AQ132" i="43"/>
  <c r="AR132" i="43"/>
  <c r="AS132" i="43"/>
  <c r="AT132" i="43"/>
  <c r="AU132" i="43"/>
  <c r="AV132" i="43"/>
  <c r="N133" i="43"/>
  <c r="O133" i="43"/>
  <c r="P133" i="43"/>
  <c r="Q133" i="43"/>
  <c r="R133" i="43"/>
  <c r="S133" i="43"/>
  <c r="T133" i="43"/>
  <c r="U133" i="43"/>
  <c r="V133" i="43"/>
  <c r="W133" i="43"/>
  <c r="X133" i="43"/>
  <c r="Y133" i="43"/>
  <c r="Z133" i="43"/>
  <c r="AA133" i="43"/>
  <c r="AB133" i="43"/>
  <c r="AC133" i="43"/>
  <c r="AD133" i="43"/>
  <c r="AE133" i="43"/>
  <c r="AF133" i="43"/>
  <c r="AG133" i="43"/>
  <c r="AH133" i="43"/>
  <c r="AI133" i="43"/>
  <c r="AJ133" i="43"/>
  <c r="AK133" i="43"/>
  <c r="AL133" i="43"/>
  <c r="AM133" i="43"/>
  <c r="AN133" i="43"/>
  <c r="AO133" i="43"/>
  <c r="AP133" i="43"/>
  <c r="AQ133" i="43"/>
  <c r="AR133" i="43"/>
  <c r="AS133" i="43"/>
  <c r="AT133" i="43"/>
  <c r="AU133" i="43"/>
  <c r="AV133" i="43"/>
  <c r="N134" i="43"/>
  <c r="O134" i="43"/>
  <c r="P134" i="43"/>
  <c r="Q134" i="43"/>
  <c r="R134" i="43"/>
  <c r="S134" i="43"/>
  <c r="T134" i="43"/>
  <c r="U134" i="43"/>
  <c r="V134" i="43"/>
  <c r="W134" i="43"/>
  <c r="X134" i="43"/>
  <c r="Y134" i="43"/>
  <c r="Z134" i="43"/>
  <c r="AA134" i="43"/>
  <c r="AB134" i="43"/>
  <c r="AC134" i="43"/>
  <c r="AD134" i="43"/>
  <c r="AE134" i="43"/>
  <c r="AF134" i="43"/>
  <c r="AG134" i="43"/>
  <c r="AH134" i="43"/>
  <c r="AI134" i="43"/>
  <c r="AJ134" i="43"/>
  <c r="AK134" i="43"/>
  <c r="AL134" i="43"/>
  <c r="AM134" i="43"/>
  <c r="AN134" i="43"/>
  <c r="AO134" i="43"/>
  <c r="AP134" i="43"/>
  <c r="AQ134" i="43"/>
  <c r="AR134" i="43"/>
  <c r="AS134" i="43"/>
  <c r="AT134" i="43"/>
  <c r="AU134" i="43"/>
  <c r="AV134" i="43"/>
  <c r="N135" i="43"/>
  <c r="O135" i="43"/>
  <c r="P135" i="43"/>
  <c r="Q135" i="43"/>
  <c r="R135" i="43"/>
  <c r="S135" i="43"/>
  <c r="T135" i="43"/>
  <c r="U135" i="43"/>
  <c r="V135" i="43"/>
  <c r="W135" i="43"/>
  <c r="X135" i="43"/>
  <c r="Y135" i="43"/>
  <c r="Z135" i="43"/>
  <c r="AA135" i="43"/>
  <c r="AB135" i="43"/>
  <c r="AC135" i="43"/>
  <c r="AD135" i="43"/>
  <c r="AE135" i="43"/>
  <c r="AF135" i="43"/>
  <c r="AG135" i="43"/>
  <c r="AH135" i="43"/>
  <c r="AI135" i="43"/>
  <c r="AJ135" i="43"/>
  <c r="AK135" i="43"/>
  <c r="AL135" i="43"/>
  <c r="AM135" i="43"/>
  <c r="AN135" i="43"/>
  <c r="AO135" i="43"/>
  <c r="AP135" i="43"/>
  <c r="AQ135" i="43"/>
  <c r="AR135" i="43"/>
  <c r="AS135" i="43"/>
  <c r="AT135" i="43"/>
  <c r="AU135" i="43"/>
  <c r="AV135" i="43"/>
  <c r="N136" i="43"/>
  <c r="O136" i="43"/>
  <c r="P136" i="43"/>
  <c r="Q136" i="43"/>
  <c r="R136" i="43"/>
  <c r="S136" i="43"/>
  <c r="T136" i="43"/>
  <c r="U136" i="43"/>
  <c r="V136" i="43"/>
  <c r="W136" i="43"/>
  <c r="X136" i="43"/>
  <c r="Y136" i="43"/>
  <c r="Z136" i="43"/>
  <c r="AA136" i="43"/>
  <c r="AB136" i="43"/>
  <c r="AC136" i="43"/>
  <c r="AD136" i="43"/>
  <c r="AE136" i="43"/>
  <c r="AF136" i="43"/>
  <c r="AG136" i="43"/>
  <c r="AH136" i="43"/>
  <c r="AI136" i="43"/>
  <c r="AJ136" i="43"/>
  <c r="AK136" i="43"/>
  <c r="AL136" i="43"/>
  <c r="AM136" i="43"/>
  <c r="AN136" i="43"/>
  <c r="AO136" i="43"/>
  <c r="AP136" i="43"/>
  <c r="AQ136" i="43"/>
  <c r="AR136" i="43"/>
  <c r="AS136" i="43"/>
  <c r="AT136" i="43"/>
  <c r="AU136" i="43"/>
  <c r="AV136" i="43"/>
  <c r="N137" i="43"/>
  <c r="O137" i="43"/>
  <c r="P137" i="43"/>
  <c r="Q137" i="43"/>
  <c r="R137" i="43"/>
  <c r="S137" i="43"/>
  <c r="T137" i="43"/>
  <c r="U137" i="43"/>
  <c r="V137" i="43"/>
  <c r="W137" i="43"/>
  <c r="X137" i="43"/>
  <c r="Y137" i="43"/>
  <c r="Z137" i="43"/>
  <c r="AA137" i="43"/>
  <c r="AB137" i="43"/>
  <c r="AC137" i="43"/>
  <c r="AD137" i="43"/>
  <c r="AE137" i="43"/>
  <c r="AF137" i="43"/>
  <c r="AG137" i="43"/>
  <c r="AH137" i="43"/>
  <c r="AI137" i="43"/>
  <c r="AJ137" i="43"/>
  <c r="AK137" i="43"/>
  <c r="AL137" i="43"/>
  <c r="AM137" i="43"/>
  <c r="AN137" i="43"/>
  <c r="AO137" i="43"/>
  <c r="AP137" i="43"/>
  <c r="AQ137" i="43"/>
  <c r="AR137" i="43"/>
  <c r="AS137" i="43"/>
  <c r="AT137" i="43"/>
  <c r="AU137" i="43"/>
  <c r="AV137" i="43"/>
  <c r="N138" i="43"/>
  <c r="O138" i="43"/>
  <c r="P138" i="43"/>
  <c r="Q138" i="43"/>
  <c r="R138" i="43"/>
  <c r="S138" i="43"/>
  <c r="T138" i="43"/>
  <c r="U138" i="43"/>
  <c r="V138" i="43"/>
  <c r="W138" i="43"/>
  <c r="X138" i="43"/>
  <c r="Y138" i="43"/>
  <c r="Z138" i="43"/>
  <c r="AA138" i="43"/>
  <c r="AB138" i="43"/>
  <c r="AC138" i="43"/>
  <c r="AD138" i="43"/>
  <c r="AE138" i="43"/>
  <c r="AF138" i="43"/>
  <c r="AG138" i="43"/>
  <c r="AH138" i="43"/>
  <c r="AI138" i="43"/>
  <c r="AJ138" i="43"/>
  <c r="AK138" i="43"/>
  <c r="AL138" i="43"/>
  <c r="AM138" i="43"/>
  <c r="AN138" i="43"/>
  <c r="AO138" i="43"/>
  <c r="AP138" i="43"/>
  <c r="AQ138" i="43"/>
  <c r="AR138" i="43"/>
  <c r="AS138" i="43"/>
  <c r="AT138" i="43"/>
  <c r="AU138" i="43"/>
  <c r="AV138" i="43"/>
  <c r="N139" i="43"/>
  <c r="O139" i="43"/>
  <c r="P139" i="43"/>
  <c r="Q139" i="43"/>
  <c r="R139" i="43"/>
  <c r="S139" i="43"/>
  <c r="T139" i="43"/>
  <c r="U139" i="43"/>
  <c r="V139" i="43"/>
  <c r="W139" i="43"/>
  <c r="X139" i="43"/>
  <c r="Y139" i="43"/>
  <c r="Z139" i="43"/>
  <c r="AA139" i="43"/>
  <c r="AB139" i="43"/>
  <c r="AC139" i="43"/>
  <c r="AD139" i="43"/>
  <c r="AE139" i="43"/>
  <c r="AF139" i="43"/>
  <c r="AG139" i="43"/>
  <c r="AH139" i="43"/>
  <c r="AI139" i="43"/>
  <c r="AJ139" i="43"/>
  <c r="AK139" i="43"/>
  <c r="AL139" i="43"/>
  <c r="AM139" i="43"/>
  <c r="AN139" i="43"/>
  <c r="AO139" i="43"/>
  <c r="AP139" i="43"/>
  <c r="AQ139" i="43"/>
  <c r="AR139" i="43"/>
  <c r="AS139" i="43"/>
  <c r="AT139" i="43"/>
  <c r="AU139" i="43"/>
  <c r="AV139" i="43"/>
  <c r="N141" i="43"/>
  <c r="O141" i="43"/>
  <c r="P141" i="43"/>
  <c r="Q141" i="43"/>
  <c r="R141" i="43"/>
  <c r="S141" i="43"/>
  <c r="T141" i="43"/>
  <c r="U141" i="43"/>
  <c r="V141" i="43"/>
  <c r="W141" i="43"/>
  <c r="X141" i="43"/>
  <c r="Y141" i="43"/>
  <c r="Z141" i="43"/>
  <c r="AA141" i="43"/>
  <c r="AB141" i="43"/>
  <c r="AC141" i="43"/>
  <c r="AD141" i="43"/>
  <c r="AE141" i="43"/>
  <c r="AF141" i="43"/>
  <c r="AG141" i="43"/>
  <c r="AH141" i="43"/>
  <c r="AI141" i="43"/>
  <c r="AJ141" i="43"/>
  <c r="AK141" i="43"/>
  <c r="AL141" i="43"/>
  <c r="AM141" i="43"/>
  <c r="AN141" i="43"/>
  <c r="AO141" i="43"/>
  <c r="AP141" i="43"/>
  <c r="AQ141" i="43"/>
  <c r="AR141" i="43"/>
  <c r="AS141" i="43"/>
  <c r="AT141" i="43"/>
  <c r="AU141" i="43"/>
  <c r="AV141" i="43"/>
  <c r="N142" i="43"/>
  <c r="O142" i="43"/>
  <c r="P142" i="43"/>
  <c r="Q142" i="43"/>
  <c r="R142" i="43"/>
  <c r="S142" i="43"/>
  <c r="T142" i="43"/>
  <c r="U142" i="43"/>
  <c r="V142" i="43"/>
  <c r="W142" i="43"/>
  <c r="X142" i="43"/>
  <c r="Y142" i="43"/>
  <c r="Z142" i="43"/>
  <c r="AA142" i="43"/>
  <c r="AB142" i="43"/>
  <c r="AC142" i="43"/>
  <c r="AD142" i="43"/>
  <c r="AE142" i="43"/>
  <c r="AF142" i="43"/>
  <c r="AG142" i="43"/>
  <c r="AH142" i="43"/>
  <c r="AI142" i="43"/>
  <c r="AJ142" i="43"/>
  <c r="AK142" i="43"/>
  <c r="AL142" i="43"/>
  <c r="AM142" i="43"/>
  <c r="AN142" i="43"/>
  <c r="AO142" i="43"/>
  <c r="AP142" i="43"/>
  <c r="AQ142" i="43"/>
  <c r="AR142" i="43"/>
  <c r="AS142" i="43"/>
  <c r="AT142" i="43"/>
  <c r="AU142" i="43"/>
  <c r="AV142" i="43"/>
  <c r="N143" i="43"/>
  <c r="O143" i="43"/>
  <c r="P143" i="43"/>
  <c r="Q143" i="43"/>
  <c r="R143" i="43"/>
  <c r="S143" i="43"/>
  <c r="T143" i="43"/>
  <c r="U143" i="43"/>
  <c r="V143" i="43"/>
  <c r="W143" i="43"/>
  <c r="X143" i="43"/>
  <c r="Y143" i="43"/>
  <c r="Z143" i="43"/>
  <c r="AA143" i="43"/>
  <c r="AB143" i="43"/>
  <c r="AC143" i="43"/>
  <c r="AD143" i="43"/>
  <c r="AE143" i="43"/>
  <c r="AF143" i="43"/>
  <c r="AG143" i="43"/>
  <c r="AH143" i="43"/>
  <c r="AI143" i="43"/>
  <c r="AJ143" i="43"/>
  <c r="AK143" i="43"/>
  <c r="AL143" i="43"/>
  <c r="AM143" i="43"/>
  <c r="AN143" i="43"/>
  <c r="AO143" i="43"/>
  <c r="AP143" i="43"/>
  <c r="AQ143" i="43"/>
  <c r="AR143" i="43"/>
  <c r="AS143" i="43"/>
  <c r="AT143" i="43"/>
  <c r="AU143" i="43"/>
  <c r="AV143" i="43"/>
  <c r="N144" i="43"/>
  <c r="O144" i="43"/>
  <c r="P144" i="43"/>
  <c r="Q144" i="43"/>
  <c r="R144" i="43"/>
  <c r="S144" i="43"/>
  <c r="T144" i="43"/>
  <c r="U144" i="43"/>
  <c r="V144" i="43"/>
  <c r="W144" i="43"/>
  <c r="X144" i="43"/>
  <c r="Y144" i="43"/>
  <c r="Z144" i="43"/>
  <c r="AA144" i="43"/>
  <c r="AB144" i="43"/>
  <c r="AC144" i="43"/>
  <c r="AD144" i="43"/>
  <c r="AE144" i="43"/>
  <c r="AF144" i="43"/>
  <c r="AG144" i="43"/>
  <c r="AH144" i="43"/>
  <c r="AI144" i="43"/>
  <c r="AJ144" i="43"/>
  <c r="AK144" i="43"/>
  <c r="AL144" i="43"/>
  <c r="AM144" i="43"/>
  <c r="AN144" i="43"/>
  <c r="AO144" i="43"/>
  <c r="AP144" i="43"/>
  <c r="AQ144" i="43"/>
  <c r="AR144" i="43"/>
  <c r="AS144" i="43"/>
  <c r="AT144" i="43"/>
  <c r="AU144" i="43"/>
  <c r="AV144" i="43"/>
  <c r="N145" i="43"/>
  <c r="O145" i="43"/>
  <c r="P145" i="43"/>
  <c r="Q145" i="43"/>
  <c r="R145" i="43"/>
  <c r="S145" i="43"/>
  <c r="T145" i="43"/>
  <c r="U145" i="43"/>
  <c r="V145" i="43"/>
  <c r="W145" i="43"/>
  <c r="X145" i="43"/>
  <c r="Y145" i="43"/>
  <c r="Z145" i="43"/>
  <c r="AA145" i="43"/>
  <c r="AB145" i="43"/>
  <c r="AC145" i="43"/>
  <c r="AD145" i="43"/>
  <c r="AE145" i="43"/>
  <c r="AF145" i="43"/>
  <c r="AG145" i="43"/>
  <c r="AH145" i="43"/>
  <c r="AI145" i="43"/>
  <c r="AJ145" i="43"/>
  <c r="AK145" i="43"/>
  <c r="AL145" i="43"/>
  <c r="AM145" i="43"/>
  <c r="AN145" i="43"/>
  <c r="AO145" i="43"/>
  <c r="AP145" i="43"/>
  <c r="AQ145" i="43"/>
  <c r="AR145" i="43"/>
  <c r="AS145" i="43"/>
  <c r="AT145" i="43"/>
  <c r="AU145" i="43"/>
  <c r="AV145" i="43"/>
  <c r="N146" i="43"/>
  <c r="O146" i="43"/>
  <c r="P146" i="43"/>
  <c r="Q146" i="43"/>
  <c r="R146" i="43"/>
  <c r="S146" i="43"/>
  <c r="T146" i="43"/>
  <c r="U146" i="43"/>
  <c r="V146" i="43"/>
  <c r="W146" i="43"/>
  <c r="X146" i="43"/>
  <c r="Y146" i="43"/>
  <c r="Z146" i="43"/>
  <c r="AA146" i="43"/>
  <c r="AB146" i="43"/>
  <c r="AC146" i="43"/>
  <c r="AD146" i="43"/>
  <c r="AE146" i="43"/>
  <c r="AF146" i="43"/>
  <c r="AG146" i="43"/>
  <c r="AH146" i="43"/>
  <c r="AI146" i="43"/>
  <c r="AJ146" i="43"/>
  <c r="AK146" i="43"/>
  <c r="AL146" i="43"/>
  <c r="AM146" i="43"/>
  <c r="AN146" i="43"/>
  <c r="AO146" i="43"/>
  <c r="AP146" i="43"/>
  <c r="AQ146" i="43"/>
  <c r="AR146" i="43"/>
  <c r="AS146" i="43"/>
  <c r="AT146" i="43"/>
  <c r="AU146" i="43"/>
  <c r="AV146" i="43"/>
  <c r="N147" i="43"/>
  <c r="O147" i="43"/>
  <c r="P147" i="43"/>
  <c r="Q147" i="43"/>
  <c r="R147" i="43"/>
  <c r="S147" i="43"/>
  <c r="T147" i="43"/>
  <c r="U147" i="43"/>
  <c r="V147" i="43"/>
  <c r="W147" i="43"/>
  <c r="X147" i="43"/>
  <c r="Y147" i="43"/>
  <c r="Z147" i="43"/>
  <c r="AA147" i="43"/>
  <c r="AB147" i="43"/>
  <c r="AC147" i="43"/>
  <c r="AD147" i="43"/>
  <c r="AE147" i="43"/>
  <c r="AF147" i="43"/>
  <c r="AG147" i="43"/>
  <c r="AH147" i="43"/>
  <c r="AI147" i="43"/>
  <c r="AJ147" i="43"/>
  <c r="AK147" i="43"/>
  <c r="AL147" i="43"/>
  <c r="AM147" i="43"/>
  <c r="AN147" i="43"/>
  <c r="AO147" i="43"/>
  <c r="AP147" i="43"/>
  <c r="AQ147" i="43"/>
  <c r="AR147" i="43"/>
  <c r="AS147" i="43"/>
  <c r="AT147" i="43"/>
  <c r="AU147" i="43"/>
  <c r="AV147" i="43"/>
  <c r="N148" i="43"/>
  <c r="O148" i="43"/>
  <c r="P148" i="43"/>
  <c r="Q148" i="43"/>
  <c r="R148" i="43"/>
  <c r="S148" i="43"/>
  <c r="T148" i="43"/>
  <c r="U148" i="43"/>
  <c r="V148" i="43"/>
  <c r="W148" i="43"/>
  <c r="X148" i="43"/>
  <c r="Y148" i="43"/>
  <c r="Z148" i="43"/>
  <c r="AA148" i="43"/>
  <c r="AB148" i="43"/>
  <c r="AC148" i="43"/>
  <c r="AD148" i="43"/>
  <c r="AE148" i="43"/>
  <c r="AF148" i="43"/>
  <c r="AG148" i="43"/>
  <c r="AH148" i="43"/>
  <c r="AI148" i="43"/>
  <c r="AJ148" i="43"/>
  <c r="AK148" i="43"/>
  <c r="AL148" i="43"/>
  <c r="AM148" i="43"/>
  <c r="AN148" i="43"/>
  <c r="AO148" i="43"/>
  <c r="AP148" i="43"/>
  <c r="AQ148" i="43"/>
  <c r="AR148" i="43"/>
  <c r="AS148" i="43"/>
  <c r="AT148" i="43"/>
  <c r="AU148" i="43"/>
  <c r="AV148" i="43"/>
  <c r="N149" i="43"/>
  <c r="O149" i="43"/>
  <c r="P149" i="43"/>
  <c r="Q149" i="43"/>
  <c r="R149" i="43"/>
  <c r="S149" i="43"/>
  <c r="T149" i="43"/>
  <c r="U149" i="43"/>
  <c r="V149" i="43"/>
  <c r="W149" i="43"/>
  <c r="X149" i="43"/>
  <c r="Y149" i="43"/>
  <c r="Z149" i="43"/>
  <c r="AA149" i="43"/>
  <c r="AB149" i="43"/>
  <c r="AC149" i="43"/>
  <c r="AD149" i="43"/>
  <c r="AE149" i="43"/>
  <c r="AF149" i="43"/>
  <c r="AG149" i="43"/>
  <c r="AH149" i="43"/>
  <c r="AI149" i="43"/>
  <c r="AJ149" i="43"/>
  <c r="AK149" i="43"/>
  <c r="AL149" i="43"/>
  <c r="AM149" i="43"/>
  <c r="AN149" i="43"/>
  <c r="AO149" i="43"/>
  <c r="AP149" i="43"/>
  <c r="AQ149" i="43"/>
  <c r="AR149" i="43"/>
  <c r="AS149" i="43"/>
  <c r="AT149" i="43"/>
  <c r="AU149" i="43"/>
  <c r="AV149" i="43"/>
  <c r="N150" i="43"/>
  <c r="O150" i="43"/>
  <c r="P150" i="43"/>
  <c r="Q150" i="43"/>
  <c r="R150" i="43"/>
  <c r="S150" i="43"/>
  <c r="T150" i="43"/>
  <c r="U150" i="43"/>
  <c r="V150" i="43"/>
  <c r="W150" i="43"/>
  <c r="X150" i="43"/>
  <c r="Y150" i="43"/>
  <c r="Z150" i="43"/>
  <c r="AA150" i="43"/>
  <c r="AB150" i="43"/>
  <c r="AC150" i="43"/>
  <c r="AD150" i="43"/>
  <c r="AE150" i="43"/>
  <c r="AF150" i="43"/>
  <c r="AG150" i="43"/>
  <c r="AH150" i="43"/>
  <c r="AI150" i="43"/>
  <c r="AJ150" i="43"/>
  <c r="AK150" i="43"/>
  <c r="AL150" i="43"/>
  <c r="AM150" i="43"/>
  <c r="AN150" i="43"/>
  <c r="AO150" i="43"/>
  <c r="AP150" i="43"/>
  <c r="AQ150" i="43"/>
  <c r="AR150" i="43"/>
  <c r="AS150" i="43"/>
  <c r="AT150" i="43"/>
  <c r="AU150" i="43"/>
  <c r="AV150" i="43"/>
  <c r="N151" i="43"/>
  <c r="O151" i="43"/>
  <c r="P151" i="43"/>
  <c r="Q151" i="43"/>
  <c r="R151" i="43"/>
  <c r="S151" i="43"/>
  <c r="T151" i="43"/>
  <c r="U151" i="43"/>
  <c r="V151" i="43"/>
  <c r="W151" i="43"/>
  <c r="X151" i="43"/>
  <c r="Y151" i="43"/>
  <c r="Z151" i="43"/>
  <c r="AA151" i="43"/>
  <c r="AB151" i="43"/>
  <c r="AC151" i="43"/>
  <c r="AD151" i="43"/>
  <c r="AE151" i="43"/>
  <c r="AF151" i="43"/>
  <c r="AG151" i="43"/>
  <c r="AH151" i="43"/>
  <c r="AI151" i="43"/>
  <c r="AJ151" i="43"/>
  <c r="AK151" i="43"/>
  <c r="AL151" i="43"/>
  <c r="AM151" i="43"/>
  <c r="AN151" i="43"/>
  <c r="AO151" i="43"/>
  <c r="AP151" i="43"/>
  <c r="AQ151" i="43"/>
  <c r="AR151" i="43"/>
  <c r="AS151" i="43"/>
  <c r="AT151" i="43"/>
  <c r="AU151" i="43"/>
  <c r="AV151" i="43"/>
  <c r="N152" i="43"/>
  <c r="O152" i="43"/>
  <c r="P152" i="43"/>
  <c r="Q152" i="43"/>
  <c r="R152" i="43"/>
  <c r="S152" i="43"/>
  <c r="T152" i="43"/>
  <c r="U152" i="43"/>
  <c r="V152" i="43"/>
  <c r="W152" i="43"/>
  <c r="X152" i="43"/>
  <c r="Y152" i="43"/>
  <c r="Z152" i="43"/>
  <c r="AA152" i="43"/>
  <c r="AB152" i="43"/>
  <c r="AC152" i="43"/>
  <c r="AD152" i="43"/>
  <c r="AE152" i="43"/>
  <c r="AF152" i="43"/>
  <c r="AG152" i="43"/>
  <c r="AH152" i="43"/>
  <c r="AI152" i="43"/>
  <c r="AJ152" i="43"/>
  <c r="AK152" i="43"/>
  <c r="AL152" i="43"/>
  <c r="AM152" i="43"/>
  <c r="AN152" i="43"/>
  <c r="AO152" i="43"/>
  <c r="AP152" i="43"/>
  <c r="AQ152" i="43"/>
  <c r="AR152" i="43"/>
  <c r="AS152" i="43"/>
  <c r="AT152" i="43"/>
  <c r="AU152" i="43"/>
  <c r="AV152" i="43"/>
  <c r="N153" i="43"/>
  <c r="O153" i="43"/>
  <c r="P153" i="43"/>
  <c r="Q153" i="43"/>
  <c r="R153" i="43"/>
  <c r="S153" i="43"/>
  <c r="T153" i="43"/>
  <c r="U153" i="43"/>
  <c r="V153" i="43"/>
  <c r="W153" i="43"/>
  <c r="X153" i="43"/>
  <c r="Y153" i="43"/>
  <c r="Z153" i="43"/>
  <c r="AA153" i="43"/>
  <c r="AB153" i="43"/>
  <c r="AC153" i="43"/>
  <c r="AD153" i="43"/>
  <c r="AE153" i="43"/>
  <c r="AF153" i="43"/>
  <c r="AG153" i="43"/>
  <c r="AH153" i="43"/>
  <c r="AI153" i="43"/>
  <c r="AJ153" i="43"/>
  <c r="AK153" i="43"/>
  <c r="AL153" i="43"/>
  <c r="AM153" i="43"/>
  <c r="AN153" i="43"/>
  <c r="AO153" i="43"/>
  <c r="AP153" i="43"/>
  <c r="AQ153" i="43"/>
  <c r="AR153" i="43"/>
  <c r="AS153" i="43"/>
  <c r="AT153" i="43"/>
  <c r="AU153" i="43"/>
  <c r="AV153" i="43"/>
  <c r="N154" i="43"/>
  <c r="O154" i="43"/>
  <c r="P154" i="43"/>
  <c r="Q154" i="43"/>
  <c r="R154" i="43"/>
  <c r="S154" i="43"/>
  <c r="T154" i="43"/>
  <c r="U154" i="43"/>
  <c r="V154" i="43"/>
  <c r="W154" i="43"/>
  <c r="X154" i="43"/>
  <c r="Y154" i="43"/>
  <c r="Z154" i="43"/>
  <c r="AA154" i="43"/>
  <c r="AB154" i="43"/>
  <c r="AC154" i="43"/>
  <c r="AD154" i="43"/>
  <c r="AE154" i="43"/>
  <c r="AF154" i="43"/>
  <c r="AG154" i="43"/>
  <c r="AH154" i="43"/>
  <c r="AI154" i="43"/>
  <c r="AJ154" i="43"/>
  <c r="AK154" i="43"/>
  <c r="AL154" i="43"/>
  <c r="AM154" i="43"/>
  <c r="AN154" i="43"/>
  <c r="AO154" i="43"/>
  <c r="AP154" i="43"/>
  <c r="AQ154" i="43"/>
  <c r="AR154" i="43"/>
  <c r="AS154" i="43"/>
  <c r="AT154" i="43"/>
  <c r="AU154" i="43"/>
  <c r="AV154" i="43"/>
  <c r="N155" i="43"/>
  <c r="O155" i="43"/>
  <c r="P155" i="43"/>
  <c r="Q155" i="43"/>
  <c r="R155" i="43"/>
  <c r="S155" i="43"/>
  <c r="T155" i="43"/>
  <c r="U155" i="43"/>
  <c r="V155" i="43"/>
  <c r="W155" i="43"/>
  <c r="X155" i="43"/>
  <c r="Y155" i="43"/>
  <c r="Z155" i="43"/>
  <c r="AA155" i="43"/>
  <c r="AB155" i="43"/>
  <c r="AC155" i="43"/>
  <c r="AD155" i="43"/>
  <c r="AE155" i="43"/>
  <c r="AF155" i="43"/>
  <c r="AG155" i="43"/>
  <c r="AH155" i="43"/>
  <c r="AI155" i="43"/>
  <c r="AJ155" i="43"/>
  <c r="AK155" i="43"/>
  <c r="AL155" i="43"/>
  <c r="AM155" i="43"/>
  <c r="AN155" i="43"/>
  <c r="AO155" i="43"/>
  <c r="AP155" i="43"/>
  <c r="AQ155" i="43"/>
  <c r="AR155" i="43"/>
  <c r="AS155" i="43"/>
  <c r="AT155" i="43"/>
  <c r="AU155" i="43"/>
  <c r="AV155" i="43"/>
  <c r="N156" i="43"/>
  <c r="O156" i="43"/>
  <c r="P156" i="43"/>
  <c r="Q156" i="43"/>
  <c r="R156" i="43"/>
  <c r="S156" i="43"/>
  <c r="T156" i="43"/>
  <c r="U156" i="43"/>
  <c r="V156" i="43"/>
  <c r="W156" i="43"/>
  <c r="X156" i="43"/>
  <c r="Y156" i="43"/>
  <c r="Z156" i="43"/>
  <c r="AA156" i="43"/>
  <c r="AB156" i="43"/>
  <c r="AC156" i="43"/>
  <c r="AD156" i="43"/>
  <c r="AE156" i="43"/>
  <c r="AF156" i="43"/>
  <c r="AG156" i="43"/>
  <c r="AH156" i="43"/>
  <c r="AI156" i="43"/>
  <c r="AJ156" i="43"/>
  <c r="AK156" i="43"/>
  <c r="AL156" i="43"/>
  <c r="AM156" i="43"/>
  <c r="AN156" i="43"/>
  <c r="AO156" i="43"/>
  <c r="AP156" i="43"/>
  <c r="AQ156" i="43"/>
  <c r="AR156" i="43"/>
  <c r="AS156" i="43"/>
  <c r="AT156" i="43"/>
  <c r="AU156" i="43"/>
  <c r="AV156" i="43"/>
  <c r="N157" i="43"/>
  <c r="O157" i="43"/>
  <c r="P157" i="43"/>
  <c r="Q157" i="43"/>
  <c r="R157" i="43"/>
  <c r="S157" i="43"/>
  <c r="T157" i="43"/>
  <c r="U157" i="43"/>
  <c r="V157" i="43"/>
  <c r="W157" i="43"/>
  <c r="X157" i="43"/>
  <c r="Y157" i="43"/>
  <c r="Z157" i="43"/>
  <c r="AA157" i="43"/>
  <c r="AB157" i="43"/>
  <c r="AC157" i="43"/>
  <c r="AD157" i="43"/>
  <c r="AE157" i="43"/>
  <c r="AF157" i="43"/>
  <c r="AG157" i="43"/>
  <c r="AH157" i="43"/>
  <c r="AI157" i="43"/>
  <c r="AJ157" i="43"/>
  <c r="AK157" i="43"/>
  <c r="AL157" i="43"/>
  <c r="AM157" i="43"/>
  <c r="AN157" i="43"/>
  <c r="AO157" i="43"/>
  <c r="AP157" i="43"/>
  <c r="AQ157" i="43"/>
  <c r="AR157" i="43"/>
  <c r="AS157" i="43"/>
  <c r="AT157" i="43"/>
  <c r="AU157" i="43"/>
  <c r="AV157" i="43"/>
  <c r="N158" i="43"/>
  <c r="O158" i="43"/>
  <c r="P158" i="43"/>
  <c r="Q158" i="43"/>
  <c r="R158" i="43"/>
  <c r="S158" i="43"/>
  <c r="T158" i="43"/>
  <c r="U158" i="43"/>
  <c r="V158" i="43"/>
  <c r="W158" i="43"/>
  <c r="X158" i="43"/>
  <c r="Y158" i="43"/>
  <c r="Z158" i="43"/>
  <c r="AA158" i="43"/>
  <c r="AB158" i="43"/>
  <c r="AC158" i="43"/>
  <c r="AD158" i="43"/>
  <c r="AE158" i="43"/>
  <c r="AF158" i="43"/>
  <c r="AG158" i="43"/>
  <c r="AH158" i="43"/>
  <c r="AI158" i="43"/>
  <c r="AJ158" i="43"/>
  <c r="AK158" i="43"/>
  <c r="AL158" i="43"/>
  <c r="AM158" i="43"/>
  <c r="AN158" i="43"/>
  <c r="AO158" i="43"/>
  <c r="AP158" i="43"/>
  <c r="AQ158" i="43"/>
  <c r="AR158" i="43"/>
  <c r="AS158" i="43"/>
  <c r="AT158" i="43"/>
  <c r="AU158" i="43"/>
  <c r="AV158" i="43"/>
  <c r="N159" i="43"/>
  <c r="O159" i="43"/>
  <c r="P159" i="43"/>
  <c r="Q159" i="43"/>
  <c r="R159" i="43"/>
  <c r="S159" i="43"/>
  <c r="T159" i="43"/>
  <c r="U159" i="43"/>
  <c r="V159" i="43"/>
  <c r="W159" i="43"/>
  <c r="X159" i="43"/>
  <c r="Y159" i="43"/>
  <c r="Z159" i="43"/>
  <c r="AA159" i="43"/>
  <c r="AB159" i="43"/>
  <c r="AC159" i="43"/>
  <c r="AD159" i="43"/>
  <c r="AE159" i="43"/>
  <c r="AF159" i="43"/>
  <c r="AG159" i="43"/>
  <c r="AH159" i="43"/>
  <c r="AI159" i="43"/>
  <c r="AJ159" i="43"/>
  <c r="AK159" i="43"/>
  <c r="AL159" i="43"/>
  <c r="AM159" i="43"/>
  <c r="AN159" i="43"/>
  <c r="AO159" i="43"/>
  <c r="AP159" i="43"/>
  <c r="AQ159" i="43"/>
  <c r="AR159" i="43"/>
  <c r="AS159" i="43"/>
  <c r="AT159" i="43"/>
  <c r="AU159" i="43"/>
  <c r="AV159" i="43"/>
  <c r="N160" i="43"/>
  <c r="O160" i="43"/>
  <c r="P160" i="43"/>
  <c r="Q160" i="43"/>
  <c r="R160" i="43"/>
  <c r="S160" i="43"/>
  <c r="T160" i="43"/>
  <c r="U160" i="43"/>
  <c r="V160" i="43"/>
  <c r="W160" i="43"/>
  <c r="X160" i="43"/>
  <c r="Y160" i="43"/>
  <c r="Z160" i="43"/>
  <c r="AA160" i="43"/>
  <c r="AB160" i="43"/>
  <c r="AC160" i="43"/>
  <c r="AD160" i="43"/>
  <c r="AE160" i="43"/>
  <c r="AF160" i="43"/>
  <c r="AG160" i="43"/>
  <c r="AH160" i="43"/>
  <c r="AI160" i="43"/>
  <c r="AJ160" i="43"/>
  <c r="AK160" i="43"/>
  <c r="AL160" i="43"/>
  <c r="AM160" i="43"/>
  <c r="AN160" i="43"/>
  <c r="AO160" i="43"/>
  <c r="AP160" i="43"/>
  <c r="AQ160" i="43"/>
  <c r="AR160" i="43"/>
  <c r="AS160" i="43"/>
  <c r="AT160" i="43"/>
  <c r="AU160" i="43"/>
  <c r="AV160" i="43"/>
  <c r="N161" i="43"/>
  <c r="O161" i="43"/>
  <c r="P161" i="43"/>
  <c r="Q161" i="43"/>
  <c r="R161" i="43"/>
  <c r="S161" i="43"/>
  <c r="T161" i="43"/>
  <c r="U161" i="43"/>
  <c r="V161" i="43"/>
  <c r="W161" i="43"/>
  <c r="X161" i="43"/>
  <c r="Y161" i="43"/>
  <c r="Z161" i="43"/>
  <c r="AA161" i="43"/>
  <c r="AB161" i="43"/>
  <c r="AC161" i="43"/>
  <c r="AD161" i="43"/>
  <c r="AE161" i="43"/>
  <c r="AF161" i="43"/>
  <c r="AG161" i="43"/>
  <c r="AH161" i="43"/>
  <c r="AI161" i="43"/>
  <c r="AJ161" i="43"/>
  <c r="AK161" i="43"/>
  <c r="AL161" i="43"/>
  <c r="AM161" i="43"/>
  <c r="AN161" i="43"/>
  <c r="AO161" i="43"/>
  <c r="AP161" i="43"/>
  <c r="AQ161" i="43"/>
  <c r="AR161" i="43"/>
  <c r="AS161" i="43"/>
  <c r="AT161" i="43"/>
  <c r="AU161" i="43"/>
  <c r="AV161" i="43"/>
  <c r="N162" i="43"/>
  <c r="O162" i="43"/>
  <c r="P162" i="43"/>
  <c r="Q162" i="43"/>
  <c r="R162" i="43"/>
  <c r="S162" i="43"/>
  <c r="T162" i="43"/>
  <c r="U162" i="43"/>
  <c r="V162" i="43"/>
  <c r="W162" i="43"/>
  <c r="X162" i="43"/>
  <c r="Y162" i="43"/>
  <c r="Z162" i="43"/>
  <c r="AA162" i="43"/>
  <c r="AB162" i="43"/>
  <c r="AC162" i="43"/>
  <c r="AD162" i="43"/>
  <c r="AE162" i="43"/>
  <c r="AF162" i="43"/>
  <c r="AG162" i="43"/>
  <c r="AH162" i="43"/>
  <c r="AI162" i="43"/>
  <c r="AJ162" i="43"/>
  <c r="AK162" i="43"/>
  <c r="AL162" i="43"/>
  <c r="AM162" i="43"/>
  <c r="AN162" i="43"/>
  <c r="AO162" i="43"/>
  <c r="AP162" i="43"/>
  <c r="AQ162" i="43"/>
  <c r="AR162" i="43"/>
  <c r="AS162" i="43"/>
  <c r="AT162" i="43"/>
  <c r="AU162" i="43"/>
  <c r="AV162" i="43"/>
  <c r="N164" i="43"/>
  <c r="O164" i="43"/>
  <c r="P164" i="43"/>
  <c r="Q164" i="43"/>
  <c r="R164" i="43"/>
  <c r="S164" i="43"/>
  <c r="T164" i="43"/>
  <c r="U164" i="43"/>
  <c r="V164" i="43"/>
  <c r="W164" i="43"/>
  <c r="X164" i="43"/>
  <c r="Y164" i="43"/>
  <c r="Z164" i="43"/>
  <c r="AA164" i="43"/>
  <c r="AB164" i="43"/>
  <c r="AC164" i="43"/>
  <c r="AD164" i="43"/>
  <c r="AE164" i="43"/>
  <c r="AF164" i="43"/>
  <c r="AG164" i="43"/>
  <c r="AH164" i="43"/>
  <c r="AI164" i="43"/>
  <c r="AJ164" i="43"/>
  <c r="AK164" i="43"/>
  <c r="AL164" i="43"/>
  <c r="AM164" i="43"/>
  <c r="AN164" i="43"/>
  <c r="AO164" i="43"/>
  <c r="AP164" i="43"/>
  <c r="AQ164" i="43"/>
  <c r="AR164" i="43"/>
  <c r="AS164" i="43"/>
  <c r="AT164" i="43"/>
  <c r="AU164" i="43"/>
  <c r="AV164" i="43"/>
  <c r="N165" i="43"/>
  <c r="O165" i="43"/>
  <c r="P165" i="43"/>
  <c r="Q165" i="43"/>
  <c r="R165" i="43"/>
  <c r="S165" i="43"/>
  <c r="T165" i="43"/>
  <c r="U165" i="43"/>
  <c r="V165" i="43"/>
  <c r="W165" i="43"/>
  <c r="X165" i="43"/>
  <c r="Y165" i="43"/>
  <c r="Z165" i="43"/>
  <c r="AA165" i="43"/>
  <c r="AB165" i="43"/>
  <c r="AC165" i="43"/>
  <c r="AD165" i="43"/>
  <c r="AE165" i="43"/>
  <c r="AF165" i="43"/>
  <c r="AG165" i="43"/>
  <c r="AH165" i="43"/>
  <c r="AI165" i="43"/>
  <c r="AJ165" i="43"/>
  <c r="AK165" i="43"/>
  <c r="AL165" i="43"/>
  <c r="AM165" i="43"/>
  <c r="AN165" i="43"/>
  <c r="AO165" i="43"/>
  <c r="AP165" i="43"/>
  <c r="AQ165" i="43"/>
  <c r="AR165" i="43"/>
  <c r="AS165" i="43"/>
  <c r="AT165" i="43"/>
  <c r="AU165" i="43"/>
  <c r="AV165" i="43"/>
  <c r="N166" i="43"/>
  <c r="O166" i="43"/>
  <c r="P166" i="43"/>
  <c r="Q166" i="43"/>
  <c r="R166" i="43"/>
  <c r="S166" i="43"/>
  <c r="T166" i="43"/>
  <c r="U166" i="43"/>
  <c r="V166" i="43"/>
  <c r="W166" i="43"/>
  <c r="X166" i="43"/>
  <c r="Y166" i="43"/>
  <c r="Z166" i="43"/>
  <c r="AA166" i="43"/>
  <c r="AB166" i="43"/>
  <c r="AC166" i="43"/>
  <c r="AD166" i="43"/>
  <c r="AE166" i="43"/>
  <c r="AF166" i="43"/>
  <c r="AG166" i="43"/>
  <c r="AH166" i="43"/>
  <c r="AI166" i="43"/>
  <c r="AJ166" i="43"/>
  <c r="AK166" i="43"/>
  <c r="AL166" i="43"/>
  <c r="AM166" i="43"/>
  <c r="AN166" i="43"/>
  <c r="AO166" i="43"/>
  <c r="AP166" i="43"/>
  <c r="AQ166" i="43"/>
  <c r="AR166" i="43"/>
  <c r="AS166" i="43"/>
  <c r="AT166" i="43"/>
  <c r="AU166" i="43"/>
  <c r="AV166" i="43"/>
  <c r="N167" i="43"/>
  <c r="O167" i="43"/>
  <c r="P167" i="43"/>
  <c r="Q167" i="43"/>
  <c r="R167" i="43"/>
  <c r="S167" i="43"/>
  <c r="T167" i="43"/>
  <c r="U167" i="43"/>
  <c r="V167" i="43"/>
  <c r="W167" i="43"/>
  <c r="X167" i="43"/>
  <c r="Y167" i="43"/>
  <c r="Z167" i="43"/>
  <c r="AA167" i="43"/>
  <c r="AB167" i="43"/>
  <c r="AC167" i="43"/>
  <c r="AD167" i="43"/>
  <c r="AE167" i="43"/>
  <c r="AF167" i="43"/>
  <c r="AG167" i="43"/>
  <c r="AH167" i="43"/>
  <c r="AI167" i="43"/>
  <c r="AJ167" i="43"/>
  <c r="AK167" i="43"/>
  <c r="AL167" i="43"/>
  <c r="AM167" i="43"/>
  <c r="AN167" i="43"/>
  <c r="AO167" i="43"/>
  <c r="AP167" i="43"/>
  <c r="AQ167" i="43"/>
  <c r="AR167" i="43"/>
  <c r="AS167" i="43"/>
  <c r="AT167" i="43"/>
  <c r="AU167" i="43"/>
  <c r="AV167" i="43"/>
  <c r="C75" i="30"/>
  <c r="I3" i="32"/>
  <c r="D75" i="30"/>
  <c r="I4" i="32"/>
  <c r="E75" i="30"/>
  <c r="I5" i="32"/>
  <c r="F75" i="30"/>
  <c r="I6" i="32"/>
  <c r="G75" i="30"/>
  <c r="I7" i="32"/>
  <c r="H75" i="30"/>
  <c r="I8" i="32"/>
  <c r="I75" i="30"/>
  <c r="I9" i="32"/>
  <c r="J75" i="30"/>
  <c r="I10" i="32"/>
  <c r="K75" i="30"/>
  <c r="I11" i="32"/>
  <c r="L75" i="30"/>
  <c r="I12" i="32"/>
  <c r="M75" i="30"/>
  <c r="I13" i="32"/>
  <c r="N75" i="30"/>
  <c r="I14" i="32"/>
  <c r="O75" i="30"/>
  <c r="I15" i="32"/>
  <c r="P75" i="30"/>
  <c r="I16" i="32"/>
  <c r="Q75" i="30"/>
  <c r="I17" i="32"/>
  <c r="R75" i="30"/>
  <c r="I18" i="32"/>
  <c r="S75" i="30"/>
  <c r="I19" i="32"/>
  <c r="T75" i="30"/>
  <c r="I20" i="32"/>
  <c r="U75" i="30"/>
  <c r="I21" i="32"/>
  <c r="V75" i="30"/>
  <c r="I22" i="32"/>
  <c r="W75" i="30"/>
  <c r="I23" i="32"/>
  <c r="X75" i="30"/>
  <c r="I24" i="32"/>
  <c r="Y75" i="30"/>
  <c r="I25" i="32"/>
  <c r="Z75" i="30"/>
  <c r="I26" i="32"/>
  <c r="AA75" i="30"/>
  <c r="I27" i="32"/>
  <c r="AB75" i="30"/>
  <c r="I28" i="32"/>
  <c r="AC75" i="30"/>
  <c r="I29" i="32"/>
  <c r="AD75" i="30"/>
  <c r="I30" i="32"/>
  <c r="AE75" i="30"/>
  <c r="I31" i="32"/>
  <c r="AF75" i="30"/>
  <c r="I32" i="32"/>
  <c r="AG75" i="30"/>
  <c r="I33" i="32"/>
  <c r="AH75" i="30"/>
  <c r="I34" i="32"/>
  <c r="AI75" i="30"/>
  <c r="I35" i="32"/>
  <c r="AJ75" i="30"/>
  <c r="I36" i="32"/>
  <c r="AK75" i="30"/>
  <c r="I37" i="32"/>
  <c r="B85" i="30"/>
  <c r="B75" i="30"/>
  <c r="I2" i="32"/>
  <c r="B84" i="30"/>
  <c r="B83" i="30"/>
  <c r="D401" i="43"/>
  <c r="E401" i="43" a="1"/>
  <c r="E401" i="43"/>
  <c r="D423" i="43"/>
  <c r="E423" i="43" a="1"/>
  <c r="E423" i="43"/>
  <c r="D450" i="43"/>
  <c r="E450" i="43" a="1"/>
  <c r="F450" i="43"/>
  <c r="D163" i="43"/>
  <c r="E163" i="43"/>
  <c r="F163" i="43"/>
  <c r="G163" i="43"/>
  <c r="H163" i="43"/>
  <c r="I163" i="43"/>
  <c r="J163" i="43"/>
  <c r="K163" i="43"/>
  <c r="L163" i="43"/>
  <c r="M163" i="43"/>
  <c r="D516" i="43"/>
  <c r="E516" i="43" a="1"/>
  <c r="D164" i="43"/>
  <c r="D517" i="43"/>
  <c r="E517" i="43" a="1"/>
  <c r="E164" i="43"/>
  <c r="F164" i="43"/>
  <c r="G164" i="43"/>
  <c r="H164" i="43"/>
  <c r="I164" i="43"/>
  <c r="J164" i="43"/>
  <c r="K164" i="43"/>
  <c r="L164" i="43"/>
  <c r="M164" i="43"/>
  <c r="D165" i="43"/>
  <c r="E165" i="43"/>
  <c r="F165" i="43"/>
  <c r="G165" i="43"/>
  <c r="H165" i="43"/>
  <c r="I165" i="43"/>
  <c r="J165" i="43"/>
  <c r="K165" i="43"/>
  <c r="L165" i="43"/>
  <c r="M165" i="43"/>
  <c r="D518" i="43"/>
  <c r="E518" i="43" a="1"/>
  <c r="D166" i="43"/>
  <c r="E166" i="43"/>
  <c r="F166" i="43"/>
  <c r="G166" i="43"/>
  <c r="H166" i="43"/>
  <c r="I166" i="43"/>
  <c r="J166" i="43"/>
  <c r="K166" i="43"/>
  <c r="L166" i="43"/>
  <c r="M166" i="43"/>
  <c r="D519" i="43"/>
  <c r="E519" i="43" a="1"/>
  <c r="D167" i="43"/>
  <c r="E167" i="43"/>
  <c r="F167" i="43"/>
  <c r="G167" i="43"/>
  <c r="H167" i="43"/>
  <c r="I167" i="43"/>
  <c r="J167" i="43"/>
  <c r="K167" i="43"/>
  <c r="L167" i="43"/>
  <c r="M167" i="43"/>
  <c r="D520" i="43"/>
  <c r="E520" i="43" a="1"/>
  <c r="D140" i="43"/>
  <c r="E140" i="43"/>
  <c r="F140" i="43"/>
  <c r="G140" i="43"/>
  <c r="H140" i="43"/>
  <c r="I140" i="43"/>
  <c r="J140" i="43"/>
  <c r="K140" i="43"/>
  <c r="L140" i="43"/>
  <c r="M140" i="43"/>
  <c r="N140" i="43"/>
  <c r="D141" i="43"/>
  <c r="E141" i="43"/>
  <c r="F141" i="43"/>
  <c r="G141" i="43"/>
  <c r="H141" i="43"/>
  <c r="I141" i="43"/>
  <c r="J141" i="43"/>
  <c r="K141" i="43"/>
  <c r="L141" i="43"/>
  <c r="M141" i="43"/>
  <c r="D494" i="43"/>
  <c r="E494" i="43" a="1"/>
  <c r="D142" i="43"/>
  <c r="E142" i="43"/>
  <c r="F142" i="43"/>
  <c r="G142" i="43"/>
  <c r="H142" i="43"/>
  <c r="I142" i="43"/>
  <c r="J142" i="43"/>
  <c r="K142" i="43"/>
  <c r="L142" i="43"/>
  <c r="M142" i="43"/>
  <c r="D495" i="43"/>
  <c r="E495" i="43" a="1"/>
  <c r="D143" i="43"/>
  <c r="E143" i="43"/>
  <c r="F143" i="43"/>
  <c r="G143" i="43"/>
  <c r="H143" i="43"/>
  <c r="I143" i="43"/>
  <c r="J143" i="43"/>
  <c r="K143" i="43"/>
  <c r="L143" i="43"/>
  <c r="M143" i="43"/>
  <c r="D496" i="43"/>
  <c r="E496" i="43" a="1"/>
  <c r="D144" i="43"/>
  <c r="D497" i="43"/>
  <c r="E497" i="43" a="1"/>
  <c r="E144" i="43"/>
  <c r="F144" i="43"/>
  <c r="G144" i="43"/>
  <c r="H144" i="43"/>
  <c r="I144" i="43"/>
  <c r="J144" i="43"/>
  <c r="K144" i="43"/>
  <c r="L144" i="43"/>
  <c r="M144" i="43"/>
  <c r="D117" i="43"/>
  <c r="E117" i="43"/>
  <c r="F117" i="43"/>
  <c r="G117" i="43"/>
  <c r="H117" i="43"/>
  <c r="I117" i="43"/>
  <c r="J117" i="43"/>
  <c r="K117" i="43"/>
  <c r="L117" i="43"/>
  <c r="M117" i="43"/>
  <c r="D470" i="43"/>
  <c r="E470" i="43" a="1"/>
  <c r="F470" i="43"/>
  <c r="D118" i="43"/>
  <c r="D471" i="43"/>
  <c r="E471" i="43" a="1"/>
  <c r="E118" i="43"/>
  <c r="F118" i="43"/>
  <c r="G118" i="43"/>
  <c r="H118" i="43"/>
  <c r="I118" i="43"/>
  <c r="J118" i="43"/>
  <c r="K118" i="43"/>
  <c r="L118" i="43"/>
  <c r="M118" i="43"/>
  <c r="D119" i="43"/>
  <c r="E119" i="43"/>
  <c r="F119" i="43"/>
  <c r="G119" i="43"/>
  <c r="H119" i="43"/>
  <c r="I119" i="43"/>
  <c r="J119" i="43"/>
  <c r="K119" i="43"/>
  <c r="L119" i="43"/>
  <c r="M119" i="43"/>
  <c r="D472" i="43"/>
  <c r="E472" i="43" a="1"/>
  <c r="D120" i="43"/>
  <c r="D473" i="43"/>
  <c r="E473" i="43" a="1"/>
  <c r="E120" i="43"/>
  <c r="F120" i="43"/>
  <c r="G120" i="43"/>
  <c r="H120" i="43"/>
  <c r="I120" i="43"/>
  <c r="J120" i="43"/>
  <c r="K120" i="43"/>
  <c r="L120" i="43"/>
  <c r="M120" i="43"/>
  <c r="D121" i="43"/>
  <c r="E121" i="43"/>
  <c r="F121" i="43"/>
  <c r="G121" i="43"/>
  <c r="H121" i="43"/>
  <c r="I121" i="43"/>
  <c r="J121" i="43"/>
  <c r="K121" i="43"/>
  <c r="L121" i="43"/>
  <c r="M121" i="43"/>
  <c r="D474" i="43"/>
  <c r="E474" i="43" a="1"/>
  <c r="F474" i="43"/>
  <c r="D45" i="43"/>
  <c r="E45" i="43"/>
  <c r="F45" i="43"/>
  <c r="G45" i="43"/>
  <c r="H45" i="43"/>
  <c r="I45" i="43"/>
  <c r="J45" i="43"/>
  <c r="K45" i="43"/>
  <c r="L45" i="43"/>
  <c r="M45" i="43"/>
  <c r="D398" i="43"/>
  <c r="E398" i="43" a="1"/>
  <c r="D46" i="43"/>
  <c r="E46" i="43"/>
  <c r="F46" i="43"/>
  <c r="G46" i="43"/>
  <c r="H46" i="43"/>
  <c r="I46" i="43"/>
  <c r="J46" i="43"/>
  <c r="K46" i="43"/>
  <c r="L46" i="43"/>
  <c r="M46" i="43"/>
  <c r="D399" i="43"/>
  <c r="E399" i="43" a="1"/>
  <c r="E399" i="43"/>
  <c r="D47" i="43"/>
  <c r="E47" i="43"/>
  <c r="F47" i="43"/>
  <c r="G47" i="43"/>
  <c r="H47" i="43"/>
  <c r="I47" i="43"/>
  <c r="J47" i="43"/>
  <c r="K47" i="43"/>
  <c r="L47" i="43"/>
  <c r="M47" i="43"/>
  <c r="D400" i="43"/>
  <c r="E400" i="43" a="1"/>
  <c r="D48" i="43"/>
  <c r="E48" i="43"/>
  <c r="F48" i="43"/>
  <c r="G48" i="43"/>
  <c r="H48" i="43"/>
  <c r="I48" i="43"/>
  <c r="J48" i="43"/>
  <c r="K48" i="43"/>
  <c r="L48" i="43"/>
  <c r="M48" i="43"/>
  <c r="D49" i="43"/>
  <c r="E49" i="43"/>
  <c r="F49" i="43"/>
  <c r="G49" i="43"/>
  <c r="H49" i="43"/>
  <c r="I49" i="43"/>
  <c r="J49" i="43"/>
  <c r="K49" i="43"/>
  <c r="L49" i="43"/>
  <c r="M49" i="43"/>
  <c r="D402" i="43"/>
  <c r="E402" i="43" a="1"/>
  <c r="D93" i="43"/>
  <c r="E93" i="43"/>
  <c r="F93" i="43"/>
  <c r="G93" i="43"/>
  <c r="H93" i="43"/>
  <c r="I93" i="43"/>
  <c r="J93" i="43"/>
  <c r="K93" i="43"/>
  <c r="L93" i="43"/>
  <c r="M93" i="43"/>
  <c r="D446" i="43"/>
  <c r="E446" i="43" a="1"/>
  <c r="F446" i="43"/>
  <c r="D94" i="43"/>
  <c r="E94" i="43"/>
  <c r="F94" i="43"/>
  <c r="G94" i="43"/>
  <c r="H94" i="43"/>
  <c r="I94" i="43"/>
  <c r="J94" i="43"/>
  <c r="K94" i="43"/>
  <c r="L94" i="43"/>
  <c r="M94" i="43"/>
  <c r="D447" i="43"/>
  <c r="E447" i="43" a="1"/>
  <c r="D95" i="43"/>
  <c r="E95" i="43"/>
  <c r="F95" i="43"/>
  <c r="G95" i="43"/>
  <c r="H95" i="43"/>
  <c r="I95" i="43"/>
  <c r="J95" i="43"/>
  <c r="K95" i="43"/>
  <c r="L95" i="43"/>
  <c r="M95" i="43"/>
  <c r="D448" i="43"/>
  <c r="E448" i="43" a="1"/>
  <c r="D96" i="43"/>
  <c r="E96" i="43"/>
  <c r="F96" i="43"/>
  <c r="G96" i="43"/>
  <c r="H96" i="43"/>
  <c r="I96" i="43"/>
  <c r="J96" i="43"/>
  <c r="K96" i="43"/>
  <c r="L96" i="43"/>
  <c r="M96" i="43"/>
  <c r="D449" i="43"/>
  <c r="E449" i="43" a="1"/>
  <c r="D97" i="43"/>
  <c r="E97" i="43"/>
  <c r="F97" i="43"/>
  <c r="G97" i="43"/>
  <c r="H97" i="43"/>
  <c r="I97" i="43"/>
  <c r="J97" i="43"/>
  <c r="K97" i="43"/>
  <c r="L97" i="43"/>
  <c r="M97" i="43"/>
  <c r="D69" i="43"/>
  <c r="E69" i="43"/>
  <c r="F69" i="43"/>
  <c r="G69" i="43"/>
  <c r="H69" i="43"/>
  <c r="I69" i="43"/>
  <c r="J69" i="43"/>
  <c r="K69" i="43"/>
  <c r="L69" i="43"/>
  <c r="M69" i="43"/>
  <c r="D422" i="43"/>
  <c r="E422" i="43" a="1"/>
  <c r="D70" i="43"/>
  <c r="E70" i="43"/>
  <c r="F70" i="43"/>
  <c r="G70" i="43"/>
  <c r="H70" i="43"/>
  <c r="I70" i="43"/>
  <c r="J70" i="43"/>
  <c r="K70" i="43"/>
  <c r="L70" i="43"/>
  <c r="M70" i="43"/>
  <c r="D71" i="43"/>
  <c r="E71" i="43"/>
  <c r="F71" i="43"/>
  <c r="G71" i="43"/>
  <c r="H71" i="43"/>
  <c r="I71" i="43"/>
  <c r="J71" i="43"/>
  <c r="K71" i="43"/>
  <c r="L71" i="43"/>
  <c r="M71" i="43"/>
  <c r="D424" i="43"/>
  <c r="E424" i="43" a="1"/>
  <c r="D72" i="43"/>
  <c r="E72" i="43"/>
  <c r="F72" i="43"/>
  <c r="G72" i="43"/>
  <c r="H72" i="43"/>
  <c r="I72" i="43"/>
  <c r="J72" i="43"/>
  <c r="K72" i="43"/>
  <c r="L72" i="43"/>
  <c r="M72" i="43"/>
  <c r="D425" i="43"/>
  <c r="E425" i="43" a="1"/>
  <c r="D73" i="43"/>
  <c r="D426" i="43"/>
  <c r="E426" i="43" a="1"/>
  <c r="E426" i="43"/>
  <c r="E73" i="43"/>
  <c r="F73" i="43"/>
  <c r="G73" i="43"/>
  <c r="H73" i="43"/>
  <c r="I73" i="43"/>
  <c r="J73" i="43"/>
  <c r="K73" i="43"/>
  <c r="L73" i="43"/>
  <c r="M73" i="43"/>
  <c r="D25" i="43"/>
  <c r="E25" i="43"/>
  <c r="F25" i="43"/>
  <c r="G25" i="43"/>
  <c r="H25" i="43"/>
  <c r="I25" i="43"/>
  <c r="J25" i="43"/>
  <c r="K25" i="43"/>
  <c r="L25" i="43"/>
  <c r="M25" i="43"/>
  <c r="D378" i="43"/>
  <c r="D24" i="43"/>
  <c r="E24" i="43"/>
  <c r="F24" i="43"/>
  <c r="G24" i="43"/>
  <c r="H24" i="43"/>
  <c r="I24" i="43"/>
  <c r="J24" i="43"/>
  <c r="K24" i="43"/>
  <c r="L24" i="43"/>
  <c r="M24" i="43"/>
  <c r="D377" i="43"/>
  <c r="E377" i="43" a="1"/>
  <c r="E377" i="43"/>
  <c r="D23" i="43"/>
  <c r="E23" i="43"/>
  <c r="F23" i="43"/>
  <c r="G23" i="43"/>
  <c r="H23" i="43"/>
  <c r="I23" i="43"/>
  <c r="J23" i="43"/>
  <c r="K23" i="43"/>
  <c r="L23" i="43"/>
  <c r="M23" i="43"/>
  <c r="D376" i="43"/>
  <c r="D22" i="43"/>
  <c r="D375" i="43"/>
  <c r="E375" i="43" a="1"/>
  <c r="E375" i="43"/>
  <c r="E22" i="43"/>
  <c r="F22" i="43"/>
  <c r="G22" i="43"/>
  <c r="H22" i="43"/>
  <c r="I22" i="43"/>
  <c r="J22" i="43"/>
  <c r="K22" i="43"/>
  <c r="L22" i="43"/>
  <c r="M22" i="43"/>
  <c r="D21" i="43"/>
  <c r="E21" i="43"/>
  <c r="F21" i="43"/>
  <c r="G21" i="43"/>
  <c r="H21" i="43"/>
  <c r="I21" i="43"/>
  <c r="J21" i="43"/>
  <c r="K21" i="43"/>
  <c r="L21" i="43"/>
  <c r="M21" i="43"/>
  <c r="B16" i="30"/>
  <c r="D200" i="8"/>
  <c r="E200" i="8"/>
  <c r="F200" i="8"/>
  <c r="G200" i="8"/>
  <c r="H200" i="8"/>
  <c r="I200" i="8"/>
  <c r="J200" i="8"/>
  <c r="K200" i="8"/>
  <c r="L200" i="8"/>
  <c r="M200" i="8"/>
  <c r="N200" i="8"/>
  <c r="O200" i="8"/>
  <c r="P200" i="8"/>
  <c r="Q200" i="8"/>
  <c r="R200" i="8"/>
  <c r="S200" i="8"/>
  <c r="T200" i="8"/>
  <c r="U200" i="8"/>
  <c r="V200" i="8"/>
  <c r="W200" i="8"/>
  <c r="X200" i="8"/>
  <c r="Y200" i="8"/>
  <c r="Z200" i="8"/>
  <c r="AA200" i="8"/>
  <c r="AB200" i="8"/>
  <c r="AC200" i="8"/>
  <c r="AD200" i="8"/>
  <c r="AE200" i="8"/>
  <c r="AF200" i="8"/>
  <c r="AG200" i="8"/>
  <c r="AH200" i="8"/>
  <c r="AI200" i="8"/>
  <c r="AJ200" i="8"/>
  <c r="AK200" i="8"/>
  <c r="C200" i="8"/>
  <c r="B200" i="8"/>
  <c r="N163" i="43"/>
  <c r="O163" i="43"/>
  <c r="P163" i="43"/>
  <c r="Q163" i="43"/>
  <c r="R163" i="43"/>
  <c r="S163" i="43"/>
  <c r="T163" i="43"/>
  <c r="U163" i="43"/>
  <c r="V163" i="43"/>
  <c r="W163" i="43"/>
  <c r="X163" i="43"/>
  <c r="Y163" i="43"/>
  <c r="Z163" i="43"/>
  <c r="AA163" i="43"/>
  <c r="AB163" i="43"/>
  <c r="AC163" i="43"/>
  <c r="AD163" i="43"/>
  <c r="AE163" i="43"/>
  <c r="AF163" i="43"/>
  <c r="AG163" i="43"/>
  <c r="AH163" i="43"/>
  <c r="AI163" i="43"/>
  <c r="AJ163" i="43"/>
  <c r="AK163" i="43"/>
  <c r="AL163" i="43"/>
  <c r="AM163" i="43"/>
  <c r="AN163" i="43"/>
  <c r="AO163" i="43"/>
  <c r="AP163" i="43"/>
  <c r="AQ163" i="43"/>
  <c r="AR163" i="43"/>
  <c r="AS163" i="43"/>
  <c r="AT163" i="43"/>
  <c r="AU163" i="43"/>
  <c r="AV163" i="43"/>
  <c r="D493" i="43"/>
  <c r="E493" i="43" a="1"/>
  <c r="O140" i="43"/>
  <c r="P140" i="43"/>
  <c r="Q140" i="43"/>
  <c r="R140" i="43"/>
  <c r="S140" i="43"/>
  <c r="T140" i="43"/>
  <c r="U140" i="43"/>
  <c r="V140" i="43"/>
  <c r="W140" i="43"/>
  <c r="X140" i="43"/>
  <c r="Y140" i="43"/>
  <c r="Z140" i="43"/>
  <c r="AA140" i="43"/>
  <c r="AB140" i="43"/>
  <c r="AC140" i="43"/>
  <c r="AD140" i="43"/>
  <c r="AE140" i="43"/>
  <c r="AF140" i="43"/>
  <c r="AG140" i="43"/>
  <c r="AH140" i="43"/>
  <c r="AI140" i="43"/>
  <c r="AJ140" i="43"/>
  <c r="AK140" i="43"/>
  <c r="AL140" i="43"/>
  <c r="AM140" i="43"/>
  <c r="AN140" i="43"/>
  <c r="AO140" i="43"/>
  <c r="AP140" i="43"/>
  <c r="AQ140" i="43"/>
  <c r="AR140" i="43"/>
  <c r="AS140" i="43"/>
  <c r="AT140" i="43"/>
  <c r="AU140" i="43"/>
  <c r="AV140" i="43"/>
  <c r="F471" i="43"/>
  <c r="E471" i="43"/>
  <c r="F447" i="43"/>
  <c r="E447" i="43"/>
  <c r="E422" i="43"/>
  <c r="F422" i="43"/>
  <c r="E376" i="43" a="1"/>
  <c r="E378" i="43" a="1"/>
  <c r="F378" i="43"/>
  <c r="D374" i="43"/>
  <c r="E374" i="43" a="1"/>
  <c r="E493" i="43"/>
  <c r="F493" i="43"/>
  <c r="E517" i="43"/>
  <c r="F517" i="43"/>
  <c r="E497" i="43"/>
  <c r="F497" i="43"/>
  <c r="E520" i="43"/>
  <c r="F520" i="43"/>
  <c r="E516" i="43"/>
  <c r="F516" i="43"/>
  <c r="F496" i="43"/>
  <c r="E496" i="43"/>
  <c r="E519" i="43"/>
  <c r="F519" i="43"/>
  <c r="E495" i="43"/>
  <c r="F495" i="43"/>
  <c r="E518" i="43"/>
  <c r="F518" i="43"/>
  <c r="E494" i="43"/>
  <c r="F494" i="43"/>
  <c r="F449" i="43"/>
  <c r="E449" i="43"/>
  <c r="F448" i="43"/>
  <c r="E448" i="43"/>
  <c r="E425" i="43"/>
  <c r="F425" i="43"/>
  <c r="F472" i="43"/>
  <c r="E472" i="43"/>
  <c r="F473" i="43"/>
  <c r="E473" i="43"/>
  <c r="E424" i="43"/>
  <c r="F424" i="43"/>
  <c r="E400" i="43"/>
  <c r="F400" i="43"/>
  <c r="E376" i="43"/>
  <c r="F376" i="43"/>
  <c r="E398" i="43"/>
  <c r="F398" i="43"/>
  <c r="E402" i="43"/>
  <c r="F402" i="43"/>
  <c r="F399" i="43"/>
  <c r="F375" i="43"/>
  <c r="E374" i="43"/>
  <c r="F374" i="43"/>
  <c r="E474" i="43"/>
  <c r="E470" i="43"/>
  <c r="E450" i="43"/>
  <c r="E446" i="43"/>
  <c r="F426" i="43"/>
  <c r="F423" i="43"/>
  <c r="F401" i="43"/>
  <c r="F377" i="43"/>
  <c r="C3" i="28"/>
  <c r="D3" i="28"/>
  <c r="E3" i="28"/>
  <c r="F3" i="28"/>
  <c r="G3" i="28"/>
  <c r="H3" i="28"/>
  <c r="I3" i="28"/>
  <c r="J3" i="28"/>
  <c r="K3" i="28"/>
  <c r="L3" i="28"/>
  <c r="M3" i="28"/>
  <c r="N3" i="28"/>
  <c r="O3" i="28"/>
  <c r="P3" i="28"/>
  <c r="Q3" i="28"/>
  <c r="R3" i="28"/>
  <c r="S3" i="28"/>
  <c r="T3" i="28"/>
  <c r="U3" i="28"/>
  <c r="V3" i="28"/>
  <c r="W3" i="28"/>
  <c r="X3" i="28"/>
  <c r="Y3" i="28"/>
  <c r="Z3" i="28"/>
  <c r="AA3" i="28"/>
  <c r="AB3" i="28"/>
  <c r="AC3" i="28"/>
  <c r="AD3" i="28"/>
  <c r="AE3" i="28"/>
  <c r="AF3" i="28"/>
  <c r="AG3" i="28"/>
  <c r="AH3" i="28"/>
  <c r="AI3" i="28"/>
  <c r="AJ3" i="28"/>
  <c r="AK3" i="28"/>
  <c r="B3" i="28"/>
  <c r="B50" i="30"/>
  <c r="C123" i="20"/>
  <c r="L40" i="20"/>
  <c r="M40" i="20"/>
  <c r="N40" i="20"/>
  <c r="O40" i="20"/>
  <c r="P40" i="20"/>
  <c r="Q40" i="20"/>
  <c r="R40" i="20"/>
  <c r="S40" i="20"/>
  <c r="T40" i="20"/>
  <c r="U40" i="20"/>
  <c r="V40" i="20"/>
  <c r="W40" i="20"/>
  <c r="X40" i="20"/>
  <c r="Y40" i="20"/>
  <c r="Z40" i="20"/>
  <c r="AA40" i="20"/>
  <c r="AB40" i="20"/>
  <c r="AC40" i="20"/>
  <c r="AD40" i="20"/>
  <c r="AE40" i="20"/>
  <c r="AF40" i="20"/>
  <c r="AG40" i="20"/>
  <c r="AH40" i="20"/>
  <c r="AI40" i="20"/>
  <c r="AJ40" i="20"/>
  <c r="AK40" i="20"/>
  <c r="AL40" i="20"/>
  <c r="AM40" i="20"/>
  <c r="AN40" i="20"/>
  <c r="AO40" i="20"/>
  <c r="AP40" i="20"/>
  <c r="AQ40" i="20"/>
  <c r="AR40" i="20"/>
  <c r="AS40" i="20"/>
  <c r="AT40" i="20"/>
  <c r="B40" i="20"/>
  <c r="H19" i="18"/>
  <c r="B16" i="26"/>
  <c r="B3" i="26"/>
  <c r="B7" i="26"/>
  <c r="B10" i="26"/>
  <c r="B15" i="25"/>
  <c r="B14" i="25"/>
  <c r="B4" i="24"/>
  <c r="B80" i="30"/>
  <c r="B3" i="24"/>
  <c r="B81" i="30"/>
  <c r="E378" i="43"/>
  <c r="B8" i="26"/>
  <c r="B9" i="26"/>
  <c r="B8" i="23"/>
  <c r="C8" i="23"/>
  <c r="D8" i="23"/>
  <c r="E8" i="23"/>
  <c r="F8" i="23"/>
  <c r="G8" i="23"/>
  <c r="B7" i="23"/>
  <c r="D7" i="23"/>
  <c r="E7" i="23"/>
  <c r="F7" i="23"/>
  <c r="G7" i="23"/>
  <c r="C7" i="23"/>
  <c r="B30" i="30"/>
  <c r="B27" i="26"/>
  <c r="C27" i="26"/>
  <c r="B12" i="26"/>
  <c r="B11" i="26"/>
  <c r="B26" i="26"/>
  <c r="C26" i="26"/>
  <c r="C82" i="28"/>
  <c r="B69" i="30"/>
  <c r="D2" i="43"/>
  <c r="D3" i="43"/>
  <c r="D4" i="43"/>
  <c r="D5" i="43"/>
  <c r="D6" i="43"/>
  <c r="D7" i="43"/>
  <c r="D8" i="43"/>
  <c r="D9" i="43"/>
  <c r="D10" i="43"/>
  <c r="D11" i="43"/>
  <c r="D12" i="43"/>
  <c r="D13" i="43"/>
  <c r="D14" i="43"/>
  <c r="D15" i="43"/>
  <c r="D16" i="43"/>
  <c r="D17" i="43"/>
  <c r="D18" i="43"/>
  <c r="D19" i="43"/>
  <c r="D20" i="43"/>
  <c r="D26" i="43"/>
  <c r="D27" i="43"/>
  <c r="D28" i="43"/>
  <c r="D29" i="43"/>
  <c r="D30" i="43"/>
  <c r="D31" i="43"/>
  <c r="D32" i="43"/>
  <c r="D33" i="43"/>
  <c r="D34" i="43"/>
  <c r="D35" i="43"/>
  <c r="D36" i="43"/>
  <c r="D37" i="43"/>
  <c r="D38" i="43"/>
  <c r="D39" i="43"/>
  <c r="D40" i="43"/>
  <c r="D41" i="43"/>
  <c r="D42" i="43"/>
  <c r="D43" i="43"/>
  <c r="D44" i="43"/>
  <c r="D50" i="43"/>
  <c r="D51" i="43"/>
  <c r="D52" i="43"/>
  <c r="D53" i="43"/>
  <c r="D54" i="43"/>
  <c r="D55" i="43"/>
  <c r="D56" i="43"/>
  <c r="D57" i="43"/>
  <c r="D58" i="43"/>
  <c r="D59" i="43"/>
  <c r="D60" i="43"/>
  <c r="D61" i="43"/>
  <c r="D62" i="43"/>
  <c r="D63" i="43"/>
  <c r="D64" i="43"/>
  <c r="D65" i="43"/>
  <c r="D66" i="43"/>
  <c r="D67" i="43"/>
  <c r="D68" i="43"/>
  <c r="D74" i="43"/>
  <c r="D75" i="43"/>
  <c r="D76" i="43"/>
  <c r="D77" i="43"/>
  <c r="D78" i="43"/>
  <c r="D79" i="43"/>
  <c r="D80" i="43"/>
  <c r="D81" i="43"/>
  <c r="D82" i="43"/>
  <c r="D83" i="43"/>
  <c r="D84" i="43"/>
  <c r="D85" i="43"/>
  <c r="D86" i="43"/>
  <c r="D87" i="43"/>
  <c r="D88" i="43"/>
  <c r="D89" i="43"/>
  <c r="D90" i="43"/>
  <c r="D91" i="43"/>
  <c r="D92" i="43"/>
  <c r="D98" i="43"/>
  <c r="D99" i="43"/>
  <c r="D100" i="43"/>
  <c r="D101" i="43"/>
  <c r="D102" i="43"/>
  <c r="D103" i="43"/>
  <c r="D104" i="43"/>
  <c r="D105" i="43"/>
  <c r="D106" i="43"/>
  <c r="D107" i="43"/>
  <c r="D108" i="43"/>
  <c r="D109" i="43"/>
  <c r="D110" i="43"/>
  <c r="D111" i="43"/>
  <c r="D112" i="43"/>
  <c r="D113" i="43"/>
  <c r="D114" i="43"/>
  <c r="D115" i="43"/>
  <c r="D116" i="43"/>
  <c r="D122" i="43"/>
  <c r="D123" i="43"/>
  <c r="D124" i="43"/>
  <c r="D125" i="43"/>
  <c r="D126" i="43"/>
  <c r="D127" i="43"/>
  <c r="D128" i="43"/>
  <c r="D129" i="43"/>
  <c r="D130" i="43"/>
  <c r="D131" i="43"/>
  <c r="D132" i="43"/>
  <c r="D133" i="43"/>
  <c r="D134" i="43"/>
  <c r="D135" i="43"/>
  <c r="D136" i="43"/>
  <c r="D137" i="43"/>
  <c r="D138" i="43"/>
  <c r="D139" i="43"/>
  <c r="D145" i="43"/>
  <c r="D146" i="43"/>
  <c r="D147" i="43"/>
  <c r="D148" i="43"/>
  <c r="D149" i="43"/>
  <c r="D150" i="43"/>
  <c r="D151" i="43"/>
  <c r="D152" i="43"/>
  <c r="D153" i="43"/>
  <c r="D154" i="43"/>
  <c r="D155" i="43"/>
  <c r="D156" i="43"/>
  <c r="D157" i="43"/>
  <c r="D158" i="43"/>
  <c r="D159" i="43"/>
  <c r="D160" i="43"/>
  <c r="D161" i="43"/>
  <c r="D162" i="43"/>
  <c r="B43" i="30"/>
  <c r="B35" i="30"/>
  <c r="B34" i="30"/>
  <c r="B14" i="30"/>
  <c r="B15" i="30"/>
  <c r="B5" i="30"/>
  <c r="B6" i="30"/>
  <c r="E2" i="43"/>
  <c r="F2" i="43"/>
  <c r="G2" i="43"/>
  <c r="H2" i="43"/>
  <c r="I2" i="43"/>
  <c r="J2" i="43"/>
  <c r="K2" i="43"/>
  <c r="L2" i="43"/>
  <c r="M2" i="43"/>
  <c r="E3" i="43"/>
  <c r="F3" i="43"/>
  <c r="G3" i="43"/>
  <c r="H3" i="43"/>
  <c r="I3" i="43"/>
  <c r="J3" i="43"/>
  <c r="K3" i="43"/>
  <c r="L3" i="43"/>
  <c r="M3" i="43"/>
  <c r="E4" i="43"/>
  <c r="F4" i="43"/>
  <c r="G4" i="43"/>
  <c r="H4" i="43"/>
  <c r="I4" i="43"/>
  <c r="J4" i="43"/>
  <c r="K4" i="43"/>
  <c r="L4" i="43"/>
  <c r="M4" i="43"/>
  <c r="E5" i="43"/>
  <c r="F5" i="43"/>
  <c r="G5" i="43"/>
  <c r="H5" i="43"/>
  <c r="I5" i="43"/>
  <c r="J5" i="43"/>
  <c r="K5" i="43"/>
  <c r="L5" i="43"/>
  <c r="M5" i="43"/>
  <c r="E6" i="43"/>
  <c r="F6" i="43"/>
  <c r="G6" i="43"/>
  <c r="H6" i="43"/>
  <c r="I6" i="43"/>
  <c r="J6" i="43"/>
  <c r="K6" i="43"/>
  <c r="L6" i="43"/>
  <c r="M6" i="43"/>
  <c r="E7" i="43"/>
  <c r="F7" i="43"/>
  <c r="G7" i="43"/>
  <c r="H7" i="43"/>
  <c r="I7" i="43"/>
  <c r="J7" i="43"/>
  <c r="K7" i="43"/>
  <c r="L7" i="43"/>
  <c r="M7" i="43"/>
  <c r="E8" i="43"/>
  <c r="F8" i="43"/>
  <c r="G8" i="43"/>
  <c r="H8" i="43"/>
  <c r="I8" i="43"/>
  <c r="J8" i="43"/>
  <c r="K8" i="43"/>
  <c r="L8" i="43"/>
  <c r="M8" i="43"/>
  <c r="E9" i="43"/>
  <c r="F9" i="43"/>
  <c r="G9" i="43"/>
  <c r="H9" i="43"/>
  <c r="I9" i="43"/>
  <c r="J9" i="43"/>
  <c r="K9" i="43"/>
  <c r="L9" i="43"/>
  <c r="M9" i="43"/>
  <c r="D362" i="43"/>
  <c r="E10" i="43"/>
  <c r="F10" i="43"/>
  <c r="G10" i="43"/>
  <c r="H10" i="43"/>
  <c r="I10" i="43"/>
  <c r="J10" i="43"/>
  <c r="K10" i="43"/>
  <c r="L10" i="43"/>
  <c r="M10" i="43"/>
  <c r="E11" i="43"/>
  <c r="F11" i="43"/>
  <c r="G11" i="43"/>
  <c r="H11" i="43"/>
  <c r="I11" i="43"/>
  <c r="J11" i="43"/>
  <c r="K11" i="43"/>
  <c r="L11" i="43"/>
  <c r="M11" i="43"/>
  <c r="E12" i="43"/>
  <c r="F12" i="43"/>
  <c r="G12" i="43"/>
  <c r="H12" i="43"/>
  <c r="I12" i="43"/>
  <c r="J12" i="43"/>
  <c r="K12" i="43"/>
  <c r="L12" i="43"/>
  <c r="M12" i="43"/>
  <c r="E13" i="43"/>
  <c r="F13" i="43"/>
  <c r="G13" i="43"/>
  <c r="H13" i="43"/>
  <c r="I13" i="43"/>
  <c r="J13" i="43"/>
  <c r="K13" i="43"/>
  <c r="L13" i="43"/>
  <c r="M13" i="43"/>
  <c r="E14" i="43"/>
  <c r="F14" i="43"/>
  <c r="G14" i="43"/>
  <c r="H14" i="43"/>
  <c r="I14" i="43"/>
  <c r="J14" i="43"/>
  <c r="K14" i="43"/>
  <c r="L14" i="43"/>
  <c r="M14" i="43"/>
  <c r="D367" i="43"/>
  <c r="E15" i="43"/>
  <c r="F15" i="43"/>
  <c r="G15" i="43"/>
  <c r="H15" i="43"/>
  <c r="I15" i="43"/>
  <c r="J15" i="43"/>
  <c r="K15" i="43"/>
  <c r="L15" i="43"/>
  <c r="M15" i="43"/>
  <c r="E16" i="43"/>
  <c r="F16" i="43"/>
  <c r="G16" i="43"/>
  <c r="H16" i="43"/>
  <c r="I16" i="43"/>
  <c r="J16" i="43"/>
  <c r="K16" i="43"/>
  <c r="L16" i="43"/>
  <c r="M16" i="43"/>
  <c r="E17" i="43"/>
  <c r="F17" i="43"/>
  <c r="G17" i="43"/>
  <c r="H17" i="43"/>
  <c r="I17" i="43"/>
  <c r="J17" i="43"/>
  <c r="K17" i="43"/>
  <c r="L17" i="43"/>
  <c r="M17" i="43"/>
  <c r="D370" i="43"/>
  <c r="E370" i="43" a="1"/>
  <c r="E18" i="43"/>
  <c r="F18" i="43"/>
  <c r="G18" i="43"/>
  <c r="H18" i="43"/>
  <c r="I18" i="43"/>
  <c r="J18" i="43"/>
  <c r="K18" i="43"/>
  <c r="L18" i="43"/>
  <c r="M18" i="43"/>
  <c r="D371" i="43"/>
  <c r="E371" i="43" a="1"/>
  <c r="E19" i="43"/>
  <c r="F19" i="43"/>
  <c r="G19" i="43"/>
  <c r="H19" i="43"/>
  <c r="I19" i="43"/>
  <c r="J19" i="43"/>
  <c r="K19" i="43"/>
  <c r="L19" i="43"/>
  <c r="M19" i="43"/>
  <c r="D372" i="43"/>
  <c r="E372" i="43" a="1"/>
  <c r="E20" i="43"/>
  <c r="F20" i="43"/>
  <c r="G20" i="43"/>
  <c r="H20" i="43"/>
  <c r="I20" i="43"/>
  <c r="J20" i="43"/>
  <c r="K20" i="43"/>
  <c r="L20" i="43"/>
  <c r="M20" i="43"/>
  <c r="E26" i="43"/>
  <c r="F26" i="43"/>
  <c r="G26" i="43"/>
  <c r="H26" i="43"/>
  <c r="I26" i="43"/>
  <c r="J26" i="43"/>
  <c r="K26" i="43"/>
  <c r="L26" i="43"/>
  <c r="M26" i="43"/>
  <c r="D379" i="43"/>
  <c r="E27" i="43"/>
  <c r="F27" i="43"/>
  <c r="G27" i="43"/>
  <c r="H27" i="43"/>
  <c r="I27" i="43"/>
  <c r="J27" i="43"/>
  <c r="K27" i="43"/>
  <c r="L27" i="43"/>
  <c r="M27" i="43"/>
  <c r="D380" i="43"/>
  <c r="E380" i="43" a="1"/>
  <c r="E28" i="43"/>
  <c r="F28" i="43"/>
  <c r="G28" i="43"/>
  <c r="H28" i="43"/>
  <c r="I28" i="43"/>
  <c r="J28" i="43"/>
  <c r="K28" i="43"/>
  <c r="L28" i="43"/>
  <c r="M28" i="43"/>
  <c r="D381" i="43"/>
  <c r="E381" i="43" a="1"/>
  <c r="E29" i="43"/>
  <c r="F29" i="43"/>
  <c r="G29" i="43"/>
  <c r="H29" i="43"/>
  <c r="I29" i="43"/>
  <c r="J29" i="43"/>
  <c r="K29" i="43"/>
  <c r="L29" i="43"/>
  <c r="M29" i="43"/>
  <c r="E30" i="43"/>
  <c r="F30" i="43"/>
  <c r="G30" i="43"/>
  <c r="H30" i="43"/>
  <c r="I30" i="43"/>
  <c r="J30" i="43"/>
  <c r="K30" i="43"/>
  <c r="L30" i="43"/>
  <c r="M30" i="43"/>
  <c r="D383" i="43"/>
  <c r="E383" i="43" a="1"/>
  <c r="E31" i="43"/>
  <c r="F31" i="43"/>
  <c r="G31" i="43"/>
  <c r="H31" i="43"/>
  <c r="I31" i="43"/>
  <c r="J31" i="43"/>
  <c r="K31" i="43"/>
  <c r="L31" i="43"/>
  <c r="M31" i="43"/>
  <c r="D384" i="43"/>
  <c r="E384" i="43" a="1"/>
  <c r="E32" i="43"/>
  <c r="F32" i="43"/>
  <c r="G32" i="43"/>
  <c r="H32" i="43"/>
  <c r="I32" i="43"/>
  <c r="J32" i="43"/>
  <c r="K32" i="43"/>
  <c r="L32" i="43"/>
  <c r="M32" i="43"/>
  <c r="D385" i="43"/>
  <c r="E385" i="43" a="1"/>
  <c r="E33" i="43"/>
  <c r="F33" i="43"/>
  <c r="G33" i="43"/>
  <c r="H33" i="43"/>
  <c r="I33" i="43"/>
  <c r="J33" i="43"/>
  <c r="K33" i="43"/>
  <c r="L33" i="43"/>
  <c r="M33" i="43"/>
  <c r="E34" i="43"/>
  <c r="F34" i="43"/>
  <c r="G34" i="43"/>
  <c r="H34" i="43"/>
  <c r="I34" i="43"/>
  <c r="J34" i="43"/>
  <c r="K34" i="43"/>
  <c r="L34" i="43"/>
  <c r="M34" i="43"/>
  <c r="D387" i="43"/>
  <c r="E387" i="43" a="1"/>
  <c r="E35" i="43"/>
  <c r="F35" i="43"/>
  <c r="G35" i="43"/>
  <c r="H35" i="43"/>
  <c r="I35" i="43"/>
  <c r="J35" i="43"/>
  <c r="K35" i="43"/>
  <c r="L35" i="43"/>
  <c r="M35" i="43"/>
  <c r="D388" i="43"/>
  <c r="E388" i="43" a="1"/>
  <c r="E36" i="43"/>
  <c r="F36" i="43"/>
  <c r="G36" i="43"/>
  <c r="H36" i="43"/>
  <c r="I36" i="43"/>
  <c r="J36" i="43"/>
  <c r="K36" i="43"/>
  <c r="L36" i="43"/>
  <c r="M36" i="43"/>
  <c r="D389" i="43"/>
  <c r="E389" i="43" a="1"/>
  <c r="E37" i="43"/>
  <c r="F37" i="43"/>
  <c r="G37" i="43"/>
  <c r="H37" i="43"/>
  <c r="I37" i="43"/>
  <c r="J37" i="43"/>
  <c r="K37" i="43"/>
  <c r="L37" i="43"/>
  <c r="M37" i="43"/>
  <c r="E38" i="43"/>
  <c r="F38" i="43"/>
  <c r="G38" i="43"/>
  <c r="H38" i="43"/>
  <c r="I38" i="43"/>
  <c r="J38" i="43"/>
  <c r="K38" i="43"/>
  <c r="L38" i="43"/>
  <c r="M38" i="43"/>
  <c r="D391" i="43"/>
  <c r="E391" i="43" a="1"/>
  <c r="E39" i="43"/>
  <c r="F39" i="43"/>
  <c r="G39" i="43"/>
  <c r="H39" i="43"/>
  <c r="I39" i="43"/>
  <c r="J39" i="43"/>
  <c r="K39" i="43"/>
  <c r="L39" i="43"/>
  <c r="M39" i="43"/>
  <c r="D392" i="43"/>
  <c r="E392" i="43" a="1"/>
  <c r="E40" i="43"/>
  <c r="F40" i="43"/>
  <c r="G40" i="43"/>
  <c r="H40" i="43"/>
  <c r="I40" i="43"/>
  <c r="J40" i="43"/>
  <c r="K40" i="43"/>
  <c r="L40" i="43"/>
  <c r="M40" i="43"/>
  <c r="D393" i="43"/>
  <c r="E393" i="43" a="1"/>
  <c r="E41" i="43"/>
  <c r="F41" i="43"/>
  <c r="G41" i="43"/>
  <c r="H41" i="43"/>
  <c r="I41" i="43"/>
  <c r="J41" i="43"/>
  <c r="K41" i="43"/>
  <c r="L41" i="43"/>
  <c r="M41" i="43"/>
  <c r="E42" i="43"/>
  <c r="F42" i="43"/>
  <c r="G42" i="43"/>
  <c r="H42" i="43"/>
  <c r="I42" i="43"/>
  <c r="J42" i="43"/>
  <c r="K42" i="43"/>
  <c r="L42" i="43"/>
  <c r="M42" i="43"/>
  <c r="D395" i="43"/>
  <c r="E395" i="43" a="1"/>
  <c r="E43" i="43"/>
  <c r="F43" i="43"/>
  <c r="G43" i="43"/>
  <c r="H43" i="43"/>
  <c r="I43" i="43"/>
  <c r="J43" i="43"/>
  <c r="K43" i="43"/>
  <c r="L43" i="43"/>
  <c r="M43" i="43"/>
  <c r="D396" i="43"/>
  <c r="E396" i="43" a="1"/>
  <c r="E44" i="43"/>
  <c r="F44" i="43"/>
  <c r="G44" i="43"/>
  <c r="H44" i="43"/>
  <c r="I44" i="43"/>
  <c r="J44" i="43"/>
  <c r="K44" i="43"/>
  <c r="L44" i="43"/>
  <c r="M44" i="43"/>
  <c r="E50" i="43"/>
  <c r="F50" i="43"/>
  <c r="G50" i="43"/>
  <c r="H50" i="43"/>
  <c r="I50" i="43"/>
  <c r="J50" i="43"/>
  <c r="K50" i="43"/>
  <c r="L50" i="43"/>
  <c r="M50" i="43"/>
  <c r="E51" i="43"/>
  <c r="F51" i="43"/>
  <c r="G51" i="43"/>
  <c r="H51" i="43"/>
  <c r="I51" i="43"/>
  <c r="J51" i="43"/>
  <c r="K51" i="43"/>
  <c r="L51" i="43"/>
  <c r="M51" i="43"/>
  <c r="D404" i="43"/>
  <c r="E404" i="43" a="1"/>
  <c r="E52" i="43"/>
  <c r="F52" i="43"/>
  <c r="G52" i="43"/>
  <c r="H52" i="43"/>
  <c r="I52" i="43"/>
  <c r="J52" i="43"/>
  <c r="K52" i="43"/>
  <c r="L52" i="43"/>
  <c r="M52" i="43"/>
  <c r="D405" i="43"/>
  <c r="E405" i="43" a="1"/>
  <c r="E53" i="43"/>
  <c r="F53" i="43"/>
  <c r="G53" i="43"/>
  <c r="H53" i="43"/>
  <c r="I53" i="43"/>
  <c r="J53" i="43"/>
  <c r="K53" i="43"/>
  <c r="L53" i="43"/>
  <c r="M53" i="43"/>
  <c r="D406" i="43"/>
  <c r="E406" i="43" a="1"/>
  <c r="E54" i="43"/>
  <c r="F54" i="43"/>
  <c r="G54" i="43"/>
  <c r="H54" i="43"/>
  <c r="I54" i="43"/>
  <c r="J54" i="43"/>
  <c r="K54" i="43"/>
  <c r="L54" i="43"/>
  <c r="M54" i="43"/>
  <c r="E55" i="43"/>
  <c r="F55" i="43"/>
  <c r="G55" i="43"/>
  <c r="H55" i="43"/>
  <c r="I55" i="43"/>
  <c r="J55" i="43"/>
  <c r="K55" i="43"/>
  <c r="L55" i="43"/>
  <c r="M55" i="43"/>
  <c r="D408" i="43"/>
  <c r="E408" i="43" a="1"/>
  <c r="E56" i="43"/>
  <c r="F56" i="43"/>
  <c r="G56" i="43"/>
  <c r="H56" i="43"/>
  <c r="I56" i="43"/>
  <c r="J56" i="43"/>
  <c r="K56" i="43"/>
  <c r="L56" i="43"/>
  <c r="M56" i="43"/>
  <c r="D409" i="43"/>
  <c r="E409" i="43" a="1"/>
  <c r="E57" i="43"/>
  <c r="F57" i="43"/>
  <c r="G57" i="43"/>
  <c r="H57" i="43"/>
  <c r="I57" i="43"/>
  <c r="J57" i="43"/>
  <c r="K57" i="43"/>
  <c r="L57" i="43"/>
  <c r="M57" i="43"/>
  <c r="D410" i="43"/>
  <c r="E410" i="43" a="1"/>
  <c r="E58" i="43"/>
  <c r="F58" i="43"/>
  <c r="G58" i="43"/>
  <c r="H58" i="43"/>
  <c r="I58" i="43"/>
  <c r="J58" i="43"/>
  <c r="K58" i="43"/>
  <c r="L58" i="43"/>
  <c r="M58" i="43"/>
  <c r="E59" i="43"/>
  <c r="F59" i="43"/>
  <c r="G59" i="43"/>
  <c r="H59" i="43"/>
  <c r="I59" i="43"/>
  <c r="J59" i="43"/>
  <c r="K59" i="43"/>
  <c r="L59" i="43"/>
  <c r="M59" i="43"/>
  <c r="D412" i="43"/>
  <c r="E412" i="43" a="1"/>
  <c r="E60" i="43"/>
  <c r="F60" i="43"/>
  <c r="G60" i="43"/>
  <c r="H60" i="43"/>
  <c r="I60" i="43"/>
  <c r="J60" i="43"/>
  <c r="K60" i="43"/>
  <c r="L60" i="43"/>
  <c r="M60" i="43"/>
  <c r="D413" i="43"/>
  <c r="E413" i="43" a="1"/>
  <c r="E61" i="43"/>
  <c r="F61" i="43"/>
  <c r="G61" i="43"/>
  <c r="H61" i="43"/>
  <c r="I61" i="43"/>
  <c r="J61" i="43"/>
  <c r="K61" i="43"/>
  <c r="L61" i="43"/>
  <c r="M61" i="43"/>
  <c r="D414" i="43"/>
  <c r="E414" i="43" a="1"/>
  <c r="E62" i="43"/>
  <c r="F62" i="43"/>
  <c r="G62" i="43"/>
  <c r="H62" i="43"/>
  <c r="I62" i="43"/>
  <c r="J62" i="43"/>
  <c r="K62" i="43"/>
  <c r="L62" i="43"/>
  <c r="M62" i="43"/>
  <c r="E63" i="43"/>
  <c r="F63" i="43"/>
  <c r="G63" i="43"/>
  <c r="H63" i="43"/>
  <c r="I63" i="43"/>
  <c r="J63" i="43"/>
  <c r="K63" i="43"/>
  <c r="L63" i="43"/>
  <c r="M63" i="43"/>
  <c r="D416" i="43"/>
  <c r="E416" i="43" a="1"/>
  <c r="E64" i="43"/>
  <c r="F64" i="43"/>
  <c r="G64" i="43"/>
  <c r="H64" i="43"/>
  <c r="I64" i="43"/>
  <c r="J64" i="43"/>
  <c r="K64" i="43"/>
  <c r="L64" i="43"/>
  <c r="M64" i="43"/>
  <c r="D417" i="43"/>
  <c r="E417" i="43" a="1"/>
  <c r="E65" i="43"/>
  <c r="F65" i="43"/>
  <c r="G65" i="43"/>
  <c r="H65" i="43"/>
  <c r="I65" i="43"/>
  <c r="J65" i="43"/>
  <c r="K65" i="43"/>
  <c r="L65" i="43"/>
  <c r="M65" i="43"/>
  <c r="D418" i="43"/>
  <c r="E418" i="43" a="1"/>
  <c r="E66" i="43"/>
  <c r="F66" i="43"/>
  <c r="G66" i="43"/>
  <c r="H66" i="43"/>
  <c r="I66" i="43"/>
  <c r="J66" i="43"/>
  <c r="K66" i="43"/>
  <c r="L66" i="43"/>
  <c r="M66" i="43"/>
  <c r="E67" i="43"/>
  <c r="F67" i="43"/>
  <c r="G67" i="43"/>
  <c r="H67" i="43"/>
  <c r="I67" i="43"/>
  <c r="J67" i="43"/>
  <c r="K67" i="43"/>
  <c r="L67" i="43"/>
  <c r="M67" i="43"/>
  <c r="D420" i="43"/>
  <c r="E420" i="43" a="1"/>
  <c r="E68" i="43"/>
  <c r="F68" i="43"/>
  <c r="G68" i="43"/>
  <c r="H68" i="43"/>
  <c r="I68" i="43"/>
  <c r="J68" i="43"/>
  <c r="K68" i="43"/>
  <c r="L68" i="43"/>
  <c r="M68" i="43"/>
  <c r="E74" i="43"/>
  <c r="F74" i="43"/>
  <c r="G74" i="43"/>
  <c r="H74" i="43"/>
  <c r="I74" i="43"/>
  <c r="J74" i="43"/>
  <c r="K74" i="43"/>
  <c r="L74" i="43"/>
  <c r="M74" i="43"/>
  <c r="D427" i="43"/>
  <c r="E427" i="43" a="1"/>
  <c r="E75" i="43"/>
  <c r="F75" i="43"/>
  <c r="G75" i="43"/>
  <c r="H75" i="43"/>
  <c r="I75" i="43"/>
  <c r="J75" i="43"/>
  <c r="K75" i="43"/>
  <c r="L75" i="43"/>
  <c r="M75" i="43"/>
  <c r="E76" i="43"/>
  <c r="F76" i="43"/>
  <c r="G76" i="43"/>
  <c r="H76" i="43"/>
  <c r="I76" i="43"/>
  <c r="J76" i="43"/>
  <c r="K76" i="43"/>
  <c r="L76" i="43"/>
  <c r="M76" i="43"/>
  <c r="D429" i="43"/>
  <c r="E429" i="43" a="1"/>
  <c r="E77" i="43"/>
  <c r="F77" i="43"/>
  <c r="G77" i="43"/>
  <c r="H77" i="43"/>
  <c r="I77" i="43"/>
  <c r="J77" i="43"/>
  <c r="K77" i="43"/>
  <c r="L77" i="43"/>
  <c r="M77" i="43"/>
  <c r="D430" i="43"/>
  <c r="E430" i="43" a="1"/>
  <c r="E78" i="43"/>
  <c r="F78" i="43"/>
  <c r="G78" i="43"/>
  <c r="H78" i="43"/>
  <c r="I78" i="43"/>
  <c r="J78" i="43"/>
  <c r="K78" i="43"/>
  <c r="L78" i="43"/>
  <c r="M78" i="43"/>
  <c r="D431" i="43"/>
  <c r="E431" i="43" a="1"/>
  <c r="E79" i="43"/>
  <c r="F79" i="43"/>
  <c r="G79" i="43"/>
  <c r="H79" i="43"/>
  <c r="I79" i="43"/>
  <c r="J79" i="43"/>
  <c r="K79" i="43"/>
  <c r="L79" i="43"/>
  <c r="M79" i="43"/>
  <c r="E80" i="43"/>
  <c r="F80" i="43"/>
  <c r="G80" i="43"/>
  <c r="H80" i="43"/>
  <c r="I80" i="43"/>
  <c r="J80" i="43"/>
  <c r="K80" i="43"/>
  <c r="L80" i="43"/>
  <c r="M80" i="43"/>
  <c r="D433" i="43"/>
  <c r="E433" i="43" a="1"/>
  <c r="E81" i="43"/>
  <c r="F81" i="43"/>
  <c r="G81" i="43"/>
  <c r="H81" i="43"/>
  <c r="I81" i="43"/>
  <c r="J81" i="43"/>
  <c r="K81" i="43"/>
  <c r="L81" i="43"/>
  <c r="M81" i="43"/>
  <c r="D434" i="43"/>
  <c r="E434" i="43" a="1"/>
  <c r="E82" i="43"/>
  <c r="F82" i="43"/>
  <c r="G82" i="43"/>
  <c r="H82" i="43"/>
  <c r="I82" i="43"/>
  <c r="J82" i="43"/>
  <c r="K82" i="43"/>
  <c r="L82" i="43"/>
  <c r="M82" i="43"/>
  <c r="D435" i="43"/>
  <c r="E435" i="43" a="1"/>
  <c r="E83" i="43"/>
  <c r="F83" i="43"/>
  <c r="G83" i="43"/>
  <c r="H83" i="43"/>
  <c r="I83" i="43"/>
  <c r="J83" i="43"/>
  <c r="K83" i="43"/>
  <c r="L83" i="43"/>
  <c r="M83" i="43"/>
  <c r="E84" i="43"/>
  <c r="F84" i="43"/>
  <c r="G84" i="43"/>
  <c r="H84" i="43"/>
  <c r="I84" i="43"/>
  <c r="J84" i="43"/>
  <c r="K84" i="43"/>
  <c r="L84" i="43"/>
  <c r="M84" i="43"/>
  <c r="D437" i="43"/>
  <c r="E437" i="43" a="1"/>
  <c r="E85" i="43"/>
  <c r="F85" i="43"/>
  <c r="G85" i="43"/>
  <c r="H85" i="43"/>
  <c r="I85" i="43"/>
  <c r="J85" i="43"/>
  <c r="K85" i="43"/>
  <c r="L85" i="43"/>
  <c r="M85" i="43"/>
  <c r="D438" i="43"/>
  <c r="E438" i="43" a="1"/>
  <c r="E86" i="43"/>
  <c r="F86" i="43"/>
  <c r="G86" i="43"/>
  <c r="H86" i="43"/>
  <c r="I86" i="43"/>
  <c r="J86" i="43"/>
  <c r="K86" i="43"/>
  <c r="L86" i="43"/>
  <c r="M86" i="43"/>
  <c r="D439" i="43"/>
  <c r="E439" i="43" a="1"/>
  <c r="E87" i="43"/>
  <c r="F87" i="43"/>
  <c r="G87" i="43"/>
  <c r="H87" i="43"/>
  <c r="I87" i="43"/>
  <c r="J87" i="43"/>
  <c r="K87" i="43"/>
  <c r="L87" i="43"/>
  <c r="M87" i="43"/>
  <c r="E88" i="43"/>
  <c r="F88" i="43"/>
  <c r="G88" i="43"/>
  <c r="H88" i="43"/>
  <c r="I88" i="43"/>
  <c r="J88" i="43"/>
  <c r="K88" i="43"/>
  <c r="L88" i="43"/>
  <c r="M88" i="43"/>
  <c r="D441" i="43"/>
  <c r="E441" i="43" a="1"/>
  <c r="E89" i="43"/>
  <c r="F89" i="43"/>
  <c r="G89" i="43"/>
  <c r="H89" i="43"/>
  <c r="I89" i="43"/>
  <c r="J89" i="43"/>
  <c r="K89" i="43"/>
  <c r="L89" i="43"/>
  <c r="M89" i="43"/>
  <c r="D442" i="43"/>
  <c r="E442" i="43" a="1"/>
  <c r="E90" i="43"/>
  <c r="F90" i="43"/>
  <c r="G90" i="43"/>
  <c r="H90" i="43"/>
  <c r="I90" i="43"/>
  <c r="J90" i="43"/>
  <c r="K90" i="43"/>
  <c r="L90" i="43"/>
  <c r="M90" i="43"/>
  <c r="D443" i="43"/>
  <c r="E443" i="43" a="1"/>
  <c r="E91" i="43"/>
  <c r="F91" i="43"/>
  <c r="G91" i="43"/>
  <c r="H91" i="43"/>
  <c r="I91" i="43"/>
  <c r="J91" i="43"/>
  <c r="K91" i="43"/>
  <c r="L91" i="43"/>
  <c r="M91" i="43"/>
  <c r="E92" i="43"/>
  <c r="F92" i="43"/>
  <c r="G92" i="43"/>
  <c r="H92" i="43"/>
  <c r="I92" i="43"/>
  <c r="J92" i="43"/>
  <c r="K92" i="43"/>
  <c r="L92" i="43"/>
  <c r="M92" i="43"/>
  <c r="E98" i="43"/>
  <c r="F98" i="43"/>
  <c r="G98" i="43"/>
  <c r="H98" i="43"/>
  <c r="I98" i="43"/>
  <c r="J98" i="43"/>
  <c r="K98" i="43"/>
  <c r="L98" i="43"/>
  <c r="M98" i="43"/>
  <c r="D451" i="43"/>
  <c r="E451" i="43" a="1"/>
  <c r="E99" i="43"/>
  <c r="F99" i="43"/>
  <c r="G99" i="43"/>
  <c r="H99" i="43"/>
  <c r="I99" i="43"/>
  <c r="J99" i="43"/>
  <c r="K99" i="43"/>
  <c r="L99" i="43"/>
  <c r="M99" i="43"/>
  <c r="D452" i="43"/>
  <c r="E452" i="43" a="1"/>
  <c r="E100" i="43"/>
  <c r="F100" i="43"/>
  <c r="G100" i="43"/>
  <c r="H100" i="43"/>
  <c r="I100" i="43"/>
  <c r="J100" i="43"/>
  <c r="K100" i="43"/>
  <c r="L100" i="43"/>
  <c r="M100" i="43"/>
  <c r="E101" i="43"/>
  <c r="F101" i="43"/>
  <c r="G101" i="43"/>
  <c r="H101" i="43"/>
  <c r="I101" i="43"/>
  <c r="J101" i="43"/>
  <c r="K101" i="43"/>
  <c r="L101" i="43"/>
  <c r="M101" i="43"/>
  <c r="D454" i="43"/>
  <c r="E454" i="43" a="1"/>
  <c r="E102" i="43"/>
  <c r="F102" i="43"/>
  <c r="G102" i="43"/>
  <c r="H102" i="43"/>
  <c r="I102" i="43"/>
  <c r="J102" i="43"/>
  <c r="K102" i="43"/>
  <c r="L102" i="43"/>
  <c r="M102" i="43"/>
  <c r="D455" i="43"/>
  <c r="E455" i="43" a="1"/>
  <c r="E103" i="43"/>
  <c r="F103" i="43"/>
  <c r="G103" i="43"/>
  <c r="H103" i="43"/>
  <c r="I103" i="43"/>
  <c r="J103" i="43"/>
  <c r="K103" i="43"/>
  <c r="L103" i="43"/>
  <c r="M103" i="43"/>
  <c r="D456" i="43"/>
  <c r="E456" i="43" a="1"/>
  <c r="E104" i="43"/>
  <c r="F104" i="43"/>
  <c r="G104" i="43"/>
  <c r="H104" i="43"/>
  <c r="I104" i="43"/>
  <c r="J104" i="43"/>
  <c r="K104" i="43"/>
  <c r="L104" i="43"/>
  <c r="M104" i="43"/>
  <c r="E105" i="43"/>
  <c r="F105" i="43"/>
  <c r="G105" i="43"/>
  <c r="H105" i="43"/>
  <c r="I105" i="43"/>
  <c r="J105" i="43"/>
  <c r="K105" i="43"/>
  <c r="L105" i="43"/>
  <c r="M105" i="43"/>
  <c r="D458" i="43"/>
  <c r="E458" i="43" a="1"/>
  <c r="E106" i="43"/>
  <c r="F106" i="43"/>
  <c r="G106" i="43"/>
  <c r="H106" i="43"/>
  <c r="I106" i="43"/>
  <c r="J106" i="43"/>
  <c r="K106" i="43"/>
  <c r="L106" i="43"/>
  <c r="M106" i="43"/>
  <c r="D459" i="43"/>
  <c r="E459" i="43" a="1"/>
  <c r="E107" i="43"/>
  <c r="F107" i="43"/>
  <c r="G107" i="43"/>
  <c r="H107" i="43"/>
  <c r="I107" i="43"/>
  <c r="J107" i="43"/>
  <c r="K107" i="43"/>
  <c r="L107" i="43"/>
  <c r="M107" i="43"/>
  <c r="D460" i="43"/>
  <c r="E460" i="43" a="1"/>
  <c r="E108" i="43"/>
  <c r="F108" i="43"/>
  <c r="G108" i="43"/>
  <c r="H108" i="43"/>
  <c r="I108" i="43"/>
  <c r="J108" i="43"/>
  <c r="K108" i="43"/>
  <c r="L108" i="43"/>
  <c r="M108" i="43"/>
  <c r="E109" i="43"/>
  <c r="F109" i="43"/>
  <c r="G109" i="43"/>
  <c r="H109" i="43"/>
  <c r="I109" i="43"/>
  <c r="J109" i="43"/>
  <c r="K109" i="43"/>
  <c r="L109" i="43"/>
  <c r="M109" i="43"/>
  <c r="D462" i="43"/>
  <c r="E462" i="43" a="1"/>
  <c r="E110" i="43"/>
  <c r="F110" i="43"/>
  <c r="G110" i="43"/>
  <c r="H110" i="43"/>
  <c r="I110" i="43"/>
  <c r="J110" i="43"/>
  <c r="K110" i="43"/>
  <c r="L110" i="43"/>
  <c r="M110" i="43"/>
  <c r="D463" i="43"/>
  <c r="E463" i="43" a="1"/>
  <c r="E111" i="43"/>
  <c r="F111" i="43"/>
  <c r="G111" i="43"/>
  <c r="H111" i="43"/>
  <c r="I111" i="43"/>
  <c r="J111" i="43"/>
  <c r="K111" i="43"/>
  <c r="L111" i="43"/>
  <c r="M111" i="43"/>
  <c r="D464" i="43"/>
  <c r="E464" i="43" a="1"/>
  <c r="E112" i="43"/>
  <c r="F112" i="43"/>
  <c r="G112" i="43"/>
  <c r="H112" i="43"/>
  <c r="I112" i="43"/>
  <c r="J112" i="43"/>
  <c r="K112" i="43"/>
  <c r="L112" i="43"/>
  <c r="M112" i="43"/>
  <c r="E113" i="43"/>
  <c r="F113" i="43"/>
  <c r="G113" i="43"/>
  <c r="H113" i="43"/>
  <c r="I113" i="43"/>
  <c r="J113" i="43"/>
  <c r="K113" i="43"/>
  <c r="L113" i="43"/>
  <c r="M113" i="43"/>
  <c r="D466" i="43"/>
  <c r="E466" i="43" a="1"/>
  <c r="E114" i="43"/>
  <c r="F114" i="43"/>
  <c r="G114" i="43"/>
  <c r="H114" i="43"/>
  <c r="I114" i="43"/>
  <c r="J114" i="43"/>
  <c r="K114" i="43"/>
  <c r="L114" i="43"/>
  <c r="M114" i="43"/>
  <c r="D467" i="43"/>
  <c r="E467" i="43" a="1"/>
  <c r="E115" i="43"/>
  <c r="F115" i="43"/>
  <c r="G115" i="43"/>
  <c r="H115" i="43"/>
  <c r="I115" i="43"/>
  <c r="J115" i="43"/>
  <c r="K115" i="43"/>
  <c r="L115" i="43"/>
  <c r="M115" i="43"/>
  <c r="D468" i="43"/>
  <c r="E468" i="43" a="1"/>
  <c r="E116" i="43"/>
  <c r="F116" i="43"/>
  <c r="G116" i="43"/>
  <c r="H116" i="43"/>
  <c r="I116" i="43"/>
  <c r="J116" i="43"/>
  <c r="K116" i="43"/>
  <c r="L116" i="43"/>
  <c r="M116" i="43"/>
  <c r="E122" i="43"/>
  <c r="F122" i="43"/>
  <c r="G122" i="43"/>
  <c r="H122" i="43"/>
  <c r="I122" i="43"/>
  <c r="J122" i="43"/>
  <c r="K122" i="43"/>
  <c r="L122" i="43"/>
  <c r="M122" i="43"/>
  <c r="D475" i="43"/>
  <c r="E475" i="43" a="1"/>
  <c r="E123" i="43"/>
  <c r="F123" i="43"/>
  <c r="G123" i="43"/>
  <c r="H123" i="43"/>
  <c r="I123" i="43"/>
  <c r="J123" i="43"/>
  <c r="K123" i="43"/>
  <c r="L123" i="43"/>
  <c r="M123" i="43"/>
  <c r="D476" i="43"/>
  <c r="E476" i="43" a="1"/>
  <c r="E124" i="43"/>
  <c r="F124" i="43"/>
  <c r="G124" i="43"/>
  <c r="H124" i="43"/>
  <c r="I124" i="43"/>
  <c r="J124" i="43"/>
  <c r="K124" i="43"/>
  <c r="L124" i="43"/>
  <c r="M124" i="43"/>
  <c r="D477" i="43"/>
  <c r="E477" i="43" a="1"/>
  <c r="E125" i="43"/>
  <c r="F125" i="43"/>
  <c r="G125" i="43"/>
  <c r="H125" i="43"/>
  <c r="I125" i="43"/>
  <c r="J125" i="43"/>
  <c r="K125" i="43"/>
  <c r="L125" i="43"/>
  <c r="M125" i="43"/>
  <c r="E126" i="43"/>
  <c r="F126" i="43"/>
  <c r="G126" i="43"/>
  <c r="H126" i="43"/>
  <c r="I126" i="43"/>
  <c r="J126" i="43"/>
  <c r="K126" i="43"/>
  <c r="L126" i="43"/>
  <c r="M126" i="43"/>
  <c r="D479" i="43"/>
  <c r="E479" i="43" a="1"/>
  <c r="E127" i="43"/>
  <c r="F127" i="43"/>
  <c r="G127" i="43"/>
  <c r="H127" i="43"/>
  <c r="I127" i="43"/>
  <c r="J127" i="43"/>
  <c r="K127" i="43"/>
  <c r="L127" i="43"/>
  <c r="M127" i="43"/>
  <c r="D480" i="43"/>
  <c r="E480" i="43" a="1"/>
  <c r="E128" i="43"/>
  <c r="F128" i="43"/>
  <c r="G128" i="43"/>
  <c r="H128" i="43"/>
  <c r="I128" i="43"/>
  <c r="J128" i="43"/>
  <c r="K128" i="43"/>
  <c r="L128" i="43"/>
  <c r="M128" i="43"/>
  <c r="D481" i="43"/>
  <c r="E481" i="43" a="1"/>
  <c r="E129" i="43"/>
  <c r="F129" i="43"/>
  <c r="G129" i="43"/>
  <c r="H129" i="43"/>
  <c r="I129" i="43"/>
  <c r="J129" i="43"/>
  <c r="K129" i="43"/>
  <c r="L129" i="43"/>
  <c r="M129" i="43"/>
  <c r="E130" i="43"/>
  <c r="F130" i="43"/>
  <c r="G130" i="43"/>
  <c r="H130" i="43"/>
  <c r="I130" i="43"/>
  <c r="J130" i="43"/>
  <c r="K130" i="43"/>
  <c r="L130" i="43"/>
  <c r="M130" i="43"/>
  <c r="D483" i="43"/>
  <c r="E483" i="43" a="1"/>
  <c r="E131" i="43"/>
  <c r="F131" i="43"/>
  <c r="G131" i="43"/>
  <c r="H131" i="43"/>
  <c r="I131" i="43"/>
  <c r="J131" i="43"/>
  <c r="K131" i="43"/>
  <c r="L131" i="43"/>
  <c r="M131" i="43"/>
  <c r="D484" i="43"/>
  <c r="E484" i="43" a="1"/>
  <c r="E132" i="43"/>
  <c r="F132" i="43"/>
  <c r="G132" i="43"/>
  <c r="H132" i="43"/>
  <c r="I132" i="43"/>
  <c r="J132" i="43"/>
  <c r="K132" i="43"/>
  <c r="L132" i="43"/>
  <c r="M132" i="43"/>
  <c r="D485" i="43"/>
  <c r="E485" i="43" a="1"/>
  <c r="E133" i="43"/>
  <c r="F133" i="43"/>
  <c r="G133" i="43"/>
  <c r="H133" i="43"/>
  <c r="I133" i="43"/>
  <c r="J133" i="43"/>
  <c r="K133" i="43"/>
  <c r="L133" i="43"/>
  <c r="M133" i="43"/>
  <c r="E134" i="43"/>
  <c r="F134" i="43"/>
  <c r="G134" i="43"/>
  <c r="H134" i="43"/>
  <c r="I134" i="43"/>
  <c r="J134" i="43"/>
  <c r="K134" i="43"/>
  <c r="L134" i="43"/>
  <c r="M134" i="43"/>
  <c r="D487" i="43"/>
  <c r="E487" i="43" a="1"/>
  <c r="E135" i="43"/>
  <c r="F135" i="43"/>
  <c r="G135" i="43"/>
  <c r="H135" i="43"/>
  <c r="I135" i="43"/>
  <c r="J135" i="43"/>
  <c r="K135" i="43"/>
  <c r="L135" i="43"/>
  <c r="M135" i="43"/>
  <c r="D488" i="43"/>
  <c r="E488" i="43" a="1"/>
  <c r="E136" i="43"/>
  <c r="F136" i="43"/>
  <c r="G136" i="43"/>
  <c r="H136" i="43"/>
  <c r="I136" i="43"/>
  <c r="J136" i="43"/>
  <c r="K136" i="43"/>
  <c r="L136" i="43"/>
  <c r="M136" i="43"/>
  <c r="D489" i="43"/>
  <c r="E489" i="43" a="1"/>
  <c r="E137" i="43"/>
  <c r="F137" i="43"/>
  <c r="G137" i="43"/>
  <c r="H137" i="43"/>
  <c r="I137" i="43"/>
  <c r="J137" i="43"/>
  <c r="K137" i="43"/>
  <c r="L137" i="43"/>
  <c r="M137" i="43"/>
  <c r="E138" i="43"/>
  <c r="F138" i="43"/>
  <c r="G138" i="43"/>
  <c r="H138" i="43"/>
  <c r="I138" i="43"/>
  <c r="J138" i="43"/>
  <c r="K138" i="43"/>
  <c r="L138" i="43"/>
  <c r="M138" i="43"/>
  <c r="D491" i="43"/>
  <c r="E491" i="43" a="1"/>
  <c r="E139" i="43"/>
  <c r="F139" i="43"/>
  <c r="G139" i="43"/>
  <c r="H139" i="43"/>
  <c r="I139" i="43"/>
  <c r="J139" i="43"/>
  <c r="K139" i="43"/>
  <c r="L139" i="43"/>
  <c r="M139" i="43"/>
  <c r="D492" i="43"/>
  <c r="E492" i="43" a="1"/>
  <c r="E145" i="43"/>
  <c r="F145" i="43"/>
  <c r="G145" i="43"/>
  <c r="H145" i="43"/>
  <c r="I145" i="43"/>
  <c r="J145" i="43"/>
  <c r="K145" i="43"/>
  <c r="L145" i="43"/>
  <c r="M145" i="43"/>
  <c r="D498" i="43"/>
  <c r="E498" i="43" a="1"/>
  <c r="E146" i="43"/>
  <c r="F146" i="43"/>
  <c r="G146" i="43"/>
  <c r="H146" i="43"/>
  <c r="I146" i="43"/>
  <c r="J146" i="43"/>
  <c r="K146" i="43"/>
  <c r="L146" i="43"/>
  <c r="M146" i="43"/>
  <c r="E147" i="43"/>
  <c r="F147" i="43"/>
  <c r="G147" i="43"/>
  <c r="H147" i="43"/>
  <c r="I147" i="43"/>
  <c r="J147" i="43"/>
  <c r="K147" i="43"/>
  <c r="L147" i="43"/>
  <c r="M147" i="43"/>
  <c r="D500" i="43"/>
  <c r="E500" i="43" a="1"/>
  <c r="E148" i="43"/>
  <c r="F148" i="43"/>
  <c r="G148" i="43"/>
  <c r="H148" i="43"/>
  <c r="I148" i="43"/>
  <c r="J148" i="43"/>
  <c r="K148" i="43"/>
  <c r="L148" i="43"/>
  <c r="M148" i="43"/>
  <c r="D501" i="43"/>
  <c r="E501" i="43" a="1"/>
  <c r="E149" i="43"/>
  <c r="F149" i="43"/>
  <c r="G149" i="43"/>
  <c r="H149" i="43"/>
  <c r="I149" i="43"/>
  <c r="J149" i="43"/>
  <c r="K149" i="43"/>
  <c r="L149" i="43"/>
  <c r="M149" i="43"/>
  <c r="D502" i="43"/>
  <c r="E502" i="43" a="1"/>
  <c r="E150" i="43"/>
  <c r="F150" i="43"/>
  <c r="G150" i="43"/>
  <c r="H150" i="43"/>
  <c r="I150" i="43"/>
  <c r="J150" i="43"/>
  <c r="K150" i="43"/>
  <c r="L150" i="43"/>
  <c r="M150" i="43"/>
  <c r="E151" i="43"/>
  <c r="F151" i="43"/>
  <c r="G151" i="43"/>
  <c r="H151" i="43"/>
  <c r="I151" i="43"/>
  <c r="J151" i="43"/>
  <c r="K151" i="43"/>
  <c r="L151" i="43"/>
  <c r="M151" i="43"/>
  <c r="D504" i="43"/>
  <c r="E504" i="43" a="1"/>
  <c r="E152" i="43"/>
  <c r="F152" i="43"/>
  <c r="G152" i="43"/>
  <c r="H152" i="43"/>
  <c r="I152" i="43"/>
  <c r="J152" i="43"/>
  <c r="K152" i="43"/>
  <c r="L152" i="43"/>
  <c r="M152" i="43"/>
  <c r="D505" i="43"/>
  <c r="E505" i="43" a="1"/>
  <c r="E153" i="43"/>
  <c r="F153" i="43"/>
  <c r="G153" i="43"/>
  <c r="H153" i="43"/>
  <c r="I153" i="43"/>
  <c r="J153" i="43"/>
  <c r="K153" i="43"/>
  <c r="L153" i="43"/>
  <c r="M153" i="43"/>
  <c r="D506" i="43"/>
  <c r="E506" i="43" a="1"/>
  <c r="E154" i="43"/>
  <c r="F154" i="43"/>
  <c r="G154" i="43"/>
  <c r="H154" i="43"/>
  <c r="I154" i="43"/>
  <c r="J154" i="43"/>
  <c r="K154" i="43"/>
  <c r="L154" i="43"/>
  <c r="M154" i="43"/>
  <c r="E155" i="43"/>
  <c r="F155" i="43"/>
  <c r="G155" i="43"/>
  <c r="H155" i="43"/>
  <c r="I155" i="43"/>
  <c r="J155" i="43"/>
  <c r="K155" i="43"/>
  <c r="L155" i="43"/>
  <c r="M155" i="43"/>
  <c r="D508" i="43"/>
  <c r="E508" i="43" a="1"/>
  <c r="E156" i="43"/>
  <c r="F156" i="43"/>
  <c r="G156" i="43"/>
  <c r="H156" i="43"/>
  <c r="I156" i="43"/>
  <c r="J156" i="43"/>
  <c r="K156" i="43"/>
  <c r="L156" i="43"/>
  <c r="M156" i="43"/>
  <c r="D509" i="43"/>
  <c r="E509" i="43" a="1"/>
  <c r="E157" i="43"/>
  <c r="F157" i="43"/>
  <c r="G157" i="43"/>
  <c r="H157" i="43"/>
  <c r="I157" i="43"/>
  <c r="J157" i="43"/>
  <c r="K157" i="43"/>
  <c r="L157" i="43"/>
  <c r="M157" i="43"/>
  <c r="D510" i="43"/>
  <c r="E510" i="43" a="1"/>
  <c r="E158" i="43"/>
  <c r="F158" i="43"/>
  <c r="G158" i="43"/>
  <c r="H158" i="43"/>
  <c r="I158" i="43"/>
  <c r="J158" i="43"/>
  <c r="K158" i="43"/>
  <c r="L158" i="43"/>
  <c r="M158" i="43"/>
  <c r="E159" i="43"/>
  <c r="F159" i="43"/>
  <c r="G159" i="43"/>
  <c r="H159" i="43"/>
  <c r="I159" i="43"/>
  <c r="J159" i="43"/>
  <c r="K159" i="43"/>
  <c r="L159" i="43"/>
  <c r="M159" i="43"/>
  <c r="D512" i="43"/>
  <c r="E512" i="43" a="1"/>
  <c r="E160" i="43"/>
  <c r="F160" i="43"/>
  <c r="G160" i="43"/>
  <c r="H160" i="43"/>
  <c r="I160" i="43"/>
  <c r="J160" i="43"/>
  <c r="K160" i="43"/>
  <c r="L160" i="43"/>
  <c r="M160" i="43"/>
  <c r="D513" i="43"/>
  <c r="E513" i="43" a="1"/>
  <c r="E161" i="43"/>
  <c r="F161" i="43"/>
  <c r="G161" i="43"/>
  <c r="H161" i="43"/>
  <c r="I161" i="43"/>
  <c r="J161" i="43"/>
  <c r="K161" i="43"/>
  <c r="L161" i="43"/>
  <c r="M161" i="43"/>
  <c r="D514" i="43"/>
  <c r="E514" i="43" a="1"/>
  <c r="E162" i="43"/>
  <c r="F162" i="43"/>
  <c r="G162" i="43"/>
  <c r="H162" i="43"/>
  <c r="I162" i="43"/>
  <c r="J162" i="43"/>
  <c r="K162" i="43"/>
  <c r="L162" i="43"/>
  <c r="M162" i="43"/>
  <c r="C21" i="30"/>
  <c r="D21" i="30"/>
  <c r="E21" i="30"/>
  <c r="F21" i="30"/>
  <c r="G21" i="30"/>
  <c r="H21" i="30"/>
  <c r="I21" i="30"/>
  <c r="J21" i="30"/>
  <c r="K21" i="30"/>
  <c r="L21" i="30"/>
  <c r="M21" i="30"/>
  <c r="N21" i="30"/>
  <c r="O21" i="30"/>
  <c r="P21" i="30"/>
  <c r="Q21" i="30"/>
  <c r="R21" i="30"/>
  <c r="S21" i="30"/>
  <c r="T21" i="30"/>
  <c r="U21" i="30"/>
  <c r="V21" i="30"/>
  <c r="W21" i="30"/>
  <c r="X21" i="30"/>
  <c r="Y21" i="30"/>
  <c r="Z21" i="30"/>
  <c r="AA21" i="30"/>
  <c r="AB21" i="30"/>
  <c r="AC21" i="30"/>
  <c r="AD21" i="30"/>
  <c r="AE21" i="30"/>
  <c r="AF21" i="30"/>
  <c r="AG21" i="30"/>
  <c r="AH21" i="30"/>
  <c r="AI21" i="30"/>
  <c r="AJ21" i="30"/>
  <c r="AK21" i="30"/>
  <c r="C22" i="30"/>
  <c r="D22" i="30"/>
  <c r="E22" i="30"/>
  <c r="F22" i="30"/>
  <c r="G22" i="30"/>
  <c r="H22" i="30"/>
  <c r="I22" i="30"/>
  <c r="J22" i="30"/>
  <c r="K22" i="30"/>
  <c r="L22" i="30"/>
  <c r="M22" i="30"/>
  <c r="N22" i="30"/>
  <c r="O22" i="30"/>
  <c r="P22" i="30"/>
  <c r="Q22" i="30"/>
  <c r="R22" i="30"/>
  <c r="S22" i="30"/>
  <c r="T22" i="30"/>
  <c r="U22" i="30"/>
  <c r="V22" i="30"/>
  <c r="W22" i="30"/>
  <c r="X22" i="30"/>
  <c r="Y22" i="30"/>
  <c r="Z22" i="30"/>
  <c r="AA22" i="30"/>
  <c r="AB22" i="30"/>
  <c r="AC22" i="30"/>
  <c r="AD22" i="30"/>
  <c r="AE22" i="30"/>
  <c r="AF22" i="30"/>
  <c r="AG22" i="30"/>
  <c r="AH22" i="30"/>
  <c r="AI22" i="30"/>
  <c r="AJ22" i="30"/>
  <c r="AK22" i="30"/>
  <c r="C23" i="30"/>
  <c r="C20" i="30"/>
  <c r="D3" i="32"/>
  <c r="D23" i="30"/>
  <c r="D20" i="30"/>
  <c r="D4" i="32"/>
  <c r="E23" i="30"/>
  <c r="E20" i="30"/>
  <c r="D5" i="32"/>
  <c r="F23" i="30"/>
  <c r="F20" i="30"/>
  <c r="D6" i="32"/>
  <c r="G23" i="30"/>
  <c r="G20" i="30"/>
  <c r="D7" i="32"/>
  <c r="H23" i="30"/>
  <c r="H20" i="30"/>
  <c r="D8" i="32"/>
  <c r="I23" i="30"/>
  <c r="I20" i="30"/>
  <c r="D9" i="32"/>
  <c r="J23" i="30"/>
  <c r="J20" i="30"/>
  <c r="D10" i="32"/>
  <c r="K23" i="30"/>
  <c r="K20" i="30"/>
  <c r="D11" i="32"/>
  <c r="L23" i="30"/>
  <c r="L20" i="30"/>
  <c r="D12" i="32"/>
  <c r="M23" i="30"/>
  <c r="M20" i="30"/>
  <c r="D13" i="32"/>
  <c r="N23" i="30"/>
  <c r="N20" i="30"/>
  <c r="D14" i="32"/>
  <c r="O23" i="30"/>
  <c r="O20" i="30"/>
  <c r="D15" i="32"/>
  <c r="P23" i="30"/>
  <c r="P20" i="30"/>
  <c r="D16" i="32"/>
  <c r="Q23" i="30"/>
  <c r="Q20" i="30"/>
  <c r="D17" i="32"/>
  <c r="R23" i="30"/>
  <c r="R20" i="30"/>
  <c r="D18" i="32"/>
  <c r="S23" i="30"/>
  <c r="S20" i="30"/>
  <c r="D19" i="32"/>
  <c r="T23" i="30"/>
  <c r="T20" i="30"/>
  <c r="D20" i="32"/>
  <c r="U23" i="30"/>
  <c r="U20" i="30"/>
  <c r="D21" i="32"/>
  <c r="V23" i="30"/>
  <c r="V20" i="30"/>
  <c r="D22" i="32"/>
  <c r="W23" i="30"/>
  <c r="W20" i="30"/>
  <c r="D23" i="32"/>
  <c r="X23" i="30"/>
  <c r="X20" i="30"/>
  <c r="D24" i="32"/>
  <c r="Y23" i="30"/>
  <c r="Y20" i="30"/>
  <c r="D25" i="32"/>
  <c r="Z23" i="30"/>
  <c r="Z20" i="30"/>
  <c r="D26" i="32"/>
  <c r="AA23" i="30"/>
  <c r="AA20" i="30"/>
  <c r="D27" i="32"/>
  <c r="AB23" i="30"/>
  <c r="AB20" i="30"/>
  <c r="D28" i="32"/>
  <c r="AC23" i="30"/>
  <c r="AC20" i="30"/>
  <c r="D29" i="32"/>
  <c r="AD23" i="30"/>
  <c r="AD20" i="30"/>
  <c r="D30" i="32"/>
  <c r="AE23" i="30"/>
  <c r="AE20" i="30"/>
  <c r="D31" i="32"/>
  <c r="AF23" i="30"/>
  <c r="AF20" i="30"/>
  <c r="D32" i="32"/>
  <c r="AG23" i="30"/>
  <c r="AG20" i="30"/>
  <c r="D33" i="32"/>
  <c r="AH23" i="30"/>
  <c r="AH20" i="30"/>
  <c r="D34" i="32"/>
  <c r="AI23" i="30"/>
  <c r="AI20" i="30"/>
  <c r="D35" i="32"/>
  <c r="AJ23" i="30"/>
  <c r="AJ20" i="30"/>
  <c r="D36" i="32"/>
  <c r="AK23" i="30"/>
  <c r="AK20" i="30"/>
  <c r="D37" i="32"/>
  <c r="B13" i="30"/>
  <c r="C199" i="8"/>
  <c r="D199" i="8"/>
  <c r="E199" i="8"/>
  <c r="F199" i="8"/>
  <c r="G199" i="8"/>
  <c r="H199" i="8"/>
  <c r="I199" i="8"/>
  <c r="J199" i="8"/>
  <c r="K199" i="8"/>
  <c r="L199" i="8"/>
  <c r="M199" i="8"/>
  <c r="N199" i="8"/>
  <c r="O199" i="8"/>
  <c r="P199" i="8"/>
  <c r="Q199" i="8"/>
  <c r="R199" i="8"/>
  <c r="S199" i="8"/>
  <c r="T199" i="8"/>
  <c r="U199" i="8"/>
  <c r="V199" i="8"/>
  <c r="W199" i="8"/>
  <c r="X199" i="8"/>
  <c r="Y199" i="8"/>
  <c r="Z199" i="8"/>
  <c r="AA199" i="8"/>
  <c r="AB199" i="8"/>
  <c r="AC199" i="8"/>
  <c r="AD199" i="8"/>
  <c r="AE199" i="8"/>
  <c r="AF199" i="8"/>
  <c r="AG199" i="8"/>
  <c r="AH199" i="8"/>
  <c r="AI199" i="8"/>
  <c r="AJ199" i="8"/>
  <c r="AK199" i="8"/>
  <c r="B199" i="8"/>
  <c r="D100" i="8"/>
  <c r="E100" i="8"/>
  <c r="F100" i="8"/>
  <c r="G100" i="8"/>
  <c r="H100" i="8"/>
  <c r="I100" i="8"/>
  <c r="J100" i="8"/>
  <c r="K100" i="8"/>
  <c r="L100" i="8"/>
  <c r="M100" i="8"/>
  <c r="N100" i="8"/>
  <c r="O100" i="8"/>
  <c r="P100" i="8"/>
  <c r="Q100" i="8"/>
  <c r="R100" i="8"/>
  <c r="S100" i="8"/>
  <c r="T100" i="8"/>
  <c r="U100" i="8"/>
  <c r="V100" i="8"/>
  <c r="W100" i="8"/>
  <c r="X100" i="8"/>
  <c r="Y100" i="8"/>
  <c r="Z100" i="8"/>
  <c r="AA100" i="8"/>
  <c r="AB100" i="8"/>
  <c r="AC100" i="8"/>
  <c r="AD100" i="8"/>
  <c r="AE100" i="8"/>
  <c r="AF100" i="8"/>
  <c r="AG100" i="8"/>
  <c r="AH100" i="8"/>
  <c r="AI100" i="8"/>
  <c r="AJ100" i="8"/>
  <c r="AK100" i="8"/>
  <c r="C100" i="8"/>
  <c r="D162" i="8"/>
  <c r="E162" i="8"/>
  <c r="F162" i="8"/>
  <c r="F163" i="8"/>
  <c r="F164" i="8"/>
  <c r="G162" i="8"/>
  <c r="G163" i="8"/>
  <c r="G164" i="8"/>
  <c r="H162" i="8"/>
  <c r="I162" i="8"/>
  <c r="J162" i="8"/>
  <c r="J163" i="8"/>
  <c r="J164" i="8"/>
  <c r="K162" i="8"/>
  <c r="K163" i="8"/>
  <c r="K164" i="8"/>
  <c r="L162" i="8"/>
  <c r="M162" i="8"/>
  <c r="N162" i="8"/>
  <c r="N163" i="8"/>
  <c r="N164" i="8"/>
  <c r="O162" i="8"/>
  <c r="O163" i="8"/>
  <c r="O164" i="8"/>
  <c r="P162" i="8"/>
  <c r="Q162" i="8"/>
  <c r="R162" i="8"/>
  <c r="R163" i="8"/>
  <c r="R164" i="8"/>
  <c r="S162" i="8"/>
  <c r="S163" i="8"/>
  <c r="S164" i="8"/>
  <c r="T162" i="8"/>
  <c r="U162" i="8"/>
  <c r="V162" i="8"/>
  <c r="V163" i="8"/>
  <c r="V164" i="8"/>
  <c r="W162" i="8"/>
  <c r="W163" i="8"/>
  <c r="W164" i="8"/>
  <c r="X162" i="8"/>
  <c r="Y162" i="8"/>
  <c r="Z162" i="8"/>
  <c r="Z163" i="8"/>
  <c r="Z164" i="8"/>
  <c r="AA162" i="8"/>
  <c r="AA163" i="8"/>
  <c r="AA164" i="8"/>
  <c r="AB162" i="8"/>
  <c r="AC162" i="8"/>
  <c r="AD162" i="8"/>
  <c r="AD163" i="8"/>
  <c r="AD164" i="8"/>
  <c r="AE162" i="8"/>
  <c r="AE163" i="8"/>
  <c r="AE164" i="8"/>
  <c r="AF162" i="8"/>
  <c r="AG162" i="8"/>
  <c r="AH162" i="8"/>
  <c r="AH163" i="8"/>
  <c r="AH164" i="8"/>
  <c r="AI162" i="8"/>
  <c r="AI163" i="8"/>
  <c r="AI164" i="8"/>
  <c r="AJ162" i="8"/>
  <c r="AK162" i="8"/>
  <c r="D163" i="8"/>
  <c r="D164" i="8"/>
  <c r="E163" i="8"/>
  <c r="E164" i="8"/>
  <c r="H163" i="8"/>
  <c r="H164" i="8"/>
  <c r="I163" i="8"/>
  <c r="I164" i="8"/>
  <c r="L163" i="8"/>
  <c r="L164" i="8"/>
  <c r="M163" i="8"/>
  <c r="M164" i="8"/>
  <c r="P163" i="8"/>
  <c r="P164" i="8"/>
  <c r="Q163" i="8"/>
  <c r="Q164" i="8"/>
  <c r="T163" i="8"/>
  <c r="T164" i="8"/>
  <c r="U163" i="8"/>
  <c r="U164" i="8"/>
  <c r="X163" i="8"/>
  <c r="X164" i="8"/>
  <c r="Y163" i="8"/>
  <c r="Y164" i="8"/>
  <c r="AB163" i="8"/>
  <c r="AB164" i="8"/>
  <c r="AC163" i="8"/>
  <c r="AC164" i="8"/>
  <c r="AF163" i="8"/>
  <c r="AF164" i="8"/>
  <c r="AG163" i="8"/>
  <c r="AG164" i="8"/>
  <c r="AJ163" i="8"/>
  <c r="AJ164" i="8"/>
  <c r="C163" i="8"/>
  <c r="C164" i="8"/>
  <c r="C162" i="8"/>
  <c r="B164" i="8"/>
  <c r="B162" i="8"/>
  <c r="D165" i="8"/>
  <c r="E165" i="8"/>
  <c r="F165" i="8"/>
  <c r="G165" i="8"/>
  <c r="H165" i="8"/>
  <c r="I165" i="8"/>
  <c r="J165" i="8"/>
  <c r="K165" i="8"/>
  <c r="L165" i="8"/>
  <c r="M165" i="8"/>
  <c r="N165" i="8"/>
  <c r="O165" i="8"/>
  <c r="P165" i="8"/>
  <c r="Q165" i="8"/>
  <c r="R165" i="8"/>
  <c r="S165" i="8"/>
  <c r="T165" i="8"/>
  <c r="U165" i="8"/>
  <c r="V165" i="8"/>
  <c r="W165" i="8"/>
  <c r="X165" i="8"/>
  <c r="Y165" i="8"/>
  <c r="Z165" i="8"/>
  <c r="AA165" i="8"/>
  <c r="AB165" i="8"/>
  <c r="AC165" i="8"/>
  <c r="AD165" i="8"/>
  <c r="AE165" i="8"/>
  <c r="AF165" i="8"/>
  <c r="AG165" i="8"/>
  <c r="AH165" i="8"/>
  <c r="AI165" i="8"/>
  <c r="AJ165" i="8"/>
  <c r="AK165" i="8"/>
  <c r="D166" i="8"/>
  <c r="E166" i="8"/>
  <c r="F166" i="8"/>
  <c r="G166" i="8"/>
  <c r="H166" i="8"/>
  <c r="I166" i="8"/>
  <c r="J166" i="8"/>
  <c r="K166" i="8"/>
  <c r="L166" i="8"/>
  <c r="M166" i="8"/>
  <c r="N166" i="8"/>
  <c r="O166" i="8"/>
  <c r="P166" i="8"/>
  <c r="Q166" i="8"/>
  <c r="R166" i="8"/>
  <c r="S166" i="8"/>
  <c r="T166" i="8"/>
  <c r="U166" i="8"/>
  <c r="V166" i="8"/>
  <c r="W166" i="8"/>
  <c r="X166" i="8"/>
  <c r="Y166" i="8"/>
  <c r="Z166" i="8"/>
  <c r="AA166" i="8"/>
  <c r="AB166" i="8"/>
  <c r="AC166" i="8"/>
  <c r="AD166" i="8"/>
  <c r="AE166" i="8"/>
  <c r="AF166" i="8"/>
  <c r="AG166" i="8"/>
  <c r="AH166" i="8"/>
  <c r="AI166" i="8"/>
  <c r="AJ166" i="8"/>
  <c r="AK166" i="8"/>
  <c r="D175" i="8"/>
  <c r="E175" i="8"/>
  <c r="F175" i="8"/>
  <c r="G175" i="8"/>
  <c r="H175" i="8"/>
  <c r="I175" i="8"/>
  <c r="J175" i="8"/>
  <c r="K175" i="8"/>
  <c r="L175" i="8"/>
  <c r="M175" i="8"/>
  <c r="N175" i="8"/>
  <c r="O175" i="8"/>
  <c r="P175" i="8"/>
  <c r="Q175" i="8"/>
  <c r="R175" i="8"/>
  <c r="S175" i="8"/>
  <c r="T175" i="8"/>
  <c r="U175" i="8"/>
  <c r="V175" i="8"/>
  <c r="W175" i="8"/>
  <c r="X175" i="8"/>
  <c r="Y175" i="8"/>
  <c r="Z175" i="8"/>
  <c r="AA175" i="8"/>
  <c r="AB175" i="8"/>
  <c r="AC175" i="8"/>
  <c r="AD175" i="8"/>
  <c r="AE175" i="8"/>
  <c r="AF175" i="8"/>
  <c r="AG175" i="8"/>
  <c r="AH175" i="8"/>
  <c r="AI175" i="8"/>
  <c r="AJ175" i="8"/>
  <c r="AK175" i="8"/>
  <c r="D176" i="8"/>
  <c r="E176" i="8"/>
  <c r="F176" i="8"/>
  <c r="G176" i="8"/>
  <c r="H176" i="8"/>
  <c r="I176" i="8"/>
  <c r="J176" i="8"/>
  <c r="K176" i="8"/>
  <c r="L176" i="8"/>
  <c r="M176" i="8"/>
  <c r="N176" i="8"/>
  <c r="O176" i="8"/>
  <c r="P176" i="8"/>
  <c r="Q176" i="8"/>
  <c r="R176" i="8"/>
  <c r="S176" i="8"/>
  <c r="T176" i="8"/>
  <c r="U176" i="8"/>
  <c r="V176" i="8"/>
  <c r="W176" i="8"/>
  <c r="X176" i="8"/>
  <c r="Y176" i="8"/>
  <c r="Z176" i="8"/>
  <c r="AA176" i="8"/>
  <c r="AB176" i="8"/>
  <c r="AC176" i="8"/>
  <c r="AD176" i="8"/>
  <c r="AE176" i="8"/>
  <c r="AF176" i="8"/>
  <c r="AG176" i="8"/>
  <c r="AH176" i="8"/>
  <c r="AI176" i="8"/>
  <c r="AJ176" i="8"/>
  <c r="AK176" i="8"/>
  <c r="D177" i="8"/>
  <c r="E177" i="8"/>
  <c r="F177" i="8"/>
  <c r="G177" i="8"/>
  <c r="H177" i="8"/>
  <c r="I177" i="8"/>
  <c r="J177" i="8"/>
  <c r="K177" i="8"/>
  <c r="L177" i="8"/>
  <c r="M177" i="8"/>
  <c r="N177" i="8"/>
  <c r="O177" i="8"/>
  <c r="P177" i="8"/>
  <c r="Q177" i="8"/>
  <c r="R177" i="8"/>
  <c r="S177" i="8"/>
  <c r="T177" i="8"/>
  <c r="U177" i="8"/>
  <c r="V177" i="8"/>
  <c r="W177" i="8"/>
  <c r="X177" i="8"/>
  <c r="Y177" i="8"/>
  <c r="Z177" i="8"/>
  <c r="AA177" i="8"/>
  <c r="AB177" i="8"/>
  <c r="AC177" i="8"/>
  <c r="AD177" i="8"/>
  <c r="AE177" i="8"/>
  <c r="AF177" i="8"/>
  <c r="AG177" i="8"/>
  <c r="AH177" i="8"/>
  <c r="AI177" i="8"/>
  <c r="AJ177" i="8"/>
  <c r="AK177" i="8"/>
  <c r="D178" i="8"/>
  <c r="E178" i="8"/>
  <c r="F178" i="8"/>
  <c r="G178" i="8"/>
  <c r="H178" i="8"/>
  <c r="I178" i="8"/>
  <c r="J178" i="8"/>
  <c r="K178" i="8"/>
  <c r="L178" i="8"/>
  <c r="M178" i="8"/>
  <c r="N178" i="8"/>
  <c r="O178" i="8"/>
  <c r="P178" i="8"/>
  <c r="Q178" i="8"/>
  <c r="R178" i="8"/>
  <c r="S178" i="8"/>
  <c r="T178" i="8"/>
  <c r="U178" i="8"/>
  <c r="V178" i="8"/>
  <c r="W178" i="8"/>
  <c r="X178" i="8"/>
  <c r="Y178" i="8"/>
  <c r="Z178" i="8"/>
  <c r="AA178" i="8"/>
  <c r="AB178" i="8"/>
  <c r="AC178" i="8"/>
  <c r="AD178" i="8"/>
  <c r="AE178" i="8"/>
  <c r="AF178" i="8"/>
  <c r="AG178" i="8"/>
  <c r="AH178" i="8"/>
  <c r="AI178" i="8"/>
  <c r="AJ178" i="8"/>
  <c r="AK178" i="8"/>
  <c r="D179" i="8"/>
  <c r="E179" i="8"/>
  <c r="F179" i="8"/>
  <c r="G179" i="8"/>
  <c r="H179" i="8"/>
  <c r="I179" i="8"/>
  <c r="J179" i="8"/>
  <c r="K179" i="8"/>
  <c r="L179" i="8"/>
  <c r="M179" i="8"/>
  <c r="N179" i="8"/>
  <c r="O179" i="8"/>
  <c r="P179" i="8"/>
  <c r="Q179" i="8"/>
  <c r="R179" i="8"/>
  <c r="S179" i="8"/>
  <c r="T179" i="8"/>
  <c r="U179" i="8"/>
  <c r="V179" i="8"/>
  <c r="W179" i="8"/>
  <c r="X179" i="8"/>
  <c r="Y179" i="8"/>
  <c r="Z179" i="8"/>
  <c r="AA179" i="8"/>
  <c r="AB179" i="8"/>
  <c r="AC179" i="8"/>
  <c r="AD179" i="8"/>
  <c r="AE179" i="8"/>
  <c r="AF179" i="8"/>
  <c r="AG179" i="8"/>
  <c r="AH179" i="8"/>
  <c r="AI179" i="8"/>
  <c r="AJ179" i="8"/>
  <c r="AK179" i="8"/>
  <c r="D180" i="8"/>
  <c r="E180" i="8"/>
  <c r="F180" i="8"/>
  <c r="G180" i="8"/>
  <c r="H180" i="8"/>
  <c r="I180" i="8"/>
  <c r="J180" i="8"/>
  <c r="K180" i="8"/>
  <c r="L180" i="8"/>
  <c r="M180" i="8"/>
  <c r="N180" i="8"/>
  <c r="O180" i="8"/>
  <c r="P180" i="8"/>
  <c r="Q180" i="8"/>
  <c r="R180" i="8"/>
  <c r="S180" i="8"/>
  <c r="T180" i="8"/>
  <c r="U180" i="8"/>
  <c r="V180" i="8"/>
  <c r="W180" i="8"/>
  <c r="X180" i="8"/>
  <c r="Y180" i="8"/>
  <c r="Z180" i="8"/>
  <c r="AA180" i="8"/>
  <c r="AB180" i="8"/>
  <c r="AC180" i="8"/>
  <c r="AD180" i="8"/>
  <c r="AE180" i="8"/>
  <c r="AF180" i="8"/>
  <c r="AG180" i="8"/>
  <c r="AH180" i="8"/>
  <c r="AI180" i="8"/>
  <c r="AJ180" i="8"/>
  <c r="AK180" i="8"/>
  <c r="D181" i="8"/>
  <c r="E181" i="8"/>
  <c r="F181" i="8"/>
  <c r="G181" i="8"/>
  <c r="H181" i="8"/>
  <c r="I181" i="8"/>
  <c r="J181" i="8"/>
  <c r="K181" i="8"/>
  <c r="L181" i="8"/>
  <c r="M181" i="8"/>
  <c r="N181" i="8"/>
  <c r="O181" i="8"/>
  <c r="P181" i="8"/>
  <c r="Q181" i="8"/>
  <c r="R181" i="8"/>
  <c r="S181" i="8"/>
  <c r="T181" i="8"/>
  <c r="U181" i="8"/>
  <c r="V181" i="8"/>
  <c r="W181" i="8"/>
  <c r="X181" i="8"/>
  <c r="Y181" i="8"/>
  <c r="Z181" i="8"/>
  <c r="AA181" i="8"/>
  <c r="AB181" i="8"/>
  <c r="AC181" i="8"/>
  <c r="AD181" i="8"/>
  <c r="AE181" i="8"/>
  <c r="AF181" i="8"/>
  <c r="AG181" i="8"/>
  <c r="AH181" i="8"/>
  <c r="AI181" i="8"/>
  <c r="AJ181" i="8"/>
  <c r="AK181" i="8"/>
  <c r="D182" i="8"/>
  <c r="E182" i="8"/>
  <c r="F182" i="8"/>
  <c r="G182" i="8"/>
  <c r="H182" i="8"/>
  <c r="I182" i="8"/>
  <c r="J182" i="8"/>
  <c r="K182" i="8"/>
  <c r="L182" i="8"/>
  <c r="M182" i="8"/>
  <c r="N182" i="8"/>
  <c r="O182" i="8"/>
  <c r="P182" i="8"/>
  <c r="Q182" i="8"/>
  <c r="R182" i="8"/>
  <c r="S182" i="8"/>
  <c r="T182" i="8"/>
  <c r="U182" i="8"/>
  <c r="V182" i="8"/>
  <c r="W182" i="8"/>
  <c r="X182" i="8"/>
  <c r="Y182" i="8"/>
  <c r="Z182" i="8"/>
  <c r="AA182" i="8"/>
  <c r="AB182" i="8"/>
  <c r="AC182" i="8"/>
  <c r="AD182" i="8"/>
  <c r="AE182" i="8"/>
  <c r="AF182" i="8"/>
  <c r="AG182" i="8"/>
  <c r="AH182" i="8"/>
  <c r="AI182" i="8"/>
  <c r="AJ182" i="8"/>
  <c r="AK182" i="8"/>
  <c r="D183" i="8"/>
  <c r="E183" i="8"/>
  <c r="F183" i="8"/>
  <c r="G183" i="8"/>
  <c r="H183" i="8"/>
  <c r="I183" i="8"/>
  <c r="J183" i="8"/>
  <c r="K183" i="8"/>
  <c r="L183" i="8"/>
  <c r="M183" i="8"/>
  <c r="N183" i="8"/>
  <c r="O183" i="8"/>
  <c r="P183" i="8"/>
  <c r="Q183" i="8"/>
  <c r="R183" i="8"/>
  <c r="S183" i="8"/>
  <c r="T183" i="8"/>
  <c r="U183" i="8"/>
  <c r="V183" i="8"/>
  <c r="W183" i="8"/>
  <c r="X183" i="8"/>
  <c r="Y183" i="8"/>
  <c r="Z183" i="8"/>
  <c r="AA183" i="8"/>
  <c r="AB183" i="8"/>
  <c r="AC183" i="8"/>
  <c r="AD183" i="8"/>
  <c r="AE183" i="8"/>
  <c r="AF183" i="8"/>
  <c r="AG183" i="8"/>
  <c r="AH183" i="8"/>
  <c r="AI183" i="8"/>
  <c r="AJ183" i="8"/>
  <c r="AK183" i="8"/>
  <c r="D184" i="8"/>
  <c r="E184" i="8"/>
  <c r="F184" i="8"/>
  <c r="G184" i="8"/>
  <c r="H184" i="8"/>
  <c r="I184" i="8"/>
  <c r="J184" i="8"/>
  <c r="K184" i="8"/>
  <c r="L184" i="8"/>
  <c r="M184" i="8"/>
  <c r="N184" i="8"/>
  <c r="O184" i="8"/>
  <c r="P184" i="8"/>
  <c r="Q184" i="8"/>
  <c r="R184" i="8"/>
  <c r="S184" i="8"/>
  <c r="T184" i="8"/>
  <c r="U184" i="8"/>
  <c r="V184" i="8"/>
  <c r="W184" i="8"/>
  <c r="X184" i="8"/>
  <c r="Y184" i="8"/>
  <c r="Z184" i="8"/>
  <c r="AA184" i="8"/>
  <c r="AB184" i="8"/>
  <c r="AC184" i="8"/>
  <c r="AD184" i="8"/>
  <c r="AE184" i="8"/>
  <c r="AF184" i="8"/>
  <c r="AG184" i="8"/>
  <c r="AH184" i="8"/>
  <c r="AI184" i="8"/>
  <c r="AJ184" i="8"/>
  <c r="AK184" i="8"/>
  <c r="D185" i="8"/>
  <c r="E185" i="8"/>
  <c r="F185" i="8"/>
  <c r="G185" i="8"/>
  <c r="H185" i="8"/>
  <c r="I185" i="8"/>
  <c r="J185" i="8"/>
  <c r="K185" i="8"/>
  <c r="L185" i="8"/>
  <c r="M185" i="8"/>
  <c r="N185" i="8"/>
  <c r="O185" i="8"/>
  <c r="P185" i="8"/>
  <c r="Q185" i="8"/>
  <c r="R185" i="8"/>
  <c r="S185" i="8"/>
  <c r="T185" i="8"/>
  <c r="U185" i="8"/>
  <c r="V185" i="8"/>
  <c r="W185" i="8"/>
  <c r="X185" i="8"/>
  <c r="Y185" i="8"/>
  <c r="Z185" i="8"/>
  <c r="AA185" i="8"/>
  <c r="AB185" i="8"/>
  <c r="AC185" i="8"/>
  <c r="AD185" i="8"/>
  <c r="AE185" i="8"/>
  <c r="AF185" i="8"/>
  <c r="AG185" i="8"/>
  <c r="AH185" i="8"/>
  <c r="AI185" i="8"/>
  <c r="AJ185" i="8"/>
  <c r="AK185" i="8"/>
  <c r="D186" i="8"/>
  <c r="E186" i="8"/>
  <c r="F186" i="8"/>
  <c r="G186" i="8"/>
  <c r="H186" i="8"/>
  <c r="I186" i="8"/>
  <c r="J186" i="8"/>
  <c r="K186" i="8"/>
  <c r="L186" i="8"/>
  <c r="M186" i="8"/>
  <c r="N186" i="8"/>
  <c r="O186" i="8"/>
  <c r="P186" i="8"/>
  <c r="Q186" i="8"/>
  <c r="R186" i="8"/>
  <c r="S186" i="8"/>
  <c r="T186" i="8"/>
  <c r="U186" i="8"/>
  <c r="V186" i="8"/>
  <c r="W186" i="8"/>
  <c r="X186" i="8"/>
  <c r="Y186" i="8"/>
  <c r="Z186" i="8"/>
  <c r="AA186" i="8"/>
  <c r="AB186" i="8"/>
  <c r="AC186" i="8"/>
  <c r="AD186" i="8"/>
  <c r="AE186" i="8"/>
  <c r="AF186" i="8"/>
  <c r="AG186" i="8"/>
  <c r="AH186" i="8"/>
  <c r="AI186" i="8"/>
  <c r="AJ186" i="8"/>
  <c r="AK186" i="8"/>
  <c r="D187" i="8"/>
  <c r="E187" i="8"/>
  <c r="F187" i="8"/>
  <c r="G187" i="8"/>
  <c r="H187" i="8"/>
  <c r="I187" i="8"/>
  <c r="J187" i="8"/>
  <c r="K187" i="8"/>
  <c r="L187" i="8"/>
  <c r="M187" i="8"/>
  <c r="N187" i="8"/>
  <c r="O187" i="8"/>
  <c r="P187" i="8"/>
  <c r="Q187" i="8"/>
  <c r="R187" i="8"/>
  <c r="S187" i="8"/>
  <c r="T187" i="8"/>
  <c r="U187" i="8"/>
  <c r="V187" i="8"/>
  <c r="W187" i="8"/>
  <c r="X187" i="8"/>
  <c r="Y187" i="8"/>
  <c r="Z187" i="8"/>
  <c r="AA187" i="8"/>
  <c r="AB187" i="8"/>
  <c r="AC187" i="8"/>
  <c r="AD187" i="8"/>
  <c r="AE187" i="8"/>
  <c r="AF187" i="8"/>
  <c r="AG187" i="8"/>
  <c r="AH187" i="8"/>
  <c r="AI187" i="8"/>
  <c r="AJ187" i="8"/>
  <c r="AK187" i="8"/>
  <c r="D188" i="8"/>
  <c r="E188" i="8"/>
  <c r="F188" i="8"/>
  <c r="G188" i="8"/>
  <c r="H188" i="8"/>
  <c r="I188" i="8"/>
  <c r="J188" i="8"/>
  <c r="K188" i="8"/>
  <c r="L188" i="8"/>
  <c r="M188" i="8"/>
  <c r="N188" i="8"/>
  <c r="O188" i="8"/>
  <c r="P188" i="8"/>
  <c r="Q188" i="8"/>
  <c r="R188" i="8"/>
  <c r="S188" i="8"/>
  <c r="T188" i="8"/>
  <c r="U188" i="8"/>
  <c r="V188" i="8"/>
  <c r="W188" i="8"/>
  <c r="X188" i="8"/>
  <c r="Y188" i="8"/>
  <c r="Z188" i="8"/>
  <c r="AA188" i="8"/>
  <c r="AB188" i="8"/>
  <c r="AC188" i="8"/>
  <c r="AD188" i="8"/>
  <c r="AE188" i="8"/>
  <c r="AF188" i="8"/>
  <c r="AG188" i="8"/>
  <c r="AH188" i="8"/>
  <c r="AI188" i="8"/>
  <c r="AJ188" i="8"/>
  <c r="AK188" i="8"/>
  <c r="D189" i="8"/>
  <c r="E189" i="8"/>
  <c r="F189" i="8"/>
  <c r="G189" i="8"/>
  <c r="H189" i="8"/>
  <c r="I189" i="8"/>
  <c r="J189" i="8"/>
  <c r="K189" i="8"/>
  <c r="L189" i="8"/>
  <c r="M189" i="8"/>
  <c r="N189" i="8"/>
  <c r="O189" i="8"/>
  <c r="P189" i="8"/>
  <c r="Q189" i="8"/>
  <c r="R189" i="8"/>
  <c r="S189" i="8"/>
  <c r="T189" i="8"/>
  <c r="U189" i="8"/>
  <c r="V189" i="8"/>
  <c r="W189" i="8"/>
  <c r="X189" i="8"/>
  <c r="Y189" i="8"/>
  <c r="Z189" i="8"/>
  <c r="AA189" i="8"/>
  <c r="AB189" i="8"/>
  <c r="AC189" i="8"/>
  <c r="AD189" i="8"/>
  <c r="AE189" i="8"/>
  <c r="AF189" i="8"/>
  <c r="AG189" i="8"/>
  <c r="AH189" i="8"/>
  <c r="AI189" i="8"/>
  <c r="AJ189" i="8"/>
  <c r="AK189" i="8"/>
  <c r="D190" i="8"/>
  <c r="E190" i="8"/>
  <c r="F190" i="8"/>
  <c r="G190" i="8"/>
  <c r="H190" i="8"/>
  <c r="I190" i="8"/>
  <c r="J190" i="8"/>
  <c r="K190" i="8"/>
  <c r="L190" i="8"/>
  <c r="M190" i="8"/>
  <c r="N190" i="8"/>
  <c r="O190" i="8"/>
  <c r="P190" i="8"/>
  <c r="Q190" i="8"/>
  <c r="R190" i="8"/>
  <c r="S190" i="8"/>
  <c r="T190" i="8"/>
  <c r="U190" i="8"/>
  <c r="V190" i="8"/>
  <c r="W190" i="8"/>
  <c r="X190" i="8"/>
  <c r="Y190" i="8"/>
  <c r="Z190" i="8"/>
  <c r="AA190" i="8"/>
  <c r="AB190" i="8"/>
  <c r="AC190" i="8"/>
  <c r="AD190" i="8"/>
  <c r="AE190" i="8"/>
  <c r="AF190" i="8"/>
  <c r="AG190" i="8"/>
  <c r="AH190" i="8"/>
  <c r="AI190" i="8"/>
  <c r="AJ190" i="8"/>
  <c r="AK190" i="8"/>
  <c r="D191" i="8"/>
  <c r="E191" i="8"/>
  <c r="F191" i="8"/>
  <c r="G191" i="8"/>
  <c r="H191" i="8"/>
  <c r="I191" i="8"/>
  <c r="J191" i="8"/>
  <c r="K191" i="8"/>
  <c r="L191" i="8"/>
  <c r="M191" i="8"/>
  <c r="N191" i="8"/>
  <c r="O191" i="8"/>
  <c r="P191" i="8"/>
  <c r="Q191" i="8"/>
  <c r="R191" i="8"/>
  <c r="S191" i="8"/>
  <c r="T191" i="8"/>
  <c r="U191" i="8"/>
  <c r="V191" i="8"/>
  <c r="W191" i="8"/>
  <c r="X191" i="8"/>
  <c r="Y191" i="8"/>
  <c r="Z191" i="8"/>
  <c r="AA191" i="8"/>
  <c r="AB191" i="8"/>
  <c r="AC191" i="8"/>
  <c r="AD191" i="8"/>
  <c r="AE191" i="8"/>
  <c r="AF191" i="8"/>
  <c r="AG191" i="8"/>
  <c r="AH191" i="8"/>
  <c r="AI191" i="8"/>
  <c r="AJ191" i="8"/>
  <c r="AK191" i="8"/>
  <c r="D192" i="8"/>
  <c r="E192" i="8"/>
  <c r="F192" i="8"/>
  <c r="G192" i="8"/>
  <c r="H192" i="8"/>
  <c r="I192" i="8"/>
  <c r="J192" i="8"/>
  <c r="K192" i="8"/>
  <c r="L192" i="8"/>
  <c r="M192" i="8"/>
  <c r="N192" i="8"/>
  <c r="O192" i="8"/>
  <c r="P192" i="8"/>
  <c r="Q192" i="8"/>
  <c r="R192" i="8"/>
  <c r="S192" i="8"/>
  <c r="T192" i="8"/>
  <c r="U192" i="8"/>
  <c r="V192" i="8"/>
  <c r="W192" i="8"/>
  <c r="X192" i="8"/>
  <c r="Y192" i="8"/>
  <c r="Z192" i="8"/>
  <c r="AA192" i="8"/>
  <c r="AB192" i="8"/>
  <c r="AC192" i="8"/>
  <c r="AD192" i="8"/>
  <c r="AE192" i="8"/>
  <c r="AF192" i="8"/>
  <c r="AG192" i="8"/>
  <c r="AH192" i="8"/>
  <c r="AI192" i="8"/>
  <c r="AJ192" i="8"/>
  <c r="AK192" i="8"/>
  <c r="D193" i="8"/>
  <c r="E193" i="8"/>
  <c r="F193" i="8"/>
  <c r="G193" i="8"/>
  <c r="H193" i="8"/>
  <c r="I193" i="8"/>
  <c r="J193" i="8"/>
  <c r="K193" i="8"/>
  <c r="L193" i="8"/>
  <c r="M193" i="8"/>
  <c r="N193" i="8"/>
  <c r="O193" i="8"/>
  <c r="P193" i="8"/>
  <c r="Q193" i="8"/>
  <c r="R193" i="8"/>
  <c r="S193" i="8"/>
  <c r="T193" i="8"/>
  <c r="U193" i="8"/>
  <c r="V193" i="8"/>
  <c r="W193" i="8"/>
  <c r="X193" i="8"/>
  <c r="Y193" i="8"/>
  <c r="Z193" i="8"/>
  <c r="AA193" i="8"/>
  <c r="AB193" i="8"/>
  <c r="AC193" i="8"/>
  <c r="AD193" i="8"/>
  <c r="AE193" i="8"/>
  <c r="AF193" i="8"/>
  <c r="AG193" i="8"/>
  <c r="AH193" i="8"/>
  <c r="AI193" i="8"/>
  <c r="AJ193" i="8"/>
  <c r="AK193" i="8"/>
  <c r="D194" i="8"/>
  <c r="E194" i="8"/>
  <c r="F194" i="8"/>
  <c r="G194" i="8"/>
  <c r="H194" i="8"/>
  <c r="I194" i="8"/>
  <c r="J194" i="8"/>
  <c r="K194" i="8"/>
  <c r="L194" i="8"/>
  <c r="M194" i="8"/>
  <c r="N194" i="8"/>
  <c r="O194" i="8"/>
  <c r="P194" i="8"/>
  <c r="Q194" i="8"/>
  <c r="R194" i="8"/>
  <c r="S194" i="8"/>
  <c r="T194" i="8"/>
  <c r="U194" i="8"/>
  <c r="V194" i="8"/>
  <c r="W194" i="8"/>
  <c r="X194" i="8"/>
  <c r="Y194" i="8"/>
  <c r="Z194" i="8"/>
  <c r="AA194" i="8"/>
  <c r="AB194" i="8"/>
  <c r="AC194" i="8"/>
  <c r="AD194" i="8"/>
  <c r="AE194" i="8"/>
  <c r="AF194" i="8"/>
  <c r="AG194" i="8"/>
  <c r="AH194" i="8"/>
  <c r="AI194" i="8"/>
  <c r="AJ194" i="8"/>
  <c r="AK194" i="8"/>
  <c r="D171" i="8"/>
  <c r="E171" i="8"/>
  <c r="F171" i="8"/>
  <c r="G171" i="8"/>
  <c r="H171" i="8"/>
  <c r="I171" i="8"/>
  <c r="J171" i="8"/>
  <c r="K171" i="8"/>
  <c r="L171" i="8"/>
  <c r="M171" i="8"/>
  <c r="N171" i="8"/>
  <c r="O171" i="8"/>
  <c r="P171" i="8"/>
  <c r="Q171" i="8"/>
  <c r="R171" i="8"/>
  <c r="S171" i="8"/>
  <c r="T171" i="8"/>
  <c r="U171" i="8"/>
  <c r="V171" i="8"/>
  <c r="W171" i="8"/>
  <c r="X171" i="8"/>
  <c r="Y171" i="8"/>
  <c r="Z171" i="8"/>
  <c r="AA171" i="8"/>
  <c r="AB171" i="8"/>
  <c r="AC171" i="8"/>
  <c r="AD171" i="8"/>
  <c r="AE171" i="8"/>
  <c r="AF171" i="8"/>
  <c r="AG171" i="8"/>
  <c r="AH171" i="8"/>
  <c r="AI171" i="8"/>
  <c r="AJ171" i="8"/>
  <c r="AK171" i="8"/>
  <c r="D172" i="8"/>
  <c r="E172" i="8"/>
  <c r="F172" i="8"/>
  <c r="G172" i="8"/>
  <c r="H172" i="8"/>
  <c r="I172" i="8"/>
  <c r="J172" i="8"/>
  <c r="K172" i="8"/>
  <c r="L172" i="8"/>
  <c r="M172" i="8"/>
  <c r="N172" i="8"/>
  <c r="O172" i="8"/>
  <c r="P172" i="8"/>
  <c r="Q172" i="8"/>
  <c r="R172" i="8"/>
  <c r="S172" i="8"/>
  <c r="T172" i="8"/>
  <c r="U172" i="8"/>
  <c r="V172" i="8"/>
  <c r="W172" i="8"/>
  <c r="X172" i="8"/>
  <c r="Y172" i="8"/>
  <c r="Z172" i="8"/>
  <c r="AA172" i="8"/>
  <c r="AB172" i="8"/>
  <c r="AC172" i="8"/>
  <c r="AD172" i="8"/>
  <c r="AE172" i="8"/>
  <c r="AF172" i="8"/>
  <c r="AG172" i="8"/>
  <c r="AH172" i="8"/>
  <c r="AI172" i="8"/>
  <c r="AJ172" i="8"/>
  <c r="AK172" i="8"/>
  <c r="D173" i="8"/>
  <c r="E173" i="8"/>
  <c r="F173" i="8"/>
  <c r="G173" i="8"/>
  <c r="H173" i="8"/>
  <c r="I173" i="8"/>
  <c r="J173" i="8"/>
  <c r="K173" i="8"/>
  <c r="L173" i="8"/>
  <c r="M173" i="8"/>
  <c r="N173" i="8"/>
  <c r="O173" i="8"/>
  <c r="P173" i="8"/>
  <c r="Q173" i="8"/>
  <c r="R173" i="8"/>
  <c r="S173" i="8"/>
  <c r="T173" i="8"/>
  <c r="U173" i="8"/>
  <c r="V173" i="8"/>
  <c r="W173" i="8"/>
  <c r="X173" i="8"/>
  <c r="Y173" i="8"/>
  <c r="Z173" i="8"/>
  <c r="AA173" i="8"/>
  <c r="AB173" i="8"/>
  <c r="AC173" i="8"/>
  <c r="AD173" i="8"/>
  <c r="AE173" i="8"/>
  <c r="AF173" i="8"/>
  <c r="AG173" i="8"/>
  <c r="AH173" i="8"/>
  <c r="AI173" i="8"/>
  <c r="AJ173" i="8"/>
  <c r="AK173" i="8"/>
  <c r="D174" i="8"/>
  <c r="E174" i="8"/>
  <c r="F174" i="8"/>
  <c r="G174" i="8"/>
  <c r="H174" i="8"/>
  <c r="I174" i="8"/>
  <c r="J174" i="8"/>
  <c r="K174" i="8"/>
  <c r="L174" i="8"/>
  <c r="M174" i="8"/>
  <c r="N174" i="8"/>
  <c r="O174" i="8"/>
  <c r="P174" i="8"/>
  <c r="Q174" i="8"/>
  <c r="R174" i="8"/>
  <c r="S174" i="8"/>
  <c r="T174" i="8"/>
  <c r="U174" i="8"/>
  <c r="V174" i="8"/>
  <c r="W174" i="8"/>
  <c r="X174" i="8"/>
  <c r="Y174" i="8"/>
  <c r="Z174" i="8"/>
  <c r="AA174" i="8"/>
  <c r="AB174" i="8"/>
  <c r="AC174" i="8"/>
  <c r="AD174" i="8"/>
  <c r="AE174" i="8"/>
  <c r="AF174" i="8"/>
  <c r="AG174" i="8"/>
  <c r="AH174" i="8"/>
  <c r="AI174" i="8"/>
  <c r="AJ174" i="8"/>
  <c r="AK174" i="8"/>
  <c r="C172" i="8"/>
  <c r="C173" i="8"/>
  <c r="C174" i="8"/>
  <c r="C175" i="8"/>
  <c r="C176" i="8"/>
  <c r="C177" i="8"/>
  <c r="C178" i="8"/>
  <c r="C179" i="8"/>
  <c r="C180" i="8"/>
  <c r="C181" i="8"/>
  <c r="C182" i="8"/>
  <c r="C183" i="8"/>
  <c r="C184" i="8"/>
  <c r="C185" i="8"/>
  <c r="C186" i="8"/>
  <c r="C187" i="8"/>
  <c r="C188" i="8"/>
  <c r="C189" i="8"/>
  <c r="C190" i="8"/>
  <c r="C191" i="8"/>
  <c r="C192" i="8"/>
  <c r="C193" i="8"/>
  <c r="C194" i="8"/>
  <c r="C171" i="8"/>
  <c r="D167" i="8"/>
  <c r="E167" i="8"/>
  <c r="F167" i="8"/>
  <c r="G167" i="8"/>
  <c r="H167" i="8"/>
  <c r="I167" i="8"/>
  <c r="J167" i="8"/>
  <c r="K167" i="8"/>
  <c r="L167" i="8"/>
  <c r="M167" i="8"/>
  <c r="N167" i="8"/>
  <c r="O167" i="8"/>
  <c r="P167" i="8"/>
  <c r="Q167" i="8"/>
  <c r="R167" i="8"/>
  <c r="S167" i="8"/>
  <c r="T167" i="8"/>
  <c r="U167" i="8"/>
  <c r="V167" i="8"/>
  <c r="W167" i="8"/>
  <c r="X167" i="8"/>
  <c r="Y167" i="8"/>
  <c r="Z167" i="8"/>
  <c r="AA167" i="8"/>
  <c r="AB167" i="8"/>
  <c r="AC167" i="8"/>
  <c r="AD167" i="8"/>
  <c r="AE167" i="8"/>
  <c r="AF167" i="8"/>
  <c r="AG167" i="8"/>
  <c r="AH167" i="8"/>
  <c r="AI167" i="8"/>
  <c r="AJ167" i="8"/>
  <c r="AK167" i="8"/>
  <c r="D168" i="8"/>
  <c r="E168" i="8"/>
  <c r="F168" i="8"/>
  <c r="G168" i="8"/>
  <c r="H168" i="8"/>
  <c r="I168" i="8"/>
  <c r="J168" i="8"/>
  <c r="K168" i="8"/>
  <c r="L168" i="8"/>
  <c r="M168" i="8"/>
  <c r="N168" i="8"/>
  <c r="O168" i="8"/>
  <c r="P168" i="8"/>
  <c r="Q168" i="8"/>
  <c r="R168" i="8"/>
  <c r="S168" i="8"/>
  <c r="T168" i="8"/>
  <c r="U168" i="8"/>
  <c r="V168" i="8"/>
  <c r="W168" i="8"/>
  <c r="X168" i="8"/>
  <c r="Y168" i="8"/>
  <c r="Z168" i="8"/>
  <c r="AA168" i="8"/>
  <c r="AB168" i="8"/>
  <c r="AC168" i="8"/>
  <c r="AD168" i="8"/>
  <c r="AE168" i="8"/>
  <c r="AF168" i="8"/>
  <c r="AG168" i="8"/>
  <c r="AH168" i="8"/>
  <c r="AI168" i="8"/>
  <c r="AJ168" i="8"/>
  <c r="AK168" i="8"/>
  <c r="D169" i="8"/>
  <c r="E169" i="8"/>
  <c r="F169" i="8"/>
  <c r="G169" i="8"/>
  <c r="H169" i="8"/>
  <c r="I169" i="8"/>
  <c r="J169" i="8"/>
  <c r="K169" i="8"/>
  <c r="L169" i="8"/>
  <c r="M169" i="8"/>
  <c r="N169" i="8"/>
  <c r="O169" i="8"/>
  <c r="P169" i="8"/>
  <c r="Q169" i="8"/>
  <c r="R169" i="8"/>
  <c r="S169" i="8"/>
  <c r="T169" i="8"/>
  <c r="U169" i="8"/>
  <c r="V169" i="8"/>
  <c r="W169" i="8"/>
  <c r="X169" i="8"/>
  <c r="Y169" i="8"/>
  <c r="Z169" i="8"/>
  <c r="AA169" i="8"/>
  <c r="AB169" i="8"/>
  <c r="AC169" i="8"/>
  <c r="AD169" i="8"/>
  <c r="AE169" i="8"/>
  <c r="AF169" i="8"/>
  <c r="AG169" i="8"/>
  <c r="AH169" i="8"/>
  <c r="AI169" i="8"/>
  <c r="AJ169" i="8"/>
  <c r="AK169" i="8"/>
  <c r="D170" i="8"/>
  <c r="E170" i="8"/>
  <c r="F170" i="8"/>
  <c r="G170" i="8"/>
  <c r="H170" i="8"/>
  <c r="I170" i="8"/>
  <c r="J170" i="8"/>
  <c r="K170" i="8"/>
  <c r="L170" i="8"/>
  <c r="M170" i="8"/>
  <c r="N170" i="8"/>
  <c r="O170" i="8"/>
  <c r="P170" i="8"/>
  <c r="Q170" i="8"/>
  <c r="R170" i="8"/>
  <c r="S170" i="8"/>
  <c r="T170" i="8"/>
  <c r="U170" i="8"/>
  <c r="V170" i="8"/>
  <c r="W170" i="8"/>
  <c r="X170" i="8"/>
  <c r="Y170" i="8"/>
  <c r="Z170" i="8"/>
  <c r="AA170" i="8"/>
  <c r="AB170" i="8"/>
  <c r="AC170" i="8"/>
  <c r="AD170" i="8"/>
  <c r="AE170" i="8"/>
  <c r="AF170" i="8"/>
  <c r="AG170" i="8"/>
  <c r="AH170" i="8"/>
  <c r="AI170" i="8"/>
  <c r="AJ170" i="8"/>
  <c r="AK170" i="8"/>
  <c r="C168" i="8"/>
  <c r="C169" i="8"/>
  <c r="C170" i="8"/>
  <c r="C167" i="8"/>
  <c r="C165" i="8"/>
  <c r="C166" i="8"/>
  <c r="B101" i="8"/>
  <c r="C152" i="8"/>
  <c r="D152" i="8"/>
  <c r="E152" i="8"/>
  <c r="F152" i="8"/>
  <c r="G152" i="8"/>
  <c r="H152" i="8"/>
  <c r="I152" i="8"/>
  <c r="J152" i="8"/>
  <c r="K152" i="8"/>
  <c r="L152" i="8"/>
  <c r="M152" i="8"/>
  <c r="N152" i="8"/>
  <c r="O152" i="8"/>
  <c r="P152" i="8"/>
  <c r="Q152" i="8"/>
  <c r="R152" i="8"/>
  <c r="S152" i="8"/>
  <c r="T152" i="8"/>
  <c r="U152" i="8"/>
  <c r="V152" i="8"/>
  <c r="W152" i="8"/>
  <c r="X152" i="8"/>
  <c r="Y152" i="8"/>
  <c r="Z152" i="8"/>
  <c r="AA152" i="8"/>
  <c r="AB152" i="8"/>
  <c r="AC152" i="8"/>
  <c r="AD152" i="8"/>
  <c r="AE152" i="8"/>
  <c r="AF152" i="8"/>
  <c r="AG152" i="8"/>
  <c r="AH152" i="8"/>
  <c r="AI152" i="8"/>
  <c r="AJ152" i="8"/>
  <c r="AK152" i="8"/>
  <c r="C153" i="8"/>
  <c r="D153" i="8"/>
  <c r="E153" i="8"/>
  <c r="F153" i="8"/>
  <c r="G153" i="8"/>
  <c r="H153" i="8"/>
  <c r="I153" i="8"/>
  <c r="J153" i="8"/>
  <c r="K153" i="8"/>
  <c r="L153" i="8"/>
  <c r="M153" i="8"/>
  <c r="N153" i="8"/>
  <c r="O153" i="8"/>
  <c r="P153" i="8"/>
  <c r="Q153" i="8"/>
  <c r="R153" i="8"/>
  <c r="S153" i="8"/>
  <c r="T153" i="8"/>
  <c r="U153" i="8"/>
  <c r="V153" i="8"/>
  <c r="W153" i="8"/>
  <c r="X153" i="8"/>
  <c r="Y153" i="8"/>
  <c r="Z153" i="8"/>
  <c r="AA153" i="8"/>
  <c r="AB153" i="8"/>
  <c r="AC153" i="8"/>
  <c r="AD153" i="8"/>
  <c r="AE153" i="8"/>
  <c r="AF153" i="8"/>
  <c r="AG153" i="8"/>
  <c r="AH153" i="8"/>
  <c r="AI153" i="8"/>
  <c r="AJ153" i="8"/>
  <c r="AK153" i="8"/>
  <c r="C154" i="8"/>
  <c r="D154" i="8"/>
  <c r="E154" i="8"/>
  <c r="F154" i="8"/>
  <c r="G154" i="8"/>
  <c r="H154" i="8"/>
  <c r="I154" i="8"/>
  <c r="J154" i="8"/>
  <c r="K154" i="8"/>
  <c r="L154" i="8"/>
  <c r="M154" i="8"/>
  <c r="N154" i="8"/>
  <c r="O154" i="8"/>
  <c r="P154" i="8"/>
  <c r="Q154" i="8"/>
  <c r="R154" i="8"/>
  <c r="S154" i="8"/>
  <c r="T154" i="8"/>
  <c r="U154" i="8"/>
  <c r="V154" i="8"/>
  <c r="W154" i="8"/>
  <c r="X154" i="8"/>
  <c r="Y154" i="8"/>
  <c r="Z154" i="8"/>
  <c r="AA154" i="8"/>
  <c r="AB154" i="8"/>
  <c r="AC154" i="8"/>
  <c r="AD154" i="8"/>
  <c r="AE154" i="8"/>
  <c r="AF154" i="8"/>
  <c r="AG154" i="8"/>
  <c r="AH154" i="8"/>
  <c r="AI154" i="8"/>
  <c r="AJ154" i="8"/>
  <c r="AK154" i="8"/>
  <c r="C155" i="8"/>
  <c r="D155" i="8"/>
  <c r="E155" i="8"/>
  <c r="F155" i="8"/>
  <c r="G155" i="8"/>
  <c r="H155" i="8"/>
  <c r="I155" i="8"/>
  <c r="J155" i="8"/>
  <c r="K155" i="8"/>
  <c r="L155" i="8"/>
  <c r="M155" i="8"/>
  <c r="N155" i="8"/>
  <c r="O155" i="8"/>
  <c r="P155" i="8"/>
  <c r="Q155" i="8"/>
  <c r="R155" i="8"/>
  <c r="S155" i="8"/>
  <c r="T155" i="8"/>
  <c r="U155" i="8"/>
  <c r="V155" i="8"/>
  <c r="W155" i="8"/>
  <c r="X155" i="8"/>
  <c r="Y155" i="8"/>
  <c r="Z155" i="8"/>
  <c r="AA155" i="8"/>
  <c r="AB155" i="8"/>
  <c r="AC155" i="8"/>
  <c r="AD155" i="8"/>
  <c r="AE155" i="8"/>
  <c r="AF155" i="8"/>
  <c r="AG155" i="8"/>
  <c r="AH155" i="8"/>
  <c r="AI155" i="8"/>
  <c r="AJ155" i="8"/>
  <c r="AK155" i="8"/>
  <c r="C156" i="8"/>
  <c r="D156" i="8"/>
  <c r="E156" i="8"/>
  <c r="F156" i="8"/>
  <c r="G156" i="8"/>
  <c r="H156" i="8"/>
  <c r="I156" i="8"/>
  <c r="J156" i="8"/>
  <c r="K156" i="8"/>
  <c r="L156" i="8"/>
  <c r="M156" i="8"/>
  <c r="N156" i="8"/>
  <c r="O156" i="8"/>
  <c r="P156" i="8"/>
  <c r="Q156" i="8"/>
  <c r="R156" i="8"/>
  <c r="S156" i="8"/>
  <c r="T156" i="8"/>
  <c r="U156" i="8"/>
  <c r="V156" i="8"/>
  <c r="W156" i="8"/>
  <c r="X156" i="8"/>
  <c r="Y156" i="8"/>
  <c r="Z156" i="8"/>
  <c r="AA156" i="8"/>
  <c r="AB156" i="8"/>
  <c r="AC156" i="8"/>
  <c r="AD156" i="8"/>
  <c r="AE156" i="8"/>
  <c r="AF156" i="8"/>
  <c r="AG156" i="8"/>
  <c r="AH156" i="8"/>
  <c r="AI156" i="8"/>
  <c r="AJ156" i="8"/>
  <c r="AK156" i="8"/>
  <c r="C157" i="8"/>
  <c r="D157" i="8"/>
  <c r="E157" i="8"/>
  <c r="F157" i="8"/>
  <c r="G157" i="8"/>
  <c r="H157" i="8"/>
  <c r="I157" i="8"/>
  <c r="J157" i="8"/>
  <c r="K157" i="8"/>
  <c r="L157" i="8"/>
  <c r="M157" i="8"/>
  <c r="N157" i="8"/>
  <c r="O157" i="8"/>
  <c r="P157" i="8"/>
  <c r="Q157" i="8"/>
  <c r="R157" i="8"/>
  <c r="S157" i="8"/>
  <c r="T157" i="8"/>
  <c r="U157" i="8"/>
  <c r="V157" i="8"/>
  <c r="W157" i="8"/>
  <c r="X157" i="8"/>
  <c r="Y157" i="8"/>
  <c r="Z157" i="8"/>
  <c r="AA157" i="8"/>
  <c r="AB157" i="8"/>
  <c r="AC157" i="8"/>
  <c r="AD157" i="8"/>
  <c r="AE157" i="8"/>
  <c r="AF157" i="8"/>
  <c r="AG157" i="8"/>
  <c r="AH157" i="8"/>
  <c r="AI157" i="8"/>
  <c r="AJ157" i="8"/>
  <c r="AK157" i="8"/>
  <c r="C151" i="8"/>
  <c r="D151" i="8"/>
  <c r="E151" i="8"/>
  <c r="F151" i="8"/>
  <c r="G151" i="8"/>
  <c r="H151" i="8"/>
  <c r="I151" i="8"/>
  <c r="J151" i="8"/>
  <c r="K151" i="8"/>
  <c r="L151" i="8"/>
  <c r="M151" i="8"/>
  <c r="N151" i="8"/>
  <c r="O151" i="8"/>
  <c r="P151" i="8"/>
  <c r="Q151" i="8"/>
  <c r="R151" i="8"/>
  <c r="S151" i="8"/>
  <c r="T151" i="8"/>
  <c r="U151" i="8"/>
  <c r="V151" i="8"/>
  <c r="W151" i="8"/>
  <c r="X151" i="8"/>
  <c r="Y151" i="8"/>
  <c r="Z151" i="8"/>
  <c r="AA151" i="8"/>
  <c r="AB151" i="8"/>
  <c r="AC151" i="8"/>
  <c r="AD151" i="8"/>
  <c r="AE151" i="8"/>
  <c r="AF151" i="8"/>
  <c r="AG151" i="8"/>
  <c r="AH151" i="8"/>
  <c r="AI151" i="8"/>
  <c r="AJ151" i="8"/>
  <c r="AK151" i="8"/>
  <c r="C102" i="8"/>
  <c r="D102" i="8"/>
  <c r="E102" i="8"/>
  <c r="F102" i="8"/>
  <c r="G102" i="8"/>
  <c r="H102" i="8"/>
  <c r="I102" i="8"/>
  <c r="J102" i="8"/>
  <c r="K102" i="8"/>
  <c r="L102" i="8"/>
  <c r="M102" i="8"/>
  <c r="N102" i="8"/>
  <c r="O102" i="8"/>
  <c r="P102" i="8"/>
  <c r="Q102" i="8"/>
  <c r="R102" i="8"/>
  <c r="S102" i="8"/>
  <c r="T102" i="8"/>
  <c r="U102" i="8"/>
  <c r="V102" i="8"/>
  <c r="W102" i="8"/>
  <c r="X102" i="8"/>
  <c r="Y102" i="8"/>
  <c r="Z102" i="8"/>
  <c r="AA102" i="8"/>
  <c r="AB102" i="8"/>
  <c r="AC102" i="8"/>
  <c r="AD102" i="8"/>
  <c r="AE102" i="8"/>
  <c r="AF102" i="8"/>
  <c r="AG102" i="8"/>
  <c r="AH102" i="8"/>
  <c r="AI102" i="8"/>
  <c r="AJ102" i="8"/>
  <c r="AK102" i="8"/>
  <c r="C103" i="8"/>
  <c r="D103" i="8"/>
  <c r="E103" i="8"/>
  <c r="F103" i="8"/>
  <c r="G103" i="8"/>
  <c r="H103" i="8"/>
  <c r="I103" i="8"/>
  <c r="J103" i="8"/>
  <c r="K103" i="8"/>
  <c r="L103" i="8"/>
  <c r="M103" i="8"/>
  <c r="N103" i="8"/>
  <c r="O103" i="8"/>
  <c r="P103" i="8"/>
  <c r="Q103" i="8"/>
  <c r="R103" i="8"/>
  <c r="S103" i="8"/>
  <c r="T103" i="8"/>
  <c r="U103" i="8"/>
  <c r="V103" i="8"/>
  <c r="W103" i="8"/>
  <c r="X103" i="8"/>
  <c r="Y103" i="8"/>
  <c r="Z103" i="8"/>
  <c r="AA103" i="8"/>
  <c r="AB103" i="8"/>
  <c r="AC103" i="8"/>
  <c r="AD103" i="8"/>
  <c r="AE103" i="8"/>
  <c r="AF103" i="8"/>
  <c r="AG103" i="8"/>
  <c r="AH103" i="8"/>
  <c r="AI103" i="8"/>
  <c r="AJ103" i="8"/>
  <c r="AK103" i="8"/>
  <c r="C104" i="8"/>
  <c r="D104" i="8"/>
  <c r="E104" i="8"/>
  <c r="F104" i="8"/>
  <c r="G104" i="8"/>
  <c r="H104" i="8"/>
  <c r="I104" i="8"/>
  <c r="J104" i="8"/>
  <c r="K104" i="8"/>
  <c r="L104" i="8"/>
  <c r="M104" i="8"/>
  <c r="N104" i="8"/>
  <c r="O104" i="8"/>
  <c r="P104" i="8"/>
  <c r="Q104" i="8"/>
  <c r="R104" i="8"/>
  <c r="S104" i="8"/>
  <c r="T104" i="8"/>
  <c r="U104" i="8"/>
  <c r="V104" i="8"/>
  <c r="W104" i="8"/>
  <c r="X104" i="8"/>
  <c r="Y104" i="8"/>
  <c r="Z104" i="8"/>
  <c r="AA104" i="8"/>
  <c r="AB104" i="8"/>
  <c r="AC104" i="8"/>
  <c r="AD104" i="8"/>
  <c r="AE104" i="8"/>
  <c r="AF104" i="8"/>
  <c r="AG104" i="8"/>
  <c r="AH104" i="8"/>
  <c r="AI104" i="8"/>
  <c r="AJ104" i="8"/>
  <c r="AK104" i="8"/>
  <c r="C105" i="8"/>
  <c r="D105" i="8"/>
  <c r="E105" i="8"/>
  <c r="F105" i="8"/>
  <c r="G105" i="8"/>
  <c r="H105" i="8"/>
  <c r="I105" i="8"/>
  <c r="J105" i="8"/>
  <c r="K105" i="8"/>
  <c r="L105" i="8"/>
  <c r="M105" i="8"/>
  <c r="N105" i="8"/>
  <c r="O105" i="8"/>
  <c r="P105" i="8"/>
  <c r="Q105" i="8"/>
  <c r="R105" i="8"/>
  <c r="S105" i="8"/>
  <c r="T105" i="8"/>
  <c r="U105" i="8"/>
  <c r="V105" i="8"/>
  <c r="W105" i="8"/>
  <c r="X105" i="8"/>
  <c r="Y105" i="8"/>
  <c r="Z105" i="8"/>
  <c r="AA105" i="8"/>
  <c r="AB105" i="8"/>
  <c r="AC105" i="8"/>
  <c r="AD105" i="8"/>
  <c r="AE105" i="8"/>
  <c r="AF105" i="8"/>
  <c r="AG105" i="8"/>
  <c r="AH105" i="8"/>
  <c r="AI105" i="8"/>
  <c r="AJ105" i="8"/>
  <c r="AK105" i="8"/>
  <c r="C106" i="8"/>
  <c r="D106" i="8"/>
  <c r="E106" i="8"/>
  <c r="F106" i="8"/>
  <c r="G106" i="8"/>
  <c r="H106" i="8"/>
  <c r="I106" i="8"/>
  <c r="J106" i="8"/>
  <c r="K106" i="8"/>
  <c r="L106" i="8"/>
  <c r="M106" i="8"/>
  <c r="N106" i="8"/>
  <c r="O106" i="8"/>
  <c r="P106" i="8"/>
  <c r="Q106" i="8"/>
  <c r="R106" i="8"/>
  <c r="S106" i="8"/>
  <c r="T106" i="8"/>
  <c r="U106" i="8"/>
  <c r="V106" i="8"/>
  <c r="W106" i="8"/>
  <c r="X106" i="8"/>
  <c r="Y106" i="8"/>
  <c r="Z106" i="8"/>
  <c r="AA106" i="8"/>
  <c r="AB106" i="8"/>
  <c r="AC106" i="8"/>
  <c r="AD106" i="8"/>
  <c r="AE106" i="8"/>
  <c r="AF106" i="8"/>
  <c r="AG106" i="8"/>
  <c r="AH106" i="8"/>
  <c r="AI106" i="8"/>
  <c r="AJ106" i="8"/>
  <c r="AK106" i="8"/>
  <c r="C107" i="8"/>
  <c r="D107" i="8"/>
  <c r="E107" i="8"/>
  <c r="F107" i="8"/>
  <c r="G107" i="8"/>
  <c r="H107" i="8"/>
  <c r="I107" i="8"/>
  <c r="J107" i="8"/>
  <c r="K107" i="8"/>
  <c r="L107" i="8"/>
  <c r="M107" i="8"/>
  <c r="N107" i="8"/>
  <c r="O107" i="8"/>
  <c r="P107" i="8"/>
  <c r="Q107" i="8"/>
  <c r="R107" i="8"/>
  <c r="S107" i="8"/>
  <c r="T107" i="8"/>
  <c r="U107" i="8"/>
  <c r="V107" i="8"/>
  <c r="W107" i="8"/>
  <c r="X107" i="8"/>
  <c r="Y107" i="8"/>
  <c r="Z107" i="8"/>
  <c r="AA107" i="8"/>
  <c r="AB107" i="8"/>
  <c r="AC107" i="8"/>
  <c r="AD107" i="8"/>
  <c r="AE107" i="8"/>
  <c r="AF107" i="8"/>
  <c r="AG107" i="8"/>
  <c r="AH107" i="8"/>
  <c r="AI107" i="8"/>
  <c r="AJ107" i="8"/>
  <c r="AK107" i="8"/>
  <c r="C108" i="8"/>
  <c r="D108" i="8"/>
  <c r="E108" i="8"/>
  <c r="F108" i="8"/>
  <c r="G108" i="8"/>
  <c r="H108" i="8"/>
  <c r="I108" i="8"/>
  <c r="J108" i="8"/>
  <c r="K108" i="8"/>
  <c r="L108" i="8"/>
  <c r="M108" i="8"/>
  <c r="N108" i="8"/>
  <c r="O108" i="8"/>
  <c r="P108" i="8"/>
  <c r="Q108" i="8"/>
  <c r="R108" i="8"/>
  <c r="S108" i="8"/>
  <c r="T108" i="8"/>
  <c r="U108" i="8"/>
  <c r="V108" i="8"/>
  <c r="W108" i="8"/>
  <c r="X108" i="8"/>
  <c r="Y108" i="8"/>
  <c r="Z108" i="8"/>
  <c r="AA108" i="8"/>
  <c r="AB108" i="8"/>
  <c r="AC108" i="8"/>
  <c r="AD108" i="8"/>
  <c r="AE108" i="8"/>
  <c r="AF108" i="8"/>
  <c r="AG108" i="8"/>
  <c r="AH108" i="8"/>
  <c r="AI108" i="8"/>
  <c r="AJ108" i="8"/>
  <c r="AK108" i="8"/>
  <c r="C109" i="8"/>
  <c r="D109" i="8"/>
  <c r="E109" i="8"/>
  <c r="F109" i="8"/>
  <c r="G109" i="8"/>
  <c r="H109" i="8"/>
  <c r="I109" i="8"/>
  <c r="J109" i="8"/>
  <c r="K109" i="8"/>
  <c r="L109" i="8"/>
  <c r="M109" i="8"/>
  <c r="N109" i="8"/>
  <c r="O109" i="8"/>
  <c r="P109" i="8"/>
  <c r="Q109" i="8"/>
  <c r="R109" i="8"/>
  <c r="S109" i="8"/>
  <c r="T109" i="8"/>
  <c r="U109" i="8"/>
  <c r="V109" i="8"/>
  <c r="W109" i="8"/>
  <c r="X109" i="8"/>
  <c r="Y109" i="8"/>
  <c r="Z109" i="8"/>
  <c r="AA109" i="8"/>
  <c r="AB109" i="8"/>
  <c r="AC109" i="8"/>
  <c r="AD109" i="8"/>
  <c r="AE109" i="8"/>
  <c r="AF109" i="8"/>
  <c r="AG109" i="8"/>
  <c r="AH109" i="8"/>
  <c r="AI109" i="8"/>
  <c r="AJ109" i="8"/>
  <c r="AK109" i="8"/>
  <c r="C110" i="8"/>
  <c r="D110" i="8"/>
  <c r="E110" i="8"/>
  <c r="F110" i="8"/>
  <c r="G110" i="8"/>
  <c r="H110" i="8"/>
  <c r="I110" i="8"/>
  <c r="J110" i="8"/>
  <c r="K110" i="8"/>
  <c r="L110" i="8"/>
  <c r="M110" i="8"/>
  <c r="N110" i="8"/>
  <c r="O110" i="8"/>
  <c r="P110" i="8"/>
  <c r="Q110" i="8"/>
  <c r="R110" i="8"/>
  <c r="S110" i="8"/>
  <c r="T110" i="8"/>
  <c r="U110" i="8"/>
  <c r="V110" i="8"/>
  <c r="W110" i="8"/>
  <c r="X110" i="8"/>
  <c r="Y110" i="8"/>
  <c r="Z110" i="8"/>
  <c r="AA110" i="8"/>
  <c r="AB110" i="8"/>
  <c r="AC110" i="8"/>
  <c r="AD110" i="8"/>
  <c r="AE110" i="8"/>
  <c r="AF110" i="8"/>
  <c r="AG110" i="8"/>
  <c r="AH110" i="8"/>
  <c r="AI110" i="8"/>
  <c r="AJ110" i="8"/>
  <c r="AK110" i="8"/>
  <c r="C111" i="8"/>
  <c r="D111" i="8"/>
  <c r="E111" i="8"/>
  <c r="F111" i="8"/>
  <c r="G111" i="8"/>
  <c r="H111" i="8"/>
  <c r="I111" i="8"/>
  <c r="J111" i="8"/>
  <c r="K111" i="8"/>
  <c r="L111" i="8"/>
  <c r="M111" i="8"/>
  <c r="N111" i="8"/>
  <c r="O111" i="8"/>
  <c r="P111" i="8"/>
  <c r="Q111" i="8"/>
  <c r="R111" i="8"/>
  <c r="S111" i="8"/>
  <c r="T111" i="8"/>
  <c r="U111" i="8"/>
  <c r="V111" i="8"/>
  <c r="W111" i="8"/>
  <c r="X111" i="8"/>
  <c r="Y111" i="8"/>
  <c r="Z111" i="8"/>
  <c r="AA111" i="8"/>
  <c r="AB111" i="8"/>
  <c r="AC111" i="8"/>
  <c r="AD111" i="8"/>
  <c r="AE111" i="8"/>
  <c r="AF111" i="8"/>
  <c r="AG111" i="8"/>
  <c r="AH111" i="8"/>
  <c r="AI111" i="8"/>
  <c r="AJ111" i="8"/>
  <c r="AK111" i="8"/>
  <c r="C112" i="8"/>
  <c r="D112" i="8"/>
  <c r="E112" i="8"/>
  <c r="F112" i="8"/>
  <c r="G112" i="8"/>
  <c r="H112" i="8"/>
  <c r="I112" i="8"/>
  <c r="J112" i="8"/>
  <c r="K112" i="8"/>
  <c r="L112" i="8"/>
  <c r="M112" i="8"/>
  <c r="N112" i="8"/>
  <c r="O112" i="8"/>
  <c r="P112" i="8"/>
  <c r="Q112" i="8"/>
  <c r="R112" i="8"/>
  <c r="S112" i="8"/>
  <c r="T112" i="8"/>
  <c r="U112" i="8"/>
  <c r="V112" i="8"/>
  <c r="W112" i="8"/>
  <c r="X112" i="8"/>
  <c r="Y112" i="8"/>
  <c r="Z112" i="8"/>
  <c r="AA112" i="8"/>
  <c r="AB112" i="8"/>
  <c r="AC112" i="8"/>
  <c r="AD112" i="8"/>
  <c r="AE112" i="8"/>
  <c r="AF112" i="8"/>
  <c r="AG112" i="8"/>
  <c r="AH112" i="8"/>
  <c r="AI112" i="8"/>
  <c r="AJ112" i="8"/>
  <c r="AK112" i="8"/>
  <c r="C113" i="8"/>
  <c r="D113" i="8"/>
  <c r="E113" i="8"/>
  <c r="F113" i="8"/>
  <c r="G113" i="8"/>
  <c r="H113" i="8"/>
  <c r="I113" i="8"/>
  <c r="J113" i="8"/>
  <c r="K113" i="8"/>
  <c r="L113" i="8"/>
  <c r="M113" i="8"/>
  <c r="N113" i="8"/>
  <c r="O113" i="8"/>
  <c r="P113" i="8"/>
  <c r="Q113" i="8"/>
  <c r="R113" i="8"/>
  <c r="S113" i="8"/>
  <c r="T113" i="8"/>
  <c r="U113" i="8"/>
  <c r="V113" i="8"/>
  <c r="W113" i="8"/>
  <c r="X113" i="8"/>
  <c r="Y113" i="8"/>
  <c r="Z113" i="8"/>
  <c r="AA113" i="8"/>
  <c r="AB113" i="8"/>
  <c r="AC113" i="8"/>
  <c r="AD113" i="8"/>
  <c r="AE113" i="8"/>
  <c r="AF113" i="8"/>
  <c r="AG113" i="8"/>
  <c r="AH113" i="8"/>
  <c r="AI113" i="8"/>
  <c r="AJ113" i="8"/>
  <c r="AK113" i="8"/>
  <c r="C114" i="8"/>
  <c r="D114" i="8"/>
  <c r="E114" i="8"/>
  <c r="F114" i="8"/>
  <c r="G114" i="8"/>
  <c r="H114" i="8"/>
  <c r="I114" i="8"/>
  <c r="J114" i="8"/>
  <c r="K114" i="8"/>
  <c r="L114" i="8"/>
  <c r="M114" i="8"/>
  <c r="N114" i="8"/>
  <c r="O114" i="8"/>
  <c r="P114" i="8"/>
  <c r="Q114" i="8"/>
  <c r="R114" i="8"/>
  <c r="S114" i="8"/>
  <c r="T114" i="8"/>
  <c r="U114" i="8"/>
  <c r="V114" i="8"/>
  <c r="W114" i="8"/>
  <c r="X114" i="8"/>
  <c r="Y114" i="8"/>
  <c r="Z114" i="8"/>
  <c r="AA114" i="8"/>
  <c r="AB114" i="8"/>
  <c r="AC114" i="8"/>
  <c r="AD114" i="8"/>
  <c r="AE114" i="8"/>
  <c r="AF114" i="8"/>
  <c r="AG114" i="8"/>
  <c r="AH114" i="8"/>
  <c r="AI114" i="8"/>
  <c r="AJ114" i="8"/>
  <c r="AK114" i="8"/>
  <c r="C115" i="8"/>
  <c r="D115" i="8"/>
  <c r="E115" i="8"/>
  <c r="F115" i="8"/>
  <c r="G115" i="8"/>
  <c r="H115" i="8"/>
  <c r="I115" i="8"/>
  <c r="J115" i="8"/>
  <c r="K115" i="8"/>
  <c r="L115" i="8"/>
  <c r="M115" i="8"/>
  <c r="N115" i="8"/>
  <c r="O115" i="8"/>
  <c r="P115" i="8"/>
  <c r="Q115" i="8"/>
  <c r="R115" i="8"/>
  <c r="S115" i="8"/>
  <c r="T115" i="8"/>
  <c r="U115" i="8"/>
  <c r="V115" i="8"/>
  <c r="W115" i="8"/>
  <c r="X115" i="8"/>
  <c r="Y115" i="8"/>
  <c r="Z115" i="8"/>
  <c r="AA115" i="8"/>
  <c r="AB115" i="8"/>
  <c r="AC115" i="8"/>
  <c r="AD115" i="8"/>
  <c r="AE115" i="8"/>
  <c r="AF115" i="8"/>
  <c r="AG115" i="8"/>
  <c r="AH115" i="8"/>
  <c r="AI115" i="8"/>
  <c r="AJ115" i="8"/>
  <c r="AK115" i="8"/>
  <c r="C116" i="8"/>
  <c r="D116" i="8"/>
  <c r="E116" i="8"/>
  <c r="F116" i="8"/>
  <c r="G116" i="8"/>
  <c r="H116" i="8"/>
  <c r="I116" i="8"/>
  <c r="J116" i="8"/>
  <c r="K116" i="8"/>
  <c r="L116" i="8"/>
  <c r="M116" i="8"/>
  <c r="N116" i="8"/>
  <c r="O116" i="8"/>
  <c r="P116" i="8"/>
  <c r="Q116" i="8"/>
  <c r="R116" i="8"/>
  <c r="S116" i="8"/>
  <c r="T116" i="8"/>
  <c r="U116" i="8"/>
  <c r="V116" i="8"/>
  <c r="W116" i="8"/>
  <c r="X116" i="8"/>
  <c r="Y116" i="8"/>
  <c r="Z116" i="8"/>
  <c r="AA116" i="8"/>
  <c r="AB116" i="8"/>
  <c r="AC116" i="8"/>
  <c r="AD116" i="8"/>
  <c r="AE116" i="8"/>
  <c r="AF116" i="8"/>
  <c r="AG116" i="8"/>
  <c r="AH116" i="8"/>
  <c r="AI116" i="8"/>
  <c r="AJ116" i="8"/>
  <c r="AK116" i="8"/>
  <c r="C117" i="8"/>
  <c r="D117" i="8"/>
  <c r="E117" i="8"/>
  <c r="F117" i="8"/>
  <c r="G117" i="8"/>
  <c r="H117" i="8"/>
  <c r="I117" i="8"/>
  <c r="J117" i="8"/>
  <c r="K117" i="8"/>
  <c r="L117" i="8"/>
  <c r="M117" i="8"/>
  <c r="N117" i="8"/>
  <c r="O117" i="8"/>
  <c r="P117" i="8"/>
  <c r="Q117" i="8"/>
  <c r="R117" i="8"/>
  <c r="S117" i="8"/>
  <c r="T117" i="8"/>
  <c r="U117" i="8"/>
  <c r="V117" i="8"/>
  <c r="W117" i="8"/>
  <c r="X117" i="8"/>
  <c r="Y117" i="8"/>
  <c r="Z117" i="8"/>
  <c r="AA117" i="8"/>
  <c r="AB117" i="8"/>
  <c r="AC117" i="8"/>
  <c r="AD117" i="8"/>
  <c r="AE117" i="8"/>
  <c r="AF117" i="8"/>
  <c r="AG117" i="8"/>
  <c r="AH117" i="8"/>
  <c r="AI117" i="8"/>
  <c r="AJ117" i="8"/>
  <c r="AK117" i="8"/>
  <c r="C118" i="8"/>
  <c r="D118" i="8"/>
  <c r="E118" i="8"/>
  <c r="F118" i="8"/>
  <c r="G118" i="8"/>
  <c r="H118" i="8"/>
  <c r="I118" i="8"/>
  <c r="J118" i="8"/>
  <c r="K118" i="8"/>
  <c r="L118" i="8"/>
  <c r="M118" i="8"/>
  <c r="N118" i="8"/>
  <c r="O118" i="8"/>
  <c r="P118" i="8"/>
  <c r="Q118" i="8"/>
  <c r="R118" i="8"/>
  <c r="S118" i="8"/>
  <c r="T118" i="8"/>
  <c r="U118" i="8"/>
  <c r="V118" i="8"/>
  <c r="W118" i="8"/>
  <c r="X118" i="8"/>
  <c r="Y118" i="8"/>
  <c r="Z118" i="8"/>
  <c r="AA118" i="8"/>
  <c r="AB118" i="8"/>
  <c r="AC118" i="8"/>
  <c r="AD118" i="8"/>
  <c r="AE118" i="8"/>
  <c r="AF118" i="8"/>
  <c r="AG118" i="8"/>
  <c r="AH118" i="8"/>
  <c r="AI118" i="8"/>
  <c r="AJ118" i="8"/>
  <c r="AK118" i="8"/>
  <c r="C119" i="8"/>
  <c r="D119" i="8"/>
  <c r="E119" i="8"/>
  <c r="F119" i="8"/>
  <c r="G119" i="8"/>
  <c r="H119" i="8"/>
  <c r="I119" i="8"/>
  <c r="J119" i="8"/>
  <c r="K119" i="8"/>
  <c r="L119" i="8"/>
  <c r="M119" i="8"/>
  <c r="N119" i="8"/>
  <c r="O119" i="8"/>
  <c r="P119" i="8"/>
  <c r="Q119" i="8"/>
  <c r="R119" i="8"/>
  <c r="S119" i="8"/>
  <c r="T119" i="8"/>
  <c r="U119" i="8"/>
  <c r="V119" i="8"/>
  <c r="W119" i="8"/>
  <c r="X119" i="8"/>
  <c r="Y119" i="8"/>
  <c r="Z119" i="8"/>
  <c r="AA119" i="8"/>
  <c r="AB119" i="8"/>
  <c r="AC119" i="8"/>
  <c r="AD119" i="8"/>
  <c r="AE119" i="8"/>
  <c r="AF119" i="8"/>
  <c r="AG119" i="8"/>
  <c r="AH119" i="8"/>
  <c r="AI119" i="8"/>
  <c r="AJ119" i="8"/>
  <c r="AK119" i="8"/>
  <c r="C120" i="8"/>
  <c r="D120" i="8"/>
  <c r="E120" i="8"/>
  <c r="F120" i="8"/>
  <c r="G120" i="8"/>
  <c r="H120" i="8"/>
  <c r="I120" i="8"/>
  <c r="J120" i="8"/>
  <c r="K120" i="8"/>
  <c r="L120" i="8"/>
  <c r="M120" i="8"/>
  <c r="N120" i="8"/>
  <c r="O120" i="8"/>
  <c r="P120" i="8"/>
  <c r="Q120" i="8"/>
  <c r="R120" i="8"/>
  <c r="S120" i="8"/>
  <c r="T120" i="8"/>
  <c r="U120" i="8"/>
  <c r="V120" i="8"/>
  <c r="W120" i="8"/>
  <c r="X120" i="8"/>
  <c r="Y120" i="8"/>
  <c r="Z120" i="8"/>
  <c r="AA120" i="8"/>
  <c r="AB120" i="8"/>
  <c r="AC120" i="8"/>
  <c r="AD120" i="8"/>
  <c r="AE120" i="8"/>
  <c r="AF120" i="8"/>
  <c r="AG120" i="8"/>
  <c r="AH120" i="8"/>
  <c r="AI120" i="8"/>
  <c r="AJ120" i="8"/>
  <c r="AK120" i="8"/>
  <c r="C121" i="8"/>
  <c r="D121" i="8"/>
  <c r="E121" i="8"/>
  <c r="F121" i="8"/>
  <c r="G121" i="8"/>
  <c r="H121" i="8"/>
  <c r="I121" i="8"/>
  <c r="J121" i="8"/>
  <c r="K121" i="8"/>
  <c r="L121" i="8"/>
  <c r="M121" i="8"/>
  <c r="N121" i="8"/>
  <c r="O121" i="8"/>
  <c r="P121" i="8"/>
  <c r="Q121" i="8"/>
  <c r="R121" i="8"/>
  <c r="S121" i="8"/>
  <c r="T121" i="8"/>
  <c r="U121" i="8"/>
  <c r="V121" i="8"/>
  <c r="W121" i="8"/>
  <c r="X121" i="8"/>
  <c r="Y121" i="8"/>
  <c r="Z121" i="8"/>
  <c r="AA121" i="8"/>
  <c r="AB121" i="8"/>
  <c r="AC121" i="8"/>
  <c r="AD121" i="8"/>
  <c r="AE121" i="8"/>
  <c r="AF121" i="8"/>
  <c r="AG121" i="8"/>
  <c r="AH121" i="8"/>
  <c r="AI121" i="8"/>
  <c r="AJ121" i="8"/>
  <c r="AK121" i="8"/>
  <c r="C122" i="8"/>
  <c r="D122" i="8"/>
  <c r="E122" i="8"/>
  <c r="F122" i="8"/>
  <c r="G122" i="8"/>
  <c r="H122" i="8"/>
  <c r="I122" i="8"/>
  <c r="J122" i="8"/>
  <c r="K122" i="8"/>
  <c r="L122" i="8"/>
  <c r="M122" i="8"/>
  <c r="N122" i="8"/>
  <c r="O122" i="8"/>
  <c r="P122" i="8"/>
  <c r="Q122" i="8"/>
  <c r="R122" i="8"/>
  <c r="S122" i="8"/>
  <c r="T122" i="8"/>
  <c r="U122" i="8"/>
  <c r="V122" i="8"/>
  <c r="W122" i="8"/>
  <c r="X122" i="8"/>
  <c r="Y122" i="8"/>
  <c r="Z122" i="8"/>
  <c r="AA122" i="8"/>
  <c r="AB122" i="8"/>
  <c r="AC122" i="8"/>
  <c r="AD122" i="8"/>
  <c r="AE122" i="8"/>
  <c r="AF122" i="8"/>
  <c r="AG122" i="8"/>
  <c r="AH122" i="8"/>
  <c r="AI122" i="8"/>
  <c r="AJ122" i="8"/>
  <c r="AK122" i="8"/>
  <c r="C123" i="8"/>
  <c r="D123" i="8"/>
  <c r="E123" i="8"/>
  <c r="F123" i="8"/>
  <c r="G123" i="8"/>
  <c r="H123" i="8"/>
  <c r="I123" i="8"/>
  <c r="J123" i="8"/>
  <c r="K123" i="8"/>
  <c r="L123" i="8"/>
  <c r="M123" i="8"/>
  <c r="N123" i="8"/>
  <c r="O123" i="8"/>
  <c r="P123" i="8"/>
  <c r="Q123" i="8"/>
  <c r="R123" i="8"/>
  <c r="S123" i="8"/>
  <c r="T123" i="8"/>
  <c r="U123" i="8"/>
  <c r="V123" i="8"/>
  <c r="W123" i="8"/>
  <c r="X123" i="8"/>
  <c r="Y123" i="8"/>
  <c r="Z123" i="8"/>
  <c r="AA123" i="8"/>
  <c r="AB123" i="8"/>
  <c r="AC123" i="8"/>
  <c r="AD123" i="8"/>
  <c r="AE123" i="8"/>
  <c r="AF123" i="8"/>
  <c r="AG123" i="8"/>
  <c r="AH123" i="8"/>
  <c r="AI123" i="8"/>
  <c r="AJ123" i="8"/>
  <c r="AK123" i="8"/>
  <c r="C124" i="8"/>
  <c r="D124" i="8"/>
  <c r="E124" i="8"/>
  <c r="F124" i="8"/>
  <c r="G124" i="8"/>
  <c r="H124" i="8"/>
  <c r="I124" i="8"/>
  <c r="J124" i="8"/>
  <c r="K124" i="8"/>
  <c r="L124" i="8"/>
  <c r="M124" i="8"/>
  <c r="N124" i="8"/>
  <c r="O124" i="8"/>
  <c r="P124" i="8"/>
  <c r="Q124" i="8"/>
  <c r="R124" i="8"/>
  <c r="S124" i="8"/>
  <c r="T124" i="8"/>
  <c r="U124" i="8"/>
  <c r="V124" i="8"/>
  <c r="W124" i="8"/>
  <c r="X124" i="8"/>
  <c r="Y124" i="8"/>
  <c r="Z124" i="8"/>
  <c r="AA124" i="8"/>
  <c r="AB124" i="8"/>
  <c r="AC124" i="8"/>
  <c r="AD124" i="8"/>
  <c r="AE124" i="8"/>
  <c r="AF124" i="8"/>
  <c r="AG124" i="8"/>
  <c r="AH124" i="8"/>
  <c r="AI124" i="8"/>
  <c r="AJ124" i="8"/>
  <c r="AK124" i="8"/>
  <c r="C125" i="8"/>
  <c r="D125" i="8"/>
  <c r="E125" i="8"/>
  <c r="F125" i="8"/>
  <c r="G125" i="8"/>
  <c r="H125" i="8"/>
  <c r="I125" i="8"/>
  <c r="J125" i="8"/>
  <c r="K125" i="8"/>
  <c r="L125" i="8"/>
  <c r="M125" i="8"/>
  <c r="N125" i="8"/>
  <c r="O125" i="8"/>
  <c r="P125" i="8"/>
  <c r="Q125" i="8"/>
  <c r="R125" i="8"/>
  <c r="S125" i="8"/>
  <c r="T125" i="8"/>
  <c r="U125" i="8"/>
  <c r="V125" i="8"/>
  <c r="W125" i="8"/>
  <c r="X125" i="8"/>
  <c r="Y125" i="8"/>
  <c r="Z125" i="8"/>
  <c r="AA125" i="8"/>
  <c r="AB125" i="8"/>
  <c r="AC125" i="8"/>
  <c r="AD125" i="8"/>
  <c r="AE125" i="8"/>
  <c r="AF125" i="8"/>
  <c r="AG125" i="8"/>
  <c r="AH125" i="8"/>
  <c r="AI125" i="8"/>
  <c r="AJ125" i="8"/>
  <c r="AK125" i="8"/>
  <c r="C126" i="8"/>
  <c r="D126" i="8"/>
  <c r="E126" i="8"/>
  <c r="F126" i="8"/>
  <c r="G126" i="8"/>
  <c r="H126" i="8"/>
  <c r="I126" i="8"/>
  <c r="J126" i="8"/>
  <c r="K126" i="8"/>
  <c r="L126" i="8"/>
  <c r="M126" i="8"/>
  <c r="N126" i="8"/>
  <c r="O126" i="8"/>
  <c r="P126" i="8"/>
  <c r="Q126" i="8"/>
  <c r="R126" i="8"/>
  <c r="S126" i="8"/>
  <c r="T126" i="8"/>
  <c r="U126" i="8"/>
  <c r="V126" i="8"/>
  <c r="W126" i="8"/>
  <c r="X126" i="8"/>
  <c r="Y126" i="8"/>
  <c r="Z126" i="8"/>
  <c r="AA126" i="8"/>
  <c r="AB126" i="8"/>
  <c r="AC126" i="8"/>
  <c r="AD126" i="8"/>
  <c r="AE126" i="8"/>
  <c r="AF126" i="8"/>
  <c r="AG126" i="8"/>
  <c r="AH126" i="8"/>
  <c r="AI126" i="8"/>
  <c r="AJ126" i="8"/>
  <c r="AK126" i="8"/>
  <c r="C127" i="8"/>
  <c r="D127" i="8"/>
  <c r="E127" i="8"/>
  <c r="F127" i="8"/>
  <c r="G127" i="8"/>
  <c r="H127" i="8"/>
  <c r="I127" i="8"/>
  <c r="J127" i="8"/>
  <c r="K127" i="8"/>
  <c r="L127" i="8"/>
  <c r="M127" i="8"/>
  <c r="N127" i="8"/>
  <c r="O127" i="8"/>
  <c r="P127" i="8"/>
  <c r="Q127" i="8"/>
  <c r="R127" i="8"/>
  <c r="S127" i="8"/>
  <c r="T127" i="8"/>
  <c r="U127" i="8"/>
  <c r="V127" i="8"/>
  <c r="W127" i="8"/>
  <c r="X127" i="8"/>
  <c r="Y127" i="8"/>
  <c r="Z127" i="8"/>
  <c r="AA127" i="8"/>
  <c r="AB127" i="8"/>
  <c r="AC127" i="8"/>
  <c r="AD127" i="8"/>
  <c r="AE127" i="8"/>
  <c r="AF127" i="8"/>
  <c r="AG127" i="8"/>
  <c r="AH127" i="8"/>
  <c r="AI127" i="8"/>
  <c r="AJ127" i="8"/>
  <c r="AK127" i="8"/>
  <c r="C128" i="8"/>
  <c r="D128" i="8"/>
  <c r="E128" i="8"/>
  <c r="F128" i="8"/>
  <c r="G128" i="8"/>
  <c r="H128" i="8"/>
  <c r="I128" i="8"/>
  <c r="J128" i="8"/>
  <c r="K128" i="8"/>
  <c r="L128" i="8"/>
  <c r="M128" i="8"/>
  <c r="N128" i="8"/>
  <c r="O128" i="8"/>
  <c r="P128" i="8"/>
  <c r="Q128" i="8"/>
  <c r="R128" i="8"/>
  <c r="S128" i="8"/>
  <c r="T128" i="8"/>
  <c r="U128" i="8"/>
  <c r="V128" i="8"/>
  <c r="W128" i="8"/>
  <c r="X128" i="8"/>
  <c r="Y128" i="8"/>
  <c r="Z128" i="8"/>
  <c r="AA128" i="8"/>
  <c r="AB128" i="8"/>
  <c r="AC128" i="8"/>
  <c r="AD128" i="8"/>
  <c r="AE128" i="8"/>
  <c r="AF128" i="8"/>
  <c r="AG128" i="8"/>
  <c r="AH128" i="8"/>
  <c r="AI128" i="8"/>
  <c r="AJ128" i="8"/>
  <c r="AK128" i="8"/>
  <c r="C129" i="8"/>
  <c r="D129" i="8"/>
  <c r="E129" i="8"/>
  <c r="F129" i="8"/>
  <c r="G129" i="8"/>
  <c r="H129" i="8"/>
  <c r="I129" i="8"/>
  <c r="J129" i="8"/>
  <c r="K129" i="8"/>
  <c r="L129" i="8"/>
  <c r="M129" i="8"/>
  <c r="N129" i="8"/>
  <c r="O129" i="8"/>
  <c r="P129" i="8"/>
  <c r="Q129" i="8"/>
  <c r="R129" i="8"/>
  <c r="S129" i="8"/>
  <c r="T129" i="8"/>
  <c r="U129" i="8"/>
  <c r="V129" i="8"/>
  <c r="W129" i="8"/>
  <c r="X129" i="8"/>
  <c r="Y129" i="8"/>
  <c r="Z129" i="8"/>
  <c r="AA129" i="8"/>
  <c r="AB129" i="8"/>
  <c r="AC129" i="8"/>
  <c r="AD129" i="8"/>
  <c r="AE129" i="8"/>
  <c r="AF129" i="8"/>
  <c r="AG129" i="8"/>
  <c r="AH129" i="8"/>
  <c r="AI129" i="8"/>
  <c r="AJ129" i="8"/>
  <c r="AK129" i="8"/>
  <c r="C130" i="8"/>
  <c r="D130" i="8"/>
  <c r="E130" i="8"/>
  <c r="F130" i="8"/>
  <c r="G130" i="8"/>
  <c r="H130" i="8"/>
  <c r="I130" i="8"/>
  <c r="J130" i="8"/>
  <c r="K130" i="8"/>
  <c r="L130" i="8"/>
  <c r="M130" i="8"/>
  <c r="N130" i="8"/>
  <c r="O130" i="8"/>
  <c r="P130" i="8"/>
  <c r="Q130" i="8"/>
  <c r="R130" i="8"/>
  <c r="S130" i="8"/>
  <c r="T130" i="8"/>
  <c r="U130" i="8"/>
  <c r="V130" i="8"/>
  <c r="W130" i="8"/>
  <c r="X130" i="8"/>
  <c r="Y130" i="8"/>
  <c r="Z130" i="8"/>
  <c r="AA130" i="8"/>
  <c r="AB130" i="8"/>
  <c r="AC130" i="8"/>
  <c r="AD130" i="8"/>
  <c r="AE130" i="8"/>
  <c r="AF130" i="8"/>
  <c r="AG130" i="8"/>
  <c r="AH130" i="8"/>
  <c r="AI130" i="8"/>
  <c r="AJ130" i="8"/>
  <c r="AK130" i="8"/>
  <c r="C131" i="8"/>
  <c r="D131" i="8"/>
  <c r="E131" i="8"/>
  <c r="F131" i="8"/>
  <c r="G131" i="8"/>
  <c r="H131" i="8"/>
  <c r="I131" i="8"/>
  <c r="J131" i="8"/>
  <c r="K131" i="8"/>
  <c r="L131" i="8"/>
  <c r="M131" i="8"/>
  <c r="N131" i="8"/>
  <c r="O131" i="8"/>
  <c r="P131" i="8"/>
  <c r="Q131" i="8"/>
  <c r="R131" i="8"/>
  <c r="S131" i="8"/>
  <c r="T131" i="8"/>
  <c r="U131" i="8"/>
  <c r="V131" i="8"/>
  <c r="W131" i="8"/>
  <c r="X131" i="8"/>
  <c r="Y131" i="8"/>
  <c r="Z131" i="8"/>
  <c r="AA131" i="8"/>
  <c r="AB131" i="8"/>
  <c r="AC131" i="8"/>
  <c r="AD131" i="8"/>
  <c r="AE131" i="8"/>
  <c r="AF131" i="8"/>
  <c r="AG131" i="8"/>
  <c r="AH131" i="8"/>
  <c r="AI131" i="8"/>
  <c r="AJ131" i="8"/>
  <c r="AK131" i="8"/>
  <c r="C132" i="8"/>
  <c r="D132" i="8"/>
  <c r="E132" i="8"/>
  <c r="F132" i="8"/>
  <c r="G132" i="8"/>
  <c r="H132" i="8"/>
  <c r="I132" i="8"/>
  <c r="J132" i="8"/>
  <c r="K132" i="8"/>
  <c r="L132" i="8"/>
  <c r="M132" i="8"/>
  <c r="N132" i="8"/>
  <c r="O132" i="8"/>
  <c r="P132" i="8"/>
  <c r="Q132" i="8"/>
  <c r="R132" i="8"/>
  <c r="S132" i="8"/>
  <c r="T132" i="8"/>
  <c r="U132" i="8"/>
  <c r="V132" i="8"/>
  <c r="W132" i="8"/>
  <c r="X132" i="8"/>
  <c r="Y132" i="8"/>
  <c r="Z132" i="8"/>
  <c r="AA132" i="8"/>
  <c r="AB132" i="8"/>
  <c r="AC132" i="8"/>
  <c r="AD132" i="8"/>
  <c r="AE132" i="8"/>
  <c r="AF132" i="8"/>
  <c r="AG132" i="8"/>
  <c r="AH132" i="8"/>
  <c r="AI132" i="8"/>
  <c r="AJ132" i="8"/>
  <c r="AK132" i="8"/>
  <c r="C133" i="8"/>
  <c r="D133" i="8"/>
  <c r="E133" i="8"/>
  <c r="F133" i="8"/>
  <c r="G133" i="8"/>
  <c r="H133" i="8"/>
  <c r="I133" i="8"/>
  <c r="J133" i="8"/>
  <c r="K133" i="8"/>
  <c r="L133" i="8"/>
  <c r="M133" i="8"/>
  <c r="N133" i="8"/>
  <c r="O133" i="8"/>
  <c r="P133" i="8"/>
  <c r="Q133" i="8"/>
  <c r="R133" i="8"/>
  <c r="S133" i="8"/>
  <c r="T133" i="8"/>
  <c r="U133" i="8"/>
  <c r="V133" i="8"/>
  <c r="W133" i="8"/>
  <c r="X133" i="8"/>
  <c r="Y133" i="8"/>
  <c r="Z133" i="8"/>
  <c r="AA133" i="8"/>
  <c r="AB133" i="8"/>
  <c r="AC133" i="8"/>
  <c r="AD133" i="8"/>
  <c r="AE133" i="8"/>
  <c r="AF133" i="8"/>
  <c r="AG133" i="8"/>
  <c r="AH133" i="8"/>
  <c r="AI133" i="8"/>
  <c r="AJ133" i="8"/>
  <c r="AK133" i="8"/>
  <c r="C134" i="8"/>
  <c r="D134" i="8"/>
  <c r="E134" i="8"/>
  <c r="F134" i="8"/>
  <c r="G134" i="8"/>
  <c r="H134" i="8"/>
  <c r="I134" i="8"/>
  <c r="J134" i="8"/>
  <c r="K134" i="8"/>
  <c r="L134" i="8"/>
  <c r="M134" i="8"/>
  <c r="N134" i="8"/>
  <c r="O134" i="8"/>
  <c r="P134" i="8"/>
  <c r="Q134" i="8"/>
  <c r="R134" i="8"/>
  <c r="S134" i="8"/>
  <c r="T134" i="8"/>
  <c r="U134" i="8"/>
  <c r="V134" i="8"/>
  <c r="W134" i="8"/>
  <c r="X134" i="8"/>
  <c r="Y134" i="8"/>
  <c r="Z134" i="8"/>
  <c r="AA134" i="8"/>
  <c r="AB134" i="8"/>
  <c r="AC134" i="8"/>
  <c r="AD134" i="8"/>
  <c r="AE134" i="8"/>
  <c r="AF134" i="8"/>
  <c r="AG134" i="8"/>
  <c r="AH134" i="8"/>
  <c r="AI134" i="8"/>
  <c r="AJ134" i="8"/>
  <c r="AK134" i="8"/>
  <c r="C135" i="8"/>
  <c r="D135" i="8"/>
  <c r="E135" i="8"/>
  <c r="F135" i="8"/>
  <c r="G135" i="8"/>
  <c r="H135" i="8"/>
  <c r="I135" i="8"/>
  <c r="J135" i="8"/>
  <c r="K135" i="8"/>
  <c r="L135" i="8"/>
  <c r="M135" i="8"/>
  <c r="N135" i="8"/>
  <c r="O135" i="8"/>
  <c r="P135" i="8"/>
  <c r="Q135" i="8"/>
  <c r="R135" i="8"/>
  <c r="S135" i="8"/>
  <c r="T135" i="8"/>
  <c r="U135" i="8"/>
  <c r="V135" i="8"/>
  <c r="W135" i="8"/>
  <c r="X135" i="8"/>
  <c r="Y135" i="8"/>
  <c r="Z135" i="8"/>
  <c r="AA135" i="8"/>
  <c r="AB135" i="8"/>
  <c r="AC135" i="8"/>
  <c r="AD135" i="8"/>
  <c r="AE135" i="8"/>
  <c r="AF135" i="8"/>
  <c r="AG135" i="8"/>
  <c r="AH135" i="8"/>
  <c r="AI135" i="8"/>
  <c r="AJ135" i="8"/>
  <c r="AK135" i="8"/>
  <c r="C136" i="8"/>
  <c r="D136" i="8"/>
  <c r="E136" i="8"/>
  <c r="F136" i="8"/>
  <c r="G136" i="8"/>
  <c r="H136" i="8"/>
  <c r="I136" i="8"/>
  <c r="J136" i="8"/>
  <c r="K136" i="8"/>
  <c r="L136" i="8"/>
  <c r="M136" i="8"/>
  <c r="N136" i="8"/>
  <c r="O136" i="8"/>
  <c r="P136" i="8"/>
  <c r="Q136" i="8"/>
  <c r="R136" i="8"/>
  <c r="S136" i="8"/>
  <c r="T136" i="8"/>
  <c r="U136" i="8"/>
  <c r="V136" i="8"/>
  <c r="W136" i="8"/>
  <c r="X136" i="8"/>
  <c r="Y136" i="8"/>
  <c r="Z136" i="8"/>
  <c r="AA136" i="8"/>
  <c r="AB136" i="8"/>
  <c r="AC136" i="8"/>
  <c r="AD136" i="8"/>
  <c r="AE136" i="8"/>
  <c r="AF136" i="8"/>
  <c r="AG136" i="8"/>
  <c r="AH136" i="8"/>
  <c r="AI136" i="8"/>
  <c r="AJ136" i="8"/>
  <c r="AK136" i="8"/>
  <c r="C137" i="8"/>
  <c r="D137" i="8"/>
  <c r="E137" i="8"/>
  <c r="F137" i="8"/>
  <c r="G137" i="8"/>
  <c r="H137" i="8"/>
  <c r="I137" i="8"/>
  <c r="J137" i="8"/>
  <c r="K137" i="8"/>
  <c r="L137" i="8"/>
  <c r="M137" i="8"/>
  <c r="N137" i="8"/>
  <c r="O137" i="8"/>
  <c r="P137" i="8"/>
  <c r="Q137" i="8"/>
  <c r="R137" i="8"/>
  <c r="S137" i="8"/>
  <c r="T137" i="8"/>
  <c r="U137" i="8"/>
  <c r="V137" i="8"/>
  <c r="W137" i="8"/>
  <c r="X137" i="8"/>
  <c r="Y137" i="8"/>
  <c r="Z137" i="8"/>
  <c r="AA137" i="8"/>
  <c r="AB137" i="8"/>
  <c r="AC137" i="8"/>
  <c r="AD137" i="8"/>
  <c r="AE137" i="8"/>
  <c r="AF137" i="8"/>
  <c r="AG137" i="8"/>
  <c r="AH137" i="8"/>
  <c r="AI137" i="8"/>
  <c r="AJ137" i="8"/>
  <c r="AK137" i="8"/>
  <c r="C138" i="8"/>
  <c r="D138" i="8"/>
  <c r="E138" i="8"/>
  <c r="F138" i="8"/>
  <c r="G138" i="8"/>
  <c r="H138" i="8"/>
  <c r="I138" i="8"/>
  <c r="J138" i="8"/>
  <c r="K138" i="8"/>
  <c r="L138" i="8"/>
  <c r="M138" i="8"/>
  <c r="N138" i="8"/>
  <c r="O138" i="8"/>
  <c r="P138" i="8"/>
  <c r="Q138" i="8"/>
  <c r="R138" i="8"/>
  <c r="S138" i="8"/>
  <c r="T138" i="8"/>
  <c r="U138" i="8"/>
  <c r="V138" i="8"/>
  <c r="W138" i="8"/>
  <c r="X138" i="8"/>
  <c r="Y138" i="8"/>
  <c r="Z138" i="8"/>
  <c r="AA138" i="8"/>
  <c r="AB138" i="8"/>
  <c r="AC138" i="8"/>
  <c r="AD138" i="8"/>
  <c r="AE138" i="8"/>
  <c r="AF138" i="8"/>
  <c r="AG138" i="8"/>
  <c r="AH138" i="8"/>
  <c r="AI138" i="8"/>
  <c r="AJ138" i="8"/>
  <c r="AK138" i="8"/>
  <c r="C139" i="8"/>
  <c r="D139" i="8"/>
  <c r="E139" i="8"/>
  <c r="F139" i="8"/>
  <c r="G139" i="8"/>
  <c r="H139" i="8"/>
  <c r="I139" i="8"/>
  <c r="J139" i="8"/>
  <c r="K139" i="8"/>
  <c r="L139" i="8"/>
  <c r="M139" i="8"/>
  <c r="N139" i="8"/>
  <c r="O139" i="8"/>
  <c r="P139" i="8"/>
  <c r="Q139" i="8"/>
  <c r="R139" i="8"/>
  <c r="S139" i="8"/>
  <c r="T139" i="8"/>
  <c r="U139" i="8"/>
  <c r="V139" i="8"/>
  <c r="W139" i="8"/>
  <c r="X139" i="8"/>
  <c r="Y139" i="8"/>
  <c r="Z139" i="8"/>
  <c r="AA139" i="8"/>
  <c r="AB139" i="8"/>
  <c r="AC139" i="8"/>
  <c r="AD139" i="8"/>
  <c r="AE139" i="8"/>
  <c r="AF139" i="8"/>
  <c r="AG139" i="8"/>
  <c r="AH139" i="8"/>
  <c r="AI139" i="8"/>
  <c r="AJ139" i="8"/>
  <c r="AK139" i="8"/>
  <c r="C140" i="8"/>
  <c r="D140" i="8"/>
  <c r="E140" i="8"/>
  <c r="F140" i="8"/>
  <c r="G140" i="8"/>
  <c r="H140" i="8"/>
  <c r="I140" i="8"/>
  <c r="J140" i="8"/>
  <c r="K140" i="8"/>
  <c r="L140" i="8"/>
  <c r="M140" i="8"/>
  <c r="N140" i="8"/>
  <c r="O140" i="8"/>
  <c r="P140" i="8"/>
  <c r="Q140" i="8"/>
  <c r="R140" i="8"/>
  <c r="S140" i="8"/>
  <c r="T140" i="8"/>
  <c r="U140" i="8"/>
  <c r="V140" i="8"/>
  <c r="W140" i="8"/>
  <c r="X140" i="8"/>
  <c r="Y140" i="8"/>
  <c r="Z140" i="8"/>
  <c r="AA140" i="8"/>
  <c r="AB140" i="8"/>
  <c r="AC140" i="8"/>
  <c r="AD140" i="8"/>
  <c r="AE140" i="8"/>
  <c r="AF140" i="8"/>
  <c r="AG140" i="8"/>
  <c r="AH140" i="8"/>
  <c r="AI140" i="8"/>
  <c r="AJ140" i="8"/>
  <c r="AK140" i="8"/>
  <c r="C141" i="8"/>
  <c r="D141" i="8"/>
  <c r="E141" i="8"/>
  <c r="F141" i="8"/>
  <c r="G141" i="8"/>
  <c r="H141" i="8"/>
  <c r="I141" i="8"/>
  <c r="J141" i="8"/>
  <c r="K141" i="8"/>
  <c r="L141" i="8"/>
  <c r="M141" i="8"/>
  <c r="N141" i="8"/>
  <c r="O141" i="8"/>
  <c r="P141" i="8"/>
  <c r="Q141" i="8"/>
  <c r="R141" i="8"/>
  <c r="S141" i="8"/>
  <c r="T141" i="8"/>
  <c r="U141" i="8"/>
  <c r="V141" i="8"/>
  <c r="W141" i="8"/>
  <c r="X141" i="8"/>
  <c r="Y141" i="8"/>
  <c r="Z141" i="8"/>
  <c r="AA141" i="8"/>
  <c r="AB141" i="8"/>
  <c r="AC141" i="8"/>
  <c r="AD141" i="8"/>
  <c r="AE141" i="8"/>
  <c r="AF141" i="8"/>
  <c r="AG141" i="8"/>
  <c r="AH141" i="8"/>
  <c r="AI141" i="8"/>
  <c r="AJ141" i="8"/>
  <c r="AK141" i="8"/>
  <c r="C142" i="8"/>
  <c r="D142" i="8"/>
  <c r="E142" i="8"/>
  <c r="F142" i="8"/>
  <c r="G142" i="8"/>
  <c r="H142" i="8"/>
  <c r="I142" i="8"/>
  <c r="J142" i="8"/>
  <c r="K142" i="8"/>
  <c r="L142" i="8"/>
  <c r="M142" i="8"/>
  <c r="N142" i="8"/>
  <c r="O142" i="8"/>
  <c r="P142" i="8"/>
  <c r="Q142" i="8"/>
  <c r="R142" i="8"/>
  <c r="S142" i="8"/>
  <c r="T142" i="8"/>
  <c r="U142" i="8"/>
  <c r="V142" i="8"/>
  <c r="W142" i="8"/>
  <c r="X142" i="8"/>
  <c r="Y142" i="8"/>
  <c r="Z142" i="8"/>
  <c r="AA142" i="8"/>
  <c r="AB142" i="8"/>
  <c r="AC142" i="8"/>
  <c r="AD142" i="8"/>
  <c r="AE142" i="8"/>
  <c r="AF142" i="8"/>
  <c r="AG142" i="8"/>
  <c r="AH142" i="8"/>
  <c r="AI142" i="8"/>
  <c r="AJ142" i="8"/>
  <c r="AK142" i="8"/>
  <c r="C143" i="8"/>
  <c r="D143" i="8"/>
  <c r="E143" i="8"/>
  <c r="F143" i="8"/>
  <c r="G143" i="8"/>
  <c r="H143" i="8"/>
  <c r="I143" i="8"/>
  <c r="J143" i="8"/>
  <c r="K143" i="8"/>
  <c r="L143" i="8"/>
  <c r="M143" i="8"/>
  <c r="N143" i="8"/>
  <c r="O143" i="8"/>
  <c r="P143" i="8"/>
  <c r="Q143" i="8"/>
  <c r="R143" i="8"/>
  <c r="S143" i="8"/>
  <c r="T143" i="8"/>
  <c r="U143" i="8"/>
  <c r="V143" i="8"/>
  <c r="W143" i="8"/>
  <c r="X143" i="8"/>
  <c r="Y143" i="8"/>
  <c r="Z143" i="8"/>
  <c r="AA143" i="8"/>
  <c r="AB143" i="8"/>
  <c r="AC143" i="8"/>
  <c r="AD143" i="8"/>
  <c r="AE143" i="8"/>
  <c r="AF143" i="8"/>
  <c r="AG143" i="8"/>
  <c r="AH143" i="8"/>
  <c r="AI143" i="8"/>
  <c r="AJ143" i="8"/>
  <c r="AK143" i="8"/>
  <c r="C144" i="8"/>
  <c r="D144" i="8"/>
  <c r="E144" i="8"/>
  <c r="F144" i="8"/>
  <c r="G144" i="8"/>
  <c r="H144" i="8"/>
  <c r="I144" i="8"/>
  <c r="J144" i="8"/>
  <c r="K144" i="8"/>
  <c r="L144" i="8"/>
  <c r="M144" i="8"/>
  <c r="N144" i="8"/>
  <c r="O144" i="8"/>
  <c r="P144" i="8"/>
  <c r="Q144" i="8"/>
  <c r="R144" i="8"/>
  <c r="S144" i="8"/>
  <c r="T144" i="8"/>
  <c r="U144" i="8"/>
  <c r="V144" i="8"/>
  <c r="W144" i="8"/>
  <c r="X144" i="8"/>
  <c r="Y144" i="8"/>
  <c r="Z144" i="8"/>
  <c r="AA144" i="8"/>
  <c r="AB144" i="8"/>
  <c r="AC144" i="8"/>
  <c r="AD144" i="8"/>
  <c r="AE144" i="8"/>
  <c r="AF144" i="8"/>
  <c r="AG144" i="8"/>
  <c r="AH144" i="8"/>
  <c r="AI144" i="8"/>
  <c r="AJ144" i="8"/>
  <c r="AK144" i="8"/>
  <c r="C145" i="8"/>
  <c r="D145" i="8"/>
  <c r="E145" i="8"/>
  <c r="F145" i="8"/>
  <c r="G145" i="8"/>
  <c r="H145" i="8"/>
  <c r="I145" i="8"/>
  <c r="J145" i="8"/>
  <c r="K145" i="8"/>
  <c r="L145" i="8"/>
  <c r="M145" i="8"/>
  <c r="N145" i="8"/>
  <c r="O145" i="8"/>
  <c r="P145" i="8"/>
  <c r="Q145" i="8"/>
  <c r="R145" i="8"/>
  <c r="S145" i="8"/>
  <c r="T145" i="8"/>
  <c r="U145" i="8"/>
  <c r="V145" i="8"/>
  <c r="W145" i="8"/>
  <c r="X145" i="8"/>
  <c r="Y145" i="8"/>
  <c r="Z145" i="8"/>
  <c r="AA145" i="8"/>
  <c r="AB145" i="8"/>
  <c r="AC145" i="8"/>
  <c r="AD145" i="8"/>
  <c r="AE145" i="8"/>
  <c r="AF145" i="8"/>
  <c r="AG145" i="8"/>
  <c r="AH145" i="8"/>
  <c r="AI145" i="8"/>
  <c r="AJ145" i="8"/>
  <c r="AK145" i="8"/>
  <c r="C146" i="8"/>
  <c r="D146" i="8"/>
  <c r="E146" i="8"/>
  <c r="F146" i="8"/>
  <c r="G146" i="8"/>
  <c r="H146" i="8"/>
  <c r="I146" i="8"/>
  <c r="J146" i="8"/>
  <c r="K146" i="8"/>
  <c r="L146" i="8"/>
  <c r="M146" i="8"/>
  <c r="N146" i="8"/>
  <c r="O146" i="8"/>
  <c r="P146" i="8"/>
  <c r="Q146" i="8"/>
  <c r="R146" i="8"/>
  <c r="S146" i="8"/>
  <c r="T146" i="8"/>
  <c r="U146" i="8"/>
  <c r="V146" i="8"/>
  <c r="W146" i="8"/>
  <c r="X146" i="8"/>
  <c r="Y146" i="8"/>
  <c r="Z146" i="8"/>
  <c r="AA146" i="8"/>
  <c r="AB146" i="8"/>
  <c r="AC146" i="8"/>
  <c r="AD146" i="8"/>
  <c r="AE146" i="8"/>
  <c r="AF146" i="8"/>
  <c r="AG146" i="8"/>
  <c r="AH146" i="8"/>
  <c r="AI146" i="8"/>
  <c r="AJ146" i="8"/>
  <c r="AK146" i="8"/>
  <c r="C147" i="8"/>
  <c r="D147" i="8"/>
  <c r="E147" i="8"/>
  <c r="F147" i="8"/>
  <c r="G147" i="8"/>
  <c r="H147" i="8"/>
  <c r="I147" i="8"/>
  <c r="J147" i="8"/>
  <c r="K147" i="8"/>
  <c r="L147" i="8"/>
  <c r="M147" i="8"/>
  <c r="N147" i="8"/>
  <c r="O147" i="8"/>
  <c r="P147" i="8"/>
  <c r="Q147" i="8"/>
  <c r="R147" i="8"/>
  <c r="S147" i="8"/>
  <c r="T147" i="8"/>
  <c r="U147" i="8"/>
  <c r="V147" i="8"/>
  <c r="W147" i="8"/>
  <c r="X147" i="8"/>
  <c r="Y147" i="8"/>
  <c r="Z147" i="8"/>
  <c r="AA147" i="8"/>
  <c r="AB147" i="8"/>
  <c r="AC147" i="8"/>
  <c r="AD147" i="8"/>
  <c r="AE147" i="8"/>
  <c r="AF147" i="8"/>
  <c r="AG147" i="8"/>
  <c r="AH147" i="8"/>
  <c r="AI147" i="8"/>
  <c r="AJ147" i="8"/>
  <c r="AK147" i="8"/>
  <c r="C148" i="8"/>
  <c r="D148" i="8"/>
  <c r="E148" i="8"/>
  <c r="F148" i="8"/>
  <c r="G148" i="8"/>
  <c r="H148" i="8"/>
  <c r="I148" i="8"/>
  <c r="J148" i="8"/>
  <c r="K148" i="8"/>
  <c r="L148" i="8"/>
  <c r="M148" i="8"/>
  <c r="N148" i="8"/>
  <c r="O148" i="8"/>
  <c r="P148" i="8"/>
  <c r="Q148" i="8"/>
  <c r="R148" i="8"/>
  <c r="S148" i="8"/>
  <c r="T148" i="8"/>
  <c r="U148" i="8"/>
  <c r="V148" i="8"/>
  <c r="W148" i="8"/>
  <c r="X148" i="8"/>
  <c r="Y148" i="8"/>
  <c r="Z148" i="8"/>
  <c r="AA148" i="8"/>
  <c r="AB148" i="8"/>
  <c r="AC148" i="8"/>
  <c r="AD148" i="8"/>
  <c r="AE148" i="8"/>
  <c r="AF148" i="8"/>
  <c r="AG148" i="8"/>
  <c r="AH148" i="8"/>
  <c r="AI148" i="8"/>
  <c r="AJ148" i="8"/>
  <c r="AK148" i="8"/>
  <c r="C149" i="8"/>
  <c r="D149" i="8"/>
  <c r="E149" i="8"/>
  <c r="F149" i="8"/>
  <c r="G149" i="8"/>
  <c r="H149" i="8"/>
  <c r="I149" i="8"/>
  <c r="J149" i="8"/>
  <c r="K149" i="8"/>
  <c r="L149" i="8"/>
  <c r="M149" i="8"/>
  <c r="N149" i="8"/>
  <c r="O149" i="8"/>
  <c r="P149" i="8"/>
  <c r="Q149" i="8"/>
  <c r="R149" i="8"/>
  <c r="S149" i="8"/>
  <c r="T149" i="8"/>
  <c r="U149" i="8"/>
  <c r="V149" i="8"/>
  <c r="W149" i="8"/>
  <c r="X149" i="8"/>
  <c r="Y149" i="8"/>
  <c r="Z149" i="8"/>
  <c r="AA149" i="8"/>
  <c r="AB149" i="8"/>
  <c r="AC149" i="8"/>
  <c r="AD149" i="8"/>
  <c r="AE149" i="8"/>
  <c r="AF149" i="8"/>
  <c r="AG149" i="8"/>
  <c r="AH149" i="8"/>
  <c r="AI149" i="8"/>
  <c r="AJ149" i="8"/>
  <c r="AK149" i="8"/>
  <c r="C150" i="8"/>
  <c r="D150" i="8"/>
  <c r="E150" i="8"/>
  <c r="F150" i="8"/>
  <c r="G150" i="8"/>
  <c r="H150" i="8"/>
  <c r="I150" i="8"/>
  <c r="J150" i="8"/>
  <c r="K150" i="8"/>
  <c r="L150" i="8"/>
  <c r="M150" i="8"/>
  <c r="N150" i="8"/>
  <c r="O150" i="8"/>
  <c r="P150" i="8"/>
  <c r="Q150" i="8"/>
  <c r="R150" i="8"/>
  <c r="S150" i="8"/>
  <c r="T150" i="8"/>
  <c r="U150" i="8"/>
  <c r="V150" i="8"/>
  <c r="W150" i="8"/>
  <c r="X150" i="8"/>
  <c r="Y150" i="8"/>
  <c r="Z150" i="8"/>
  <c r="AA150" i="8"/>
  <c r="AB150" i="8"/>
  <c r="AC150" i="8"/>
  <c r="AD150" i="8"/>
  <c r="AE150" i="8"/>
  <c r="AF150" i="8"/>
  <c r="AG150" i="8"/>
  <c r="AH150" i="8"/>
  <c r="AI150" i="8"/>
  <c r="AJ150" i="8"/>
  <c r="AK150" i="8"/>
  <c r="B74" i="8"/>
  <c r="C79" i="8"/>
  <c r="D79" i="8"/>
  <c r="E79" i="8"/>
  <c r="F79" i="8"/>
  <c r="G79" i="8"/>
  <c r="H79" i="8"/>
  <c r="I79" i="8"/>
  <c r="J79" i="8"/>
  <c r="K79" i="8"/>
  <c r="L79" i="8"/>
  <c r="M79" i="8"/>
  <c r="N79" i="8"/>
  <c r="O79" i="8"/>
  <c r="P79" i="8"/>
  <c r="Q79" i="8"/>
  <c r="R79" i="8"/>
  <c r="S79" i="8"/>
  <c r="T79" i="8"/>
  <c r="U79" i="8"/>
  <c r="V79" i="8"/>
  <c r="W79" i="8"/>
  <c r="X79" i="8"/>
  <c r="Y79" i="8"/>
  <c r="Z79" i="8"/>
  <c r="AA79" i="8"/>
  <c r="AB79" i="8"/>
  <c r="AC79" i="8"/>
  <c r="AD79" i="8"/>
  <c r="AE79" i="8"/>
  <c r="AF79" i="8"/>
  <c r="AG79" i="8"/>
  <c r="AH79" i="8"/>
  <c r="AI79" i="8"/>
  <c r="AJ79" i="8"/>
  <c r="AK79" i="8"/>
  <c r="C80" i="8"/>
  <c r="D80" i="8"/>
  <c r="E80" i="8"/>
  <c r="F80" i="8"/>
  <c r="G80" i="8"/>
  <c r="H80" i="8"/>
  <c r="I80" i="8"/>
  <c r="J80" i="8"/>
  <c r="K80" i="8"/>
  <c r="L80" i="8"/>
  <c r="M80" i="8"/>
  <c r="N80" i="8"/>
  <c r="O80" i="8"/>
  <c r="P80" i="8"/>
  <c r="Q80" i="8"/>
  <c r="R80" i="8"/>
  <c r="S80" i="8"/>
  <c r="T80" i="8"/>
  <c r="U80" i="8"/>
  <c r="V80" i="8"/>
  <c r="W80" i="8"/>
  <c r="X80" i="8"/>
  <c r="Y80" i="8"/>
  <c r="Z80" i="8"/>
  <c r="AA80" i="8"/>
  <c r="AB80" i="8"/>
  <c r="AC80" i="8"/>
  <c r="AD80" i="8"/>
  <c r="AE80" i="8"/>
  <c r="AF80" i="8"/>
  <c r="AG80" i="8"/>
  <c r="AH80" i="8"/>
  <c r="AI80" i="8"/>
  <c r="AJ80" i="8"/>
  <c r="AK80" i="8"/>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AH81" i="8"/>
  <c r="AI81" i="8"/>
  <c r="AJ81" i="8"/>
  <c r="AK81" i="8"/>
  <c r="C82" i="8"/>
  <c r="C76" i="8"/>
  <c r="C83" i="8"/>
  <c r="D83" i="8"/>
  <c r="E83" i="8"/>
  <c r="F83" i="8"/>
  <c r="G83" i="8"/>
  <c r="H83" i="8"/>
  <c r="I83" i="8"/>
  <c r="J83" i="8"/>
  <c r="K83" i="8"/>
  <c r="L83" i="8"/>
  <c r="M83" i="8"/>
  <c r="N83" i="8"/>
  <c r="O83" i="8"/>
  <c r="P83" i="8"/>
  <c r="Q83" i="8"/>
  <c r="R83" i="8"/>
  <c r="S83" i="8"/>
  <c r="T83" i="8"/>
  <c r="U83" i="8"/>
  <c r="V83" i="8"/>
  <c r="W83" i="8"/>
  <c r="X83" i="8"/>
  <c r="Y83" i="8"/>
  <c r="Z83" i="8"/>
  <c r="AA83" i="8"/>
  <c r="AB83" i="8"/>
  <c r="AC83" i="8"/>
  <c r="AD83" i="8"/>
  <c r="AE83" i="8"/>
  <c r="AF83" i="8"/>
  <c r="AG83" i="8"/>
  <c r="AH83" i="8"/>
  <c r="AI83" i="8"/>
  <c r="AJ83" i="8"/>
  <c r="AK83" i="8"/>
  <c r="AK77" i="8"/>
  <c r="C84" i="8"/>
  <c r="D84" i="8"/>
  <c r="E84" i="8"/>
  <c r="F84" i="8"/>
  <c r="G84" i="8"/>
  <c r="H84" i="8"/>
  <c r="I84" i="8"/>
  <c r="J84" i="8"/>
  <c r="K84" i="8"/>
  <c r="L84" i="8"/>
  <c r="M84" i="8"/>
  <c r="N84" i="8"/>
  <c r="O84" i="8"/>
  <c r="P84" i="8"/>
  <c r="Q84" i="8"/>
  <c r="R84" i="8"/>
  <c r="S84" i="8"/>
  <c r="T84" i="8"/>
  <c r="U84" i="8"/>
  <c r="V84" i="8"/>
  <c r="W84" i="8"/>
  <c r="X84" i="8"/>
  <c r="Y84" i="8"/>
  <c r="Z84" i="8"/>
  <c r="AA84" i="8"/>
  <c r="AB84" i="8"/>
  <c r="AC84" i="8"/>
  <c r="AD84" i="8"/>
  <c r="AE84" i="8"/>
  <c r="AF84" i="8"/>
  <c r="AG84" i="8"/>
  <c r="AH84" i="8"/>
  <c r="AI84" i="8"/>
  <c r="AJ84" i="8"/>
  <c r="AK84" i="8"/>
  <c r="C85" i="8"/>
  <c r="D85" i="8"/>
  <c r="E85" i="8"/>
  <c r="F85" i="8"/>
  <c r="G85" i="8"/>
  <c r="H85" i="8"/>
  <c r="I85" i="8"/>
  <c r="J85" i="8"/>
  <c r="K85" i="8"/>
  <c r="L85" i="8"/>
  <c r="M85" i="8"/>
  <c r="N85" i="8"/>
  <c r="O85" i="8"/>
  <c r="P85" i="8"/>
  <c r="Q85" i="8"/>
  <c r="R85" i="8"/>
  <c r="S85" i="8"/>
  <c r="T85" i="8"/>
  <c r="U85" i="8"/>
  <c r="V85" i="8"/>
  <c r="W85" i="8"/>
  <c r="X85" i="8"/>
  <c r="Y85" i="8"/>
  <c r="Z85" i="8"/>
  <c r="AA85" i="8"/>
  <c r="AB85" i="8"/>
  <c r="AC85" i="8"/>
  <c r="AD85" i="8"/>
  <c r="AE85" i="8"/>
  <c r="AF85" i="8"/>
  <c r="AG85" i="8"/>
  <c r="AH85" i="8"/>
  <c r="AI85" i="8"/>
  <c r="AJ85" i="8"/>
  <c r="AK85" i="8"/>
  <c r="C86" i="8"/>
  <c r="D86" i="8"/>
  <c r="E86" i="8"/>
  <c r="F86" i="8"/>
  <c r="G86" i="8"/>
  <c r="H86" i="8"/>
  <c r="I86" i="8"/>
  <c r="J86" i="8"/>
  <c r="K86" i="8"/>
  <c r="L86" i="8"/>
  <c r="M86" i="8"/>
  <c r="N86" i="8"/>
  <c r="O86" i="8"/>
  <c r="P86" i="8"/>
  <c r="Q86" i="8"/>
  <c r="R86" i="8"/>
  <c r="S86" i="8"/>
  <c r="T86" i="8"/>
  <c r="U86" i="8"/>
  <c r="V86" i="8"/>
  <c r="W86" i="8"/>
  <c r="X86" i="8"/>
  <c r="Y86" i="8"/>
  <c r="Z86" i="8"/>
  <c r="AA86" i="8"/>
  <c r="AB86" i="8"/>
  <c r="AC86" i="8"/>
  <c r="AD86" i="8"/>
  <c r="AE86" i="8"/>
  <c r="AF86" i="8"/>
  <c r="AG86" i="8"/>
  <c r="AH86" i="8"/>
  <c r="AI86" i="8"/>
  <c r="AJ86" i="8"/>
  <c r="AK86" i="8"/>
  <c r="C87" i="8"/>
  <c r="D87" i="8"/>
  <c r="E87" i="8"/>
  <c r="F87" i="8"/>
  <c r="G87" i="8"/>
  <c r="H87" i="8"/>
  <c r="I87" i="8"/>
  <c r="J87" i="8"/>
  <c r="K87" i="8"/>
  <c r="L87" i="8"/>
  <c r="M87" i="8"/>
  <c r="N87" i="8"/>
  <c r="O87" i="8"/>
  <c r="P87" i="8"/>
  <c r="Q87" i="8"/>
  <c r="R87" i="8"/>
  <c r="S87" i="8"/>
  <c r="T87" i="8"/>
  <c r="U87" i="8"/>
  <c r="V87" i="8"/>
  <c r="W87" i="8"/>
  <c r="X87" i="8"/>
  <c r="Y87" i="8"/>
  <c r="Z87" i="8"/>
  <c r="AA87" i="8"/>
  <c r="AB87" i="8"/>
  <c r="AC87" i="8"/>
  <c r="AD87" i="8"/>
  <c r="AE87" i="8"/>
  <c r="AF87" i="8"/>
  <c r="AG87" i="8"/>
  <c r="AH87" i="8"/>
  <c r="AI87" i="8"/>
  <c r="AJ87" i="8"/>
  <c r="AK87" i="8"/>
  <c r="C88" i="8"/>
  <c r="D88" i="8"/>
  <c r="E88" i="8"/>
  <c r="F88" i="8"/>
  <c r="G88" i="8"/>
  <c r="H88" i="8"/>
  <c r="I88" i="8"/>
  <c r="J88" i="8"/>
  <c r="K88" i="8"/>
  <c r="L88" i="8"/>
  <c r="M88" i="8"/>
  <c r="N88" i="8"/>
  <c r="O88" i="8"/>
  <c r="P88" i="8"/>
  <c r="Q88" i="8"/>
  <c r="R88" i="8"/>
  <c r="S88" i="8"/>
  <c r="T88" i="8"/>
  <c r="U88" i="8"/>
  <c r="V88" i="8"/>
  <c r="W88" i="8"/>
  <c r="X88" i="8"/>
  <c r="Y88" i="8"/>
  <c r="Z88" i="8"/>
  <c r="AA88" i="8"/>
  <c r="AB88" i="8"/>
  <c r="AC88" i="8"/>
  <c r="AD88" i="8"/>
  <c r="AE88" i="8"/>
  <c r="AF88" i="8"/>
  <c r="AG88" i="8"/>
  <c r="AH88" i="8"/>
  <c r="AI88" i="8"/>
  <c r="AJ88" i="8"/>
  <c r="AK88" i="8"/>
  <c r="C89" i="8"/>
  <c r="D89" i="8"/>
  <c r="E89" i="8"/>
  <c r="F89" i="8"/>
  <c r="G89" i="8"/>
  <c r="H89" i="8"/>
  <c r="I89" i="8"/>
  <c r="J89" i="8"/>
  <c r="K89" i="8"/>
  <c r="L89" i="8"/>
  <c r="M89" i="8"/>
  <c r="N89" i="8"/>
  <c r="O89" i="8"/>
  <c r="P89" i="8"/>
  <c r="Q89" i="8"/>
  <c r="R89" i="8"/>
  <c r="S89" i="8"/>
  <c r="T89" i="8"/>
  <c r="U89" i="8"/>
  <c r="V89" i="8"/>
  <c r="W89" i="8"/>
  <c r="X89" i="8"/>
  <c r="Y89" i="8"/>
  <c r="Z89" i="8"/>
  <c r="AA89" i="8"/>
  <c r="AB89" i="8"/>
  <c r="AC89" i="8"/>
  <c r="AD89" i="8"/>
  <c r="AE89" i="8"/>
  <c r="AF89" i="8"/>
  <c r="AG89" i="8"/>
  <c r="AH89" i="8"/>
  <c r="AI89" i="8"/>
  <c r="AJ89" i="8"/>
  <c r="AK89" i="8"/>
  <c r="C90" i="8"/>
  <c r="D90" i="8"/>
  <c r="E90" i="8"/>
  <c r="F90" i="8"/>
  <c r="G90" i="8"/>
  <c r="H90" i="8"/>
  <c r="I90" i="8"/>
  <c r="J90" i="8"/>
  <c r="K90" i="8"/>
  <c r="L90" i="8"/>
  <c r="M90" i="8"/>
  <c r="N90" i="8"/>
  <c r="O90" i="8"/>
  <c r="P90" i="8"/>
  <c r="Q90" i="8"/>
  <c r="R90" i="8"/>
  <c r="S90" i="8"/>
  <c r="T90" i="8"/>
  <c r="U90" i="8"/>
  <c r="V90" i="8"/>
  <c r="W90" i="8"/>
  <c r="X90" i="8"/>
  <c r="Y90" i="8"/>
  <c r="Z90" i="8"/>
  <c r="AA90" i="8"/>
  <c r="AB90" i="8"/>
  <c r="AC90" i="8"/>
  <c r="AD90" i="8"/>
  <c r="AE90" i="8"/>
  <c r="AF90" i="8"/>
  <c r="AG90" i="8"/>
  <c r="AH90" i="8"/>
  <c r="AI90" i="8"/>
  <c r="AJ90" i="8"/>
  <c r="AK90" i="8"/>
  <c r="C91" i="8"/>
  <c r="D91" i="8"/>
  <c r="E91" i="8"/>
  <c r="F91" i="8"/>
  <c r="G91" i="8"/>
  <c r="H91" i="8"/>
  <c r="I91" i="8"/>
  <c r="J91" i="8"/>
  <c r="K91" i="8"/>
  <c r="L91" i="8"/>
  <c r="M91" i="8"/>
  <c r="N91" i="8"/>
  <c r="O91" i="8"/>
  <c r="P91" i="8"/>
  <c r="Q91" i="8"/>
  <c r="R91" i="8"/>
  <c r="S91" i="8"/>
  <c r="T91" i="8"/>
  <c r="U91" i="8"/>
  <c r="V91" i="8"/>
  <c r="W91" i="8"/>
  <c r="X91" i="8"/>
  <c r="Y91" i="8"/>
  <c r="Z91" i="8"/>
  <c r="AA91" i="8"/>
  <c r="AB91" i="8"/>
  <c r="AC91" i="8"/>
  <c r="AD91" i="8"/>
  <c r="AE91" i="8"/>
  <c r="AF91" i="8"/>
  <c r="AG91" i="8"/>
  <c r="AH91" i="8"/>
  <c r="AI91" i="8"/>
  <c r="AJ91" i="8"/>
  <c r="AK91" i="8"/>
  <c r="C92" i="8"/>
  <c r="D92" i="8"/>
  <c r="E92" i="8"/>
  <c r="F92" i="8"/>
  <c r="G92" i="8"/>
  <c r="H92" i="8"/>
  <c r="I92" i="8"/>
  <c r="J92" i="8"/>
  <c r="K92" i="8"/>
  <c r="L92" i="8"/>
  <c r="M92" i="8"/>
  <c r="N92" i="8"/>
  <c r="O92" i="8"/>
  <c r="P92" i="8"/>
  <c r="Q92" i="8"/>
  <c r="R92" i="8"/>
  <c r="S92" i="8"/>
  <c r="T92" i="8"/>
  <c r="U92" i="8"/>
  <c r="V92" i="8"/>
  <c r="W92" i="8"/>
  <c r="X92" i="8"/>
  <c r="Y92" i="8"/>
  <c r="Z92" i="8"/>
  <c r="AA92" i="8"/>
  <c r="AB92" i="8"/>
  <c r="AC92" i="8"/>
  <c r="AD92" i="8"/>
  <c r="AE92" i="8"/>
  <c r="AF92" i="8"/>
  <c r="AG92" i="8"/>
  <c r="AH92" i="8"/>
  <c r="AI92" i="8"/>
  <c r="AJ92" i="8"/>
  <c r="AK92" i="8"/>
  <c r="AK78" i="8"/>
  <c r="C93" i="8"/>
  <c r="D93" i="8"/>
  <c r="E93" i="8"/>
  <c r="F93" i="8"/>
  <c r="G93" i="8"/>
  <c r="H93" i="8"/>
  <c r="I93" i="8"/>
  <c r="J93" i="8"/>
  <c r="K93" i="8"/>
  <c r="L93" i="8"/>
  <c r="M93" i="8"/>
  <c r="N93" i="8"/>
  <c r="O93" i="8"/>
  <c r="P93" i="8"/>
  <c r="Q93" i="8"/>
  <c r="R93" i="8"/>
  <c r="S93" i="8"/>
  <c r="T93" i="8"/>
  <c r="U93" i="8"/>
  <c r="V93" i="8"/>
  <c r="W93" i="8"/>
  <c r="X93" i="8"/>
  <c r="Y93" i="8"/>
  <c r="Z93" i="8"/>
  <c r="AA93" i="8"/>
  <c r="AB93" i="8"/>
  <c r="AC93" i="8"/>
  <c r="AD93" i="8"/>
  <c r="AE93" i="8"/>
  <c r="AF93" i="8"/>
  <c r="AG93" i="8"/>
  <c r="AH93" i="8"/>
  <c r="AI93" i="8"/>
  <c r="AJ93" i="8"/>
  <c r="AK93" i="8"/>
  <c r="C94" i="8"/>
  <c r="D94" i="8"/>
  <c r="E94" i="8"/>
  <c r="F94" i="8"/>
  <c r="G94" i="8"/>
  <c r="H94" i="8"/>
  <c r="I94" i="8"/>
  <c r="J94" i="8"/>
  <c r="K94" i="8"/>
  <c r="L94" i="8"/>
  <c r="M94" i="8"/>
  <c r="N94" i="8"/>
  <c r="O94" i="8"/>
  <c r="P94" i="8"/>
  <c r="Q94" i="8"/>
  <c r="R94" i="8"/>
  <c r="S94" i="8"/>
  <c r="T94" i="8"/>
  <c r="U94" i="8"/>
  <c r="V94" i="8"/>
  <c r="W94" i="8"/>
  <c r="X94" i="8"/>
  <c r="Y94" i="8"/>
  <c r="Z94" i="8"/>
  <c r="AA94" i="8"/>
  <c r="AB94" i="8"/>
  <c r="AC94" i="8"/>
  <c r="AD94" i="8"/>
  <c r="AE94" i="8"/>
  <c r="AF94" i="8"/>
  <c r="AG94" i="8"/>
  <c r="AH94" i="8"/>
  <c r="AI94" i="8"/>
  <c r="AJ94" i="8"/>
  <c r="AK94" i="8"/>
  <c r="C73" i="8"/>
  <c r="D73" i="8"/>
  <c r="E73" i="8"/>
  <c r="F73" i="8"/>
  <c r="G73" i="8"/>
  <c r="H73" i="8"/>
  <c r="I73" i="8"/>
  <c r="J73" i="8"/>
  <c r="K73" i="8"/>
  <c r="L73" i="8"/>
  <c r="M73" i="8"/>
  <c r="N73" i="8"/>
  <c r="O73" i="8"/>
  <c r="P73" i="8"/>
  <c r="Q73" i="8"/>
  <c r="R73" i="8"/>
  <c r="S73" i="8"/>
  <c r="T73" i="8"/>
  <c r="U73" i="8"/>
  <c r="V73" i="8"/>
  <c r="W73" i="8"/>
  <c r="X73" i="8"/>
  <c r="Y73" i="8"/>
  <c r="Z73" i="8"/>
  <c r="AA73" i="8"/>
  <c r="AB73" i="8"/>
  <c r="AC73" i="8"/>
  <c r="AD73" i="8"/>
  <c r="AE73" i="8"/>
  <c r="AF73" i="8"/>
  <c r="AG73" i="8"/>
  <c r="AH73" i="8"/>
  <c r="AI73" i="8"/>
  <c r="AJ73" i="8"/>
  <c r="AK73" i="8"/>
  <c r="N116" i="43"/>
  <c r="O116" i="43"/>
  <c r="P116" i="43"/>
  <c r="Q116" i="43"/>
  <c r="R116" i="43"/>
  <c r="S116" i="43"/>
  <c r="T116" i="43"/>
  <c r="U116" i="43"/>
  <c r="V116" i="43"/>
  <c r="W116" i="43"/>
  <c r="X116" i="43"/>
  <c r="Y116" i="43"/>
  <c r="Z116" i="43"/>
  <c r="AA116" i="43"/>
  <c r="AB116" i="43"/>
  <c r="AC116" i="43"/>
  <c r="AD116" i="43"/>
  <c r="AE116" i="43"/>
  <c r="AF116" i="43"/>
  <c r="AG116" i="43"/>
  <c r="AH116" i="43"/>
  <c r="AI116" i="43"/>
  <c r="AJ116" i="43"/>
  <c r="AK116" i="43"/>
  <c r="AL116" i="43"/>
  <c r="AM116" i="43"/>
  <c r="AN116" i="43"/>
  <c r="AO116" i="43"/>
  <c r="AP116" i="43"/>
  <c r="AQ116" i="43"/>
  <c r="AR116" i="43"/>
  <c r="AS116" i="43"/>
  <c r="AT116" i="43"/>
  <c r="AU116" i="43"/>
  <c r="AV116" i="43"/>
  <c r="D445" i="43"/>
  <c r="E445" i="43" a="1"/>
  <c r="N92" i="43"/>
  <c r="O92" i="43"/>
  <c r="P92" i="43"/>
  <c r="Q92" i="43"/>
  <c r="R92" i="43"/>
  <c r="S92" i="43"/>
  <c r="T92" i="43"/>
  <c r="U92" i="43"/>
  <c r="V92" i="43"/>
  <c r="W92" i="43"/>
  <c r="X92" i="43"/>
  <c r="Y92" i="43"/>
  <c r="Z92" i="43"/>
  <c r="AA92" i="43"/>
  <c r="AB92" i="43"/>
  <c r="AC92" i="43"/>
  <c r="AD92" i="43"/>
  <c r="AE92" i="43"/>
  <c r="AF92" i="43"/>
  <c r="AG92" i="43"/>
  <c r="AH92" i="43"/>
  <c r="AI92" i="43"/>
  <c r="AJ92" i="43"/>
  <c r="AK92" i="43"/>
  <c r="AL92" i="43"/>
  <c r="AM92" i="43"/>
  <c r="AN92" i="43"/>
  <c r="AO92" i="43"/>
  <c r="AP92" i="43"/>
  <c r="AQ92" i="43"/>
  <c r="AR92" i="43"/>
  <c r="AS92" i="43"/>
  <c r="AT92" i="43"/>
  <c r="AU92" i="43"/>
  <c r="AV92" i="43"/>
  <c r="D421" i="43"/>
  <c r="E421" i="43" a="1"/>
  <c r="F421" i="43"/>
  <c r="N68" i="43"/>
  <c r="O68" i="43"/>
  <c r="P68" i="43"/>
  <c r="Q68" i="43"/>
  <c r="R68" i="43"/>
  <c r="S68" i="43"/>
  <c r="T68" i="43"/>
  <c r="U68" i="43"/>
  <c r="V68" i="43"/>
  <c r="W68" i="43"/>
  <c r="X68" i="43"/>
  <c r="Y68" i="43"/>
  <c r="Z68" i="43"/>
  <c r="AA68" i="43"/>
  <c r="AB68" i="43"/>
  <c r="AC68" i="43"/>
  <c r="AD68" i="43"/>
  <c r="AE68" i="43"/>
  <c r="AF68" i="43"/>
  <c r="AG68" i="43"/>
  <c r="AH68" i="43"/>
  <c r="AI68" i="43"/>
  <c r="AJ68" i="43"/>
  <c r="AK68" i="43"/>
  <c r="AL68" i="43"/>
  <c r="AM68" i="43"/>
  <c r="AN68" i="43"/>
  <c r="AO68" i="43"/>
  <c r="AP68" i="43"/>
  <c r="AQ68" i="43"/>
  <c r="AR68" i="43"/>
  <c r="AS68" i="43"/>
  <c r="AT68" i="43"/>
  <c r="AU68" i="43"/>
  <c r="AV68" i="43"/>
  <c r="D397" i="43"/>
  <c r="E397" i="43" a="1"/>
  <c r="F397" i="43"/>
  <c r="N44" i="43"/>
  <c r="O44" i="43"/>
  <c r="P44" i="43"/>
  <c r="Q44" i="43"/>
  <c r="R44" i="43"/>
  <c r="S44" i="43"/>
  <c r="T44" i="43"/>
  <c r="U44" i="43"/>
  <c r="V44" i="43"/>
  <c r="W44" i="43"/>
  <c r="X44" i="43"/>
  <c r="Y44" i="43"/>
  <c r="Z44" i="43"/>
  <c r="AA44" i="43"/>
  <c r="AB44" i="43"/>
  <c r="AC44" i="43"/>
  <c r="AD44" i="43"/>
  <c r="AE44" i="43"/>
  <c r="AF44" i="43"/>
  <c r="AG44" i="43"/>
  <c r="AH44" i="43"/>
  <c r="AI44" i="43"/>
  <c r="AJ44" i="43"/>
  <c r="AK44" i="43"/>
  <c r="AL44" i="43"/>
  <c r="AM44" i="43"/>
  <c r="AN44" i="43"/>
  <c r="AO44" i="43"/>
  <c r="AP44" i="43"/>
  <c r="AQ44" i="43"/>
  <c r="AR44" i="43"/>
  <c r="AS44" i="43"/>
  <c r="AT44" i="43"/>
  <c r="AU44" i="43"/>
  <c r="AV44" i="43"/>
  <c r="N20" i="43"/>
  <c r="O20" i="43"/>
  <c r="P20" i="43"/>
  <c r="Q20" i="43"/>
  <c r="R20" i="43"/>
  <c r="S20" i="43"/>
  <c r="T20" i="43"/>
  <c r="U20" i="43"/>
  <c r="V20" i="43"/>
  <c r="W20" i="43"/>
  <c r="X20" i="43"/>
  <c r="Y20" i="43"/>
  <c r="Z20" i="43"/>
  <c r="AA20" i="43"/>
  <c r="AB20" i="43"/>
  <c r="AC20" i="43"/>
  <c r="AD20" i="43"/>
  <c r="AE20" i="43"/>
  <c r="AF20" i="43"/>
  <c r="AG20" i="43"/>
  <c r="AH20" i="43"/>
  <c r="AI20" i="43"/>
  <c r="AJ20" i="43"/>
  <c r="AK20" i="43"/>
  <c r="AL20" i="43"/>
  <c r="AM20" i="43"/>
  <c r="AN20" i="43"/>
  <c r="AO20" i="43"/>
  <c r="AP20" i="43"/>
  <c r="AQ20" i="43"/>
  <c r="AR20" i="43"/>
  <c r="AS20" i="43"/>
  <c r="AT20" i="43"/>
  <c r="AU20" i="43"/>
  <c r="AV20" i="43"/>
  <c r="E510" i="43"/>
  <c r="F510" i="43"/>
  <c r="F485" i="43"/>
  <c r="E485" i="43"/>
  <c r="F460" i="43"/>
  <c r="E460" i="43"/>
  <c r="E439" i="43"/>
  <c r="F439" i="43"/>
  <c r="E431" i="43"/>
  <c r="F431" i="43"/>
  <c r="E414" i="43"/>
  <c r="F414" i="43"/>
  <c r="E397" i="43"/>
  <c r="E389" i="43"/>
  <c r="F389" i="43"/>
  <c r="F513" i="43"/>
  <c r="E513" i="43"/>
  <c r="F509" i="43"/>
  <c r="E509" i="43"/>
  <c r="E505" i="43"/>
  <c r="F505" i="43"/>
  <c r="E501" i="43"/>
  <c r="F501" i="43"/>
  <c r="E492" i="43"/>
  <c r="F492" i="43"/>
  <c r="F488" i="43"/>
  <c r="E488" i="43"/>
  <c r="F484" i="43"/>
  <c r="E484" i="43"/>
  <c r="F480" i="43"/>
  <c r="E480" i="43"/>
  <c r="F476" i="43"/>
  <c r="E476" i="43"/>
  <c r="F467" i="43"/>
  <c r="E467" i="43"/>
  <c r="F463" i="43"/>
  <c r="E463" i="43"/>
  <c r="F459" i="43"/>
  <c r="E459" i="43"/>
  <c r="F455" i="43"/>
  <c r="E455" i="43"/>
  <c r="F451" i="43"/>
  <c r="E451" i="43"/>
  <c r="F442" i="43"/>
  <c r="E442" i="43"/>
  <c r="E438" i="43"/>
  <c r="F438" i="43"/>
  <c r="E434" i="43"/>
  <c r="F434" i="43"/>
  <c r="E430" i="43"/>
  <c r="F430" i="43"/>
  <c r="E421" i="43"/>
  <c r="F417" i="43"/>
  <c r="E417" i="43"/>
  <c r="E413" i="43"/>
  <c r="F413" i="43"/>
  <c r="E409" i="43"/>
  <c r="F409" i="43"/>
  <c r="E405" i="43"/>
  <c r="F405" i="43"/>
  <c r="E396" i="43"/>
  <c r="F396" i="43"/>
  <c r="E392" i="43"/>
  <c r="F392" i="43"/>
  <c r="E388" i="43"/>
  <c r="F388" i="43"/>
  <c r="F384" i="43"/>
  <c r="E384" i="43"/>
  <c r="F380" i="43"/>
  <c r="E380" i="43"/>
  <c r="E371" i="43"/>
  <c r="F371" i="43"/>
  <c r="E367" i="43" a="1"/>
  <c r="D363" i="43"/>
  <c r="E363" i="43" a="1"/>
  <c r="D359" i="43"/>
  <c r="E359" i="43" a="1"/>
  <c r="F506" i="43"/>
  <c r="E506" i="43"/>
  <c r="E502" i="43"/>
  <c r="F502" i="43"/>
  <c r="E498" i="43"/>
  <c r="F498" i="43"/>
  <c r="E481" i="43"/>
  <c r="F481" i="43"/>
  <c r="E477" i="43"/>
  <c r="F477" i="43"/>
  <c r="F468" i="43"/>
  <c r="E468" i="43"/>
  <c r="F452" i="43"/>
  <c r="E452" i="43"/>
  <c r="E427" i="43"/>
  <c r="F427" i="43"/>
  <c r="E418" i="43"/>
  <c r="F418" i="43"/>
  <c r="F406" i="43"/>
  <c r="E406" i="43"/>
  <c r="E393" i="43"/>
  <c r="F393" i="43"/>
  <c r="D356" i="43"/>
  <c r="E356" i="43" a="1"/>
  <c r="F512" i="43"/>
  <c r="E512" i="43"/>
  <c r="E508" i="43"/>
  <c r="F508" i="43"/>
  <c r="F504" i="43"/>
  <c r="E504" i="43"/>
  <c r="E500" i="43"/>
  <c r="F500" i="43"/>
  <c r="E491" i="43"/>
  <c r="F491" i="43"/>
  <c r="F487" i="43"/>
  <c r="E487" i="43"/>
  <c r="F483" i="43"/>
  <c r="E483" i="43"/>
  <c r="F479" i="43"/>
  <c r="E479" i="43"/>
  <c r="F475" i="43"/>
  <c r="E475" i="43"/>
  <c r="F466" i="43"/>
  <c r="E466" i="43"/>
  <c r="F462" i="43"/>
  <c r="E462" i="43"/>
  <c r="F458" i="43"/>
  <c r="E458" i="43"/>
  <c r="F454" i="43"/>
  <c r="E454" i="43"/>
  <c r="E445" i="43"/>
  <c r="F445" i="43"/>
  <c r="E441" i="43"/>
  <c r="F441" i="43"/>
  <c r="E437" i="43"/>
  <c r="F437" i="43"/>
  <c r="E433" i="43"/>
  <c r="F433" i="43"/>
  <c r="E429" i="43"/>
  <c r="F429" i="43"/>
  <c r="E420" i="43"/>
  <c r="F420" i="43"/>
  <c r="F416" i="43"/>
  <c r="E416" i="43"/>
  <c r="F412" i="43"/>
  <c r="E412" i="43"/>
  <c r="E408" i="43"/>
  <c r="F408" i="43"/>
  <c r="F404" i="43"/>
  <c r="E404" i="43"/>
  <c r="E395" i="43"/>
  <c r="F395" i="43"/>
  <c r="E391" i="43"/>
  <c r="F391" i="43"/>
  <c r="E387" i="43"/>
  <c r="F387" i="43"/>
  <c r="E383" i="43"/>
  <c r="F383" i="43"/>
  <c r="E379" i="43" a="1"/>
  <c r="E370" i="43"/>
  <c r="F370" i="43"/>
  <c r="D366" i="43"/>
  <c r="E366" i="43" a="1"/>
  <c r="E362" i="43" a="1"/>
  <c r="D358" i="43"/>
  <c r="E358" i="43" a="1"/>
  <c r="F514" i="43"/>
  <c r="E514" i="43"/>
  <c r="E489" i="43"/>
  <c r="F489" i="43"/>
  <c r="F464" i="43"/>
  <c r="E464" i="43"/>
  <c r="F456" i="43"/>
  <c r="E456" i="43"/>
  <c r="F443" i="43"/>
  <c r="E443" i="43"/>
  <c r="E435" i="43"/>
  <c r="F435" i="43"/>
  <c r="F410" i="43"/>
  <c r="E410" i="43"/>
  <c r="E385" i="43"/>
  <c r="F385" i="43"/>
  <c r="E381" i="43"/>
  <c r="F381" i="43"/>
  <c r="F372" i="43"/>
  <c r="E372" i="43"/>
  <c r="D368" i="43"/>
  <c r="E368" i="43" a="1"/>
  <c r="D364" i="43"/>
  <c r="E364" i="43" a="1"/>
  <c r="D360" i="43"/>
  <c r="E360" i="43" a="1"/>
  <c r="D515" i="43"/>
  <c r="E515" i="43" a="1"/>
  <c r="D511" i="43"/>
  <c r="E511" i="43" a="1"/>
  <c r="D507" i="43"/>
  <c r="E507" i="43" a="1"/>
  <c r="D503" i="43"/>
  <c r="E503" i="43" a="1"/>
  <c r="D499" i="43"/>
  <c r="E499" i="43" a="1"/>
  <c r="D490" i="43"/>
  <c r="E490" i="43" a="1"/>
  <c r="D486" i="43"/>
  <c r="E486" i="43" a="1"/>
  <c r="D482" i="43"/>
  <c r="E482" i="43" a="1"/>
  <c r="D478" i="43"/>
  <c r="E478" i="43" a="1"/>
  <c r="D469" i="43"/>
  <c r="E469" i="43" a="1"/>
  <c r="D465" i="43"/>
  <c r="E465" i="43" a="1"/>
  <c r="D461" i="43"/>
  <c r="E461" i="43" a="1"/>
  <c r="D457" i="43"/>
  <c r="E457" i="43" a="1"/>
  <c r="D453" i="43"/>
  <c r="E453" i="43" a="1"/>
  <c r="D444" i="43"/>
  <c r="E444" i="43" a="1"/>
  <c r="D440" i="43"/>
  <c r="E440" i="43" a="1"/>
  <c r="D436" i="43"/>
  <c r="E436" i="43" a="1"/>
  <c r="D432" i="43"/>
  <c r="E432" i="43" a="1"/>
  <c r="D428" i="43"/>
  <c r="E428" i="43" a="1"/>
  <c r="D419" i="43"/>
  <c r="E419" i="43" a="1"/>
  <c r="D415" i="43"/>
  <c r="E415" i="43" a="1"/>
  <c r="D411" i="43"/>
  <c r="E411" i="43" a="1"/>
  <c r="D407" i="43"/>
  <c r="E407" i="43" a="1"/>
  <c r="D403" i="43"/>
  <c r="E403" i="43" a="1"/>
  <c r="D394" i="43"/>
  <c r="E394" i="43" a="1"/>
  <c r="D390" i="43"/>
  <c r="E390" i="43" a="1"/>
  <c r="D386" i="43"/>
  <c r="E386" i="43" a="1"/>
  <c r="D382" i="43"/>
  <c r="E382" i="43" a="1"/>
  <c r="D373" i="43"/>
  <c r="E373" i="43" a="1"/>
  <c r="D369" i="43"/>
  <c r="E369" i="43" a="1"/>
  <c r="D365" i="43"/>
  <c r="E365" i="43" a="1"/>
  <c r="D361" i="43"/>
  <c r="E361" i="43" a="1"/>
  <c r="D357" i="43"/>
  <c r="E357" i="43" a="1"/>
  <c r="N2" i="43"/>
  <c r="O2" i="43"/>
  <c r="P2" i="43"/>
  <c r="Q2" i="43"/>
  <c r="R2" i="43"/>
  <c r="S2" i="43"/>
  <c r="T2" i="43"/>
  <c r="U2" i="43"/>
  <c r="V2" i="43"/>
  <c r="W2" i="43"/>
  <c r="X2" i="43"/>
  <c r="Y2" i="43"/>
  <c r="Z2" i="43"/>
  <c r="AA2" i="43"/>
  <c r="AB2" i="43"/>
  <c r="AC2" i="43"/>
  <c r="AD2" i="43"/>
  <c r="AE2" i="43"/>
  <c r="AF2" i="43"/>
  <c r="AG2" i="43"/>
  <c r="AH2" i="43"/>
  <c r="AI2" i="43"/>
  <c r="AJ2" i="43"/>
  <c r="AK2" i="43"/>
  <c r="AL2" i="43"/>
  <c r="AM2" i="43"/>
  <c r="AN2" i="43"/>
  <c r="AO2" i="43"/>
  <c r="AP2" i="43"/>
  <c r="AQ2" i="43"/>
  <c r="AR2" i="43"/>
  <c r="AS2" i="43"/>
  <c r="AT2" i="43"/>
  <c r="AU2" i="43"/>
  <c r="AV2" i="43"/>
  <c r="D355" i="43"/>
  <c r="E355" i="43" a="1"/>
  <c r="E355" i="43"/>
  <c r="AK60" i="30"/>
  <c r="H37" i="32"/>
  <c r="Y60" i="30"/>
  <c r="H25" i="32"/>
  <c r="E60" i="30"/>
  <c r="H5" i="32"/>
  <c r="AG60" i="30"/>
  <c r="H33" i="32"/>
  <c r="AC60" i="30"/>
  <c r="H29" i="32"/>
  <c r="U60" i="30"/>
  <c r="H21" i="32"/>
  <c r="Q60" i="30"/>
  <c r="H17" i="32"/>
  <c r="M60" i="30"/>
  <c r="H13" i="32"/>
  <c r="I60" i="30"/>
  <c r="H9" i="32"/>
  <c r="D82" i="28"/>
  <c r="B22" i="26"/>
  <c r="B36" i="26"/>
  <c r="B43" i="26"/>
  <c r="B29" i="26"/>
  <c r="C29" i="26"/>
  <c r="D26" i="26"/>
  <c r="B21" i="26"/>
  <c r="B28" i="26"/>
  <c r="C28" i="26"/>
  <c r="D27" i="26"/>
  <c r="AK29" i="30"/>
  <c r="E37" i="31"/>
  <c r="AG29" i="30"/>
  <c r="E33" i="31"/>
  <c r="AC29" i="30"/>
  <c r="E29" i="31"/>
  <c r="Y29" i="30"/>
  <c r="E25" i="31"/>
  <c r="U29" i="30"/>
  <c r="E21" i="31"/>
  <c r="Q29" i="30"/>
  <c r="E17" i="31"/>
  <c r="M29" i="30"/>
  <c r="E13" i="31"/>
  <c r="I29" i="30"/>
  <c r="E9" i="31"/>
  <c r="E29" i="30"/>
  <c r="E5" i="31"/>
  <c r="AJ60" i="30"/>
  <c r="H36" i="32"/>
  <c r="AB60" i="30"/>
  <c r="H28" i="32"/>
  <c r="T60" i="30"/>
  <c r="H20" i="32"/>
  <c r="L60" i="30"/>
  <c r="H12" i="32"/>
  <c r="D60" i="30"/>
  <c r="H4" i="32"/>
  <c r="AI60" i="30"/>
  <c r="H35" i="32"/>
  <c r="AE60" i="30"/>
  <c r="H31" i="32"/>
  <c r="AA60" i="30"/>
  <c r="H27" i="32"/>
  <c r="W60" i="30"/>
  <c r="H23" i="32"/>
  <c r="S60" i="30"/>
  <c r="H19" i="32"/>
  <c r="O60" i="30"/>
  <c r="H15" i="32"/>
  <c r="K60" i="30"/>
  <c r="H11" i="32"/>
  <c r="G60" i="30"/>
  <c r="H7" i="32"/>
  <c r="C60" i="30"/>
  <c r="H3" i="32"/>
  <c r="AF60" i="30"/>
  <c r="H32" i="32"/>
  <c r="X60" i="30"/>
  <c r="H24" i="32"/>
  <c r="P60" i="30"/>
  <c r="H16" i="32"/>
  <c r="H60" i="30"/>
  <c r="H8" i="32"/>
  <c r="AH60" i="30"/>
  <c r="H34" i="32"/>
  <c r="AD60" i="30"/>
  <c r="H30" i="32"/>
  <c r="Z60" i="30"/>
  <c r="H26" i="32"/>
  <c r="V60" i="30"/>
  <c r="H22" i="32"/>
  <c r="R60" i="30"/>
  <c r="H18" i="32"/>
  <c r="N60" i="30"/>
  <c r="H14" i="32"/>
  <c r="J60" i="30"/>
  <c r="H10" i="32"/>
  <c r="F60" i="30"/>
  <c r="H6" i="32"/>
  <c r="AH39" i="30"/>
  <c r="F34" i="32"/>
  <c r="AD39" i="30"/>
  <c r="F30" i="32"/>
  <c r="Z39" i="30"/>
  <c r="F26" i="32"/>
  <c r="V39" i="30"/>
  <c r="F22" i="32"/>
  <c r="R39" i="30"/>
  <c r="F18" i="32"/>
  <c r="N39" i="30"/>
  <c r="F14" i="32"/>
  <c r="J39" i="30"/>
  <c r="F10" i="32"/>
  <c r="F39" i="30"/>
  <c r="F6" i="32"/>
  <c r="AK39" i="30"/>
  <c r="F37" i="32"/>
  <c r="AG39" i="30"/>
  <c r="F33" i="32"/>
  <c r="AC39" i="30"/>
  <c r="F29" i="32"/>
  <c r="Y39" i="30"/>
  <c r="F25" i="32"/>
  <c r="U39" i="30"/>
  <c r="F21" i="32"/>
  <c r="Q39" i="30"/>
  <c r="F17" i="32"/>
  <c r="M39" i="30"/>
  <c r="F13" i="32"/>
  <c r="I39" i="30"/>
  <c r="F9" i="32"/>
  <c r="E39" i="30"/>
  <c r="F5" i="32"/>
  <c r="AJ39" i="30"/>
  <c r="F36" i="32"/>
  <c r="AF39" i="30"/>
  <c r="F32" i="32"/>
  <c r="AB39" i="30"/>
  <c r="F28" i="32"/>
  <c r="X39" i="30"/>
  <c r="F24" i="32"/>
  <c r="T39" i="30"/>
  <c r="F20" i="32"/>
  <c r="P39" i="30"/>
  <c r="F16" i="32"/>
  <c r="L39" i="30"/>
  <c r="F12" i="32"/>
  <c r="H39" i="30"/>
  <c r="F8" i="32"/>
  <c r="D39" i="30"/>
  <c r="F4" i="32"/>
  <c r="AI39" i="30"/>
  <c r="F35" i="32"/>
  <c r="AE39" i="30"/>
  <c r="F31" i="32"/>
  <c r="AA39" i="30"/>
  <c r="F27" i="32"/>
  <c r="W39" i="30"/>
  <c r="F23" i="32"/>
  <c r="S39" i="30"/>
  <c r="F19" i="32"/>
  <c r="O39" i="30"/>
  <c r="F15" i="32"/>
  <c r="K39" i="30"/>
  <c r="F11" i="32"/>
  <c r="G39" i="30"/>
  <c r="F7" i="32"/>
  <c r="C39" i="30"/>
  <c r="F3" i="32"/>
  <c r="AH4" i="30"/>
  <c r="B34" i="31"/>
  <c r="AD4" i="30"/>
  <c r="B30" i="31"/>
  <c r="Z4" i="30"/>
  <c r="B26" i="31"/>
  <c r="V4" i="30"/>
  <c r="B22" i="31"/>
  <c r="R4" i="30"/>
  <c r="B18" i="31"/>
  <c r="N4" i="30"/>
  <c r="B14" i="31"/>
  <c r="J4" i="30"/>
  <c r="B10" i="31"/>
  <c r="F4" i="30"/>
  <c r="B6" i="31"/>
  <c r="AH27" i="30"/>
  <c r="E34" i="33"/>
  <c r="AD27" i="30"/>
  <c r="E30" i="33"/>
  <c r="Z27" i="30"/>
  <c r="E26" i="33"/>
  <c r="V27" i="30"/>
  <c r="E22" i="33"/>
  <c r="R27" i="30"/>
  <c r="E18" i="33"/>
  <c r="N27" i="30"/>
  <c r="E14" i="33"/>
  <c r="J27" i="30"/>
  <c r="E10" i="33"/>
  <c r="F27" i="30"/>
  <c r="E6" i="33"/>
  <c r="AJ29" i="30"/>
  <c r="E36" i="31"/>
  <c r="AF29" i="30"/>
  <c r="E32" i="31"/>
  <c r="AB29" i="30"/>
  <c r="E28" i="31"/>
  <c r="X29" i="30"/>
  <c r="E24" i="31"/>
  <c r="T29" i="30"/>
  <c r="E20" i="31"/>
  <c r="P29" i="30"/>
  <c r="E16" i="31"/>
  <c r="L29" i="30"/>
  <c r="E12" i="31"/>
  <c r="H29" i="30"/>
  <c r="E8" i="31"/>
  <c r="D29" i="30"/>
  <c r="E4" i="31"/>
  <c r="AK27" i="30"/>
  <c r="E37" i="33"/>
  <c r="AG27" i="30"/>
  <c r="E33" i="33"/>
  <c r="AC27" i="30"/>
  <c r="E29" i="33"/>
  <c r="Y27" i="30"/>
  <c r="E25" i="33"/>
  <c r="U27" i="30"/>
  <c r="E21" i="33"/>
  <c r="Q27" i="30"/>
  <c r="E17" i="33"/>
  <c r="M27" i="30"/>
  <c r="E13" i="33"/>
  <c r="I27" i="30"/>
  <c r="E9" i="33"/>
  <c r="E27" i="30"/>
  <c r="E5" i="33"/>
  <c r="AK4" i="30"/>
  <c r="B37" i="31"/>
  <c r="AG4" i="30"/>
  <c r="B33" i="31"/>
  <c r="AI29" i="30"/>
  <c r="E35" i="31"/>
  <c r="AE29" i="30"/>
  <c r="E31" i="31"/>
  <c r="AA29" i="30"/>
  <c r="E27" i="31"/>
  <c r="W29" i="30"/>
  <c r="E23" i="31"/>
  <c r="S29" i="30"/>
  <c r="E19" i="31"/>
  <c r="O29" i="30"/>
  <c r="E15" i="31"/>
  <c r="K29" i="30"/>
  <c r="E11" i="31"/>
  <c r="G29" i="30"/>
  <c r="E7" i="31"/>
  <c r="C29" i="30"/>
  <c r="E3" i="31"/>
  <c r="AJ27" i="30"/>
  <c r="E36" i="33"/>
  <c r="AF27" i="30"/>
  <c r="E32" i="33"/>
  <c r="AB27" i="30"/>
  <c r="E28" i="33"/>
  <c r="X27" i="30"/>
  <c r="E24" i="33"/>
  <c r="T27" i="30"/>
  <c r="E20" i="33"/>
  <c r="P27" i="30"/>
  <c r="E16" i="33"/>
  <c r="L27" i="30"/>
  <c r="E12" i="33"/>
  <c r="H27" i="30"/>
  <c r="E8" i="33"/>
  <c r="D27" i="30"/>
  <c r="E4" i="33"/>
  <c r="AH29" i="30"/>
  <c r="E34" i="31"/>
  <c r="AD29" i="30"/>
  <c r="E30" i="31"/>
  <c r="Z29" i="30"/>
  <c r="E26" i="31"/>
  <c r="V29" i="30"/>
  <c r="E22" i="31"/>
  <c r="R29" i="30"/>
  <c r="E18" i="31"/>
  <c r="N29" i="30"/>
  <c r="E14" i="31"/>
  <c r="J29" i="30"/>
  <c r="E10" i="31"/>
  <c r="F29" i="30"/>
  <c r="E6" i="31"/>
  <c r="AI27" i="30"/>
  <c r="E35" i="33"/>
  <c r="AE27" i="30"/>
  <c r="E31" i="33"/>
  <c r="AA27" i="30"/>
  <c r="E27" i="33"/>
  <c r="W27" i="30"/>
  <c r="E23" i="33"/>
  <c r="S27" i="30"/>
  <c r="E19" i="33"/>
  <c r="O27" i="30"/>
  <c r="E15" i="33"/>
  <c r="K27" i="30"/>
  <c r="E11" i="33"/>
  <c r="G27" i="30"/>
  <c r="E7" i="33"/>
  <c r="C27" i="30"/>
  <c r="E3" i="33"/>
  <c r="AH19" i="30"/>
  <c r="D34" i="31"/>
  <c r="AD19" i="30"/>
  <c r="D30" i="31"/>
  <c r="R19" i="30"/>
  <c r="D18" i="31"/>
  <c r="N19" i="30"/>
  <c r="D14" i="31"/>
  <c r="J19" i="30"/>
  <c r="D10" i="31"/>
  <c r="B4" i="30"/>
  <c r="B2" i="31"/>
  <c r="AC4" i="30"/>
  <c r="B29" i="31"/>
  <c r="Y4" i="30"/>
  <c r="B25" i="31"/>
  <c r="U4" i="30"/>
  <c r="B21" i="31"/>
  <c r="Q4" i="30"/>
  <c r="B17" i="31"/>
  <c r="M4" i="30"/>
  <c r="B13" i="31"/>
  <c r="I4" i="30"/>
  <c r="B9" i="31"/>
  <c r="E4" i="30"/>
  <c r="B5" i="31"/>
  <c r="AI19" i="30"/>
  <c r="D35" i="31"/>
  <c r="AE19" i="30"/>
  <c r="D31" i="31"/>
  <c r="AA19" i="30"/>
  <c r="D27" i="31"/>
  <c r="W19" i="30"/>
  <c r="D23" i="31"/>
  <c r="S19" i="30"/>
  <c r="D19" i="31"/>
  <c r="O19" i="30"/>
  <c r="D15" i="31"/>
  <c r="K19" i="30"/>
  <c r="D11" i="31"/>
  <c r="G19" i="30"/>
  <c r="D7" i="31"/>
  <c r="C19" i="30"/>
  <c r="D3" i="31"/>
  <c r="AJ4" i="30"/>
  <c r="B36" i="31"/>
  <c r="AF4" i="30"/>
  <c r="B32" i="31"/>
  <c r="AB4" i="30"/>
  <c r="B28" i="31"/>
  <c r="X4" i="30"/>
  <c r="B24" i="31"/>
  <c r="T4" i="30"/>
  <c r="B20" i="31"/>
  <c r="P4" i="30"/>
  <c r="B16" i="31"/>
  <c r="L4" i="30"/>
  <c r="B12" i="31"/>
  <c r="H4" i="30"/>
  <c r="B8" i="31"/>
  <c r="D4" i="30"/>
  <c r="B4" i="31"/>
  <c r="Z19" i="30"/>
  <c r="D26" i="31"/>
  <c r="AI4" i="30"/>
  <c r="B35" i="31"/>
  <c r="AE4" i="30"/>
  <c r="B31" i="31"/>
  <c r="AA4" i="30"/>
  <c r="B27" i="31"/>
  <c r="W4" i="30"/>
  <c r="B23" i="31"/>
  <c r="S4" i="30"/>
  <c r="B19" i="31"/>
  <c r="O4" i="30"/>
  <c r="B15" i="31"/>
  <c r="K4" i="30"/>
  <c r="B11" i="31"/>
  <c r="G4" i="30"/>
  <c r="B7" i="31"/>
  <c r="C4" i="30"/>
  <c r="B3" i="31"/>
  <c r="V19" i="30"/>
  <c r="D22" i="31"/>
  <c r="F19" i="30"/>
  <c r="D6" i="31"/>
  <c r="AK19" i="30"/>
  <c r="D37" i="31"/>
  <c r="AG19" i="30"/>
  <c r="D33" i="31"/>
  <c r="AC19" i="30"/>
  <c r="D29" i="31"/>
  <c r="Y19" i="30"/>
  <c r="D25" i="31"/>
  <c r="U19" i="30"/>
  <c r="D21" i="31"/>
  <c r="Q19" i="30"/>
  <c r="D17" i="31"/>
  <c r="M19" i="30"/>
  <c r="D13" i="31"/>
  <c r="I19" i="30"/>
  <c r="D9" i="31"/>
  <c r="E19" i="30"/>
  <c r="D5" i="31"/>
  <c r="AJ19" i="30"/>
  <c r="D36" i="31"/>
  <c r="AF19" i="30"/>
  <c r="D32" i="31"/>
  <c r="AB19" i="30"/>
  <c r="D28" i="31"/>
  <c r="X19" i="30"/>
  <c r="D24" i="31"/>
  <c r="T19" i="30"/>
  <c r="D20" i="31"/>
  <c r="P19" i="30"/>
  <c r="D16" i="31"/>
  <c r="L19" i="30"/>
  <c r="D12" i="31"/>
  <c r="H19" i="30"/>
  <c r="D8" i="31"/>
  <c r="D19" i="30"/>
  <c r="D4" i="31"/>
  <c r="AK163" i="8"/>
  <c r="AK164" i="8"/>
  <c r="AK99" i="8"/>
  <c r="AJ99" i="8"/>
  <c r="AF99" i="8"/>
  <c r="AB99" i="8"/>
  <c r="X99" i="8"/>
  <c r="T99" i="8"/>
  <c r="P99" i="8"/>
  <c r="L99" i="8"/>
  <c r="H99" i="8"/>
  <c r="D99" i="8"/>
  <c r="AI99" i="8"/>
  <c r="AE99" i="8"/>
  <c r="AA99" i="8"/>
  <c r="W99" i="8"/>
  <c r="S99" i="8"/>
  <c r="O99" i="8"/>
  <c r="K99" i="8"/>
  <c r="G99" i="8"/>
  <c r="C99" i="8"/>
  <c r="AH99" i="8"/>
  <c r="AD99" i="8"/>
  <c r="Z99" i="8"/>
  <c r="V99" i="8"/>
  <c r="R99" i="8"/>
  <c r="N99" i="8"/>
  <c r="J99" i="8"/>
  <c r="F99" i="8"/>
  <c r="AG99" i="8"/>
  <c r="AC99" i="8"/>
  <c r="Y99" i="8"/>
  <c r="U99" i="8"/>
  <c r="Q99" i="8"/>
  <c r="M99" i="8"/>
  <c r="I99" i="8"/>
  <c r="E99" i="8"/>
  <c r="AE78" i="8"/>
  <c r="O78" i="8"/>
  <c r="AG77" i="8"/>
  <c r="Q77" i="8"/>
  <c r="AA78" i="8"/>
  <c r="K78" i="8"/>
  <c r="AC77" i="8"/>
  <c r="M77" i="8"/>
  <c r="C78" i="8"/>
  <c r="W78" i="8"/>
  <c r="G78" i="8"/>
  <c r="Y77" i="8"/>
  <c r="I77" i="8"/>
  <c r="AI78" i="8"/>
  <c r="S78" i="8"/>
  <c r="U77" i="8"/>
  <c r="E77" i="8"/>
  <c r="D82" i="8"/>
  <c r="AH78" i="8"/>
  <c r="AD78" i="8"/>
  <c r="Z78" i="8"/>
  <c r="V78" i="8"/>
  <c r="R78" i="8"/>
  <c r="N78" i="8"/>
  <c r="J78" i="8"/>
  <c r="F78" i="8"/>
  <c r="AJ77" i="8"/>
  <c r="AF77" i="8"/>
  <c r="AB77" i="8"/>
  <c r="X77" i="8"/>
  <c r="T77" i="8"/>
  <c r="P77" i="8"/>
  <c r="L77" i="8"/>
  <c r="H77" i="8"/>
  <c r="D77" i="8"/>
  <c r="AG78" i="8"/>
  <c r="AC78" i="8"/>
  <c r="Y78" i="8"/>
  <c r="U78" i="8"/>
  <c r="Q78" i="8"/>
  <c r="M78" i="8"/>
  <c r="I78" i="8"/>
  <c r="E78" i="8"/>
  <c r="AI77" i="8"/>
  <c r="AE77" i="8"/>
  <c r="AA77" i="8"/>
  <c r="W77" i="8"/>
  <c r="S77" i="8"/>
  <c r="O77" i="8"/>
  <c r="K77" i="8"/>
  <c r="G77" i="8"/>
  <c r="C77" i="8"/>
  <c r="AJ78" i="8"/>
  <c r="AF78" i="8"/>
  <c r="AB78" i="8"/>
  <c r="X78" i="8"/>
  <c r="T78" i="8"/>
  <c r="P78" i="8"/>
  <c r="L78" i="8"/>
  <c r="H78" i="8"/>
  <c r="D78" i="8"/>
  <c r="AH77" i="8"/>
  <c r="AD77" i="8"/>
  <c r="Z77" i="8"/>
  <c r="V77" i="8"/>
  <c r="R77" i="8"/>
  <c r="N77" i="8"/>
  <c r="J77" i="8"/>
  <c r="F77" i="8"/>
  <c r="B12" i="8"/>
  <c r="C6" i="8"/>
  <c r="D6" i="8"/>
  <c r="E6" i="8"/>
  <c r="F6"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AK20"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AI21" i="8"/>
  <c r="AJ21" i="8"/>
  <c r="AK21"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AG22" i="8"/>
  <c r="AH22" i="8"/>
  <c r="AI22" i="8"/>
  <c r="AJ22" i="8"/>
  <c r="AK22"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AI23" i="8"/>
  <c r="AJ23" i="8"/>
  <c r="AK23"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AI24" i="8"/>
  <c r="AJ24" i="8"/>
  <c r="AK24" i="8"/>
  <c r="AK11"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C28"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C29"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AJ29" i="8"/>
  <c r="AK29"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C31"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AJ31" i="8"/>
  <c r="AK31" i="8"/>
  <c r="C32" i="8"/>
  <c r="C33"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AJ33" i="8"/>
  <c r="AK33"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AJ38" i="8"/>
  <c r="AK38"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K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C41"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AJ41" i="8"/>
  <c r="AK41" i="8"/>
  <c r="C42"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C43"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C44"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C45"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AH45" i="8"/>
  <c r="AI45" i="8"/>
  <c r="AJ45" i="8"/>
  <c r="AK45" i="8"/>
  <c r="C46" i="8"/>
  <c r="D46" i="8"/>
  <c r="E46" i="8"/>
  <c r="F46" i="8"/>
  <c r="G46" i="8"/>
  <c r="H46" i="8"/>
  <c r="I46" i="8"/>
  <c r="J46" i="8"/>
  <c r="K46" i="8"/>
  <c r="L46" i="8"/>
  <c r="M46" i="8"/>
  <c r="N46" i="8"/>
  <c r="O46" i="8"/>
  <c r="P46" i="8"/>
  <c r="Q46" i="8"/>
  <c r="R46" i="8"/>
  <c r="S46" i="8"/>
  <c r="T46" i="8"/>
  <c r="U46" i="8"/>
  <c r="V46" i="8"/>
  <c r="W46" i="8"/>
  <c r="X46" i="8"/>
  <c r="Y46" i="8"/>
  <c r="Z46" i="8"/>
  <c r="AA46" i="8"/>
  <c r="AB46" i="8"/>
  <c r="AC46" i="8"/>
  <c r="AD46" i="8"/>
  <c r="AE46" i="8"/>
  <c r="AF46" i="8"/>
  <c r="AG46" i="8"/>
  <c r="AH46" i="8"/>
  <c r="AI46" i="8"/>
  <c r="AJ46" i="8"/>
  <c r="AK46" i="8"/>
  <c r="C47" i="8"/>
  <c r="D47" i="8"/>
  <c r="E47" i="8"/>
  <c r="F47" i="8"/>
  <c r="G47" i="8"/>
  <c r="H47" i="8"/>
  <c r="I47" i="8"/>
  <c r="J47" i="8"/>
  <c r="K47" i="8"/>
  <c r="L47" i="8"/>
  <c r="M47" i="8"/>
  <c r="N47" i="8"/>
  <c r="O47" i="8"/>
  <c r="P47" i="8"/>
  <c r="Q47" i="8"/>
  <c r="R47" i="8"/>
  <c r="S47" i="8"/>
  <c r="T47" i="8"/>
  <c r="U47" i="8"/>
  <c r="V47" i="8"/>
  <c r="W47" i="8"/>
  <c r="X47" i="8"/>
  <c r="Y47" i="8"/>
  <c r="Z47" i="8"/>
  <c r="AA47" i="8"/>
  <c r="AB47" i="8"/>
  <c r="AC47" i="8"/>
  <c r="AD47" i="8"/>
  <c r="AE47" i="8"/>
  <c r="AF47" i="8"/>
  <c r="AG47" i="8"/>
  <c r="AH47" i="8"/>
  <c r="AI47" i="8"/>
  <c r="AJ47" i="8"/>
  <c r="AK47" i="8"/>
  <c r="C48"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I48" i="8"/>
  <c r="AJ48" i="8"/>
  <c r="AK48" i="8"/>
  <c r="C49" i="8"/>
  <c r="D49" i="8"/>
  <c r="E49" i="8"/>
  <c r="F49" i="8"/>
  <c r="G49" i="8"/>
  <c r="H49" i="8"/>
  <c r="I49" i="8"/>
  <c r="J49" i="8"/>
  <c r="K49" i="8"/>
  <c r="L49" i="8"/>
  <c r="M49" i="8"/>
  <c r="N49" i="8"/>
  <c r="O49" i="8"/>
  <c r="P49" i="8"/>
  <c r="Q49" i="8"/>
  <c r="R49" i="8"/>
  <c r="S49" i="8"/>
  <c r="T49" i="8"/>
  <c r="U49" i="8"/>
  <c r="V49" i="8"/>
  <c r="W49" i="8"/>
  <c r="X49" i="8"/>
  <c r="Y49" i="8"/>
  <c r="Z49" i="8"/>
  <c r="AA49" i="8"/>
  <c r="AB49" i="8"/>
  <c r="AC49" i="8"/>
  <c r="AD49" i="8"/>
  <c r="AE49" i="8"/>
  <c r="AF49" i="8"/>
  <c r="AG49" i="8"/>
  <c r="AH49" i="8"/>
  <c r="AI49" i="8"/>
  <c r="AJ49" i="8"/>
  <c r="AK49" i="8"/>
  <c r="C50" i="8"/>
  <c r="D50" i="8"/>
  <c r="E50" i="8"/>
  <c r="F50" i="8"/>
  <c r="G50" i="8"/>
  <c r="H50" i="8"/>
  <c r="I50" i="8"/>
  <c r="J50" i="8"/>
  <c r="K50" i="8"/>
  <c r="L50" i="8"/>
  <c r="M50" i="8"/>
  <c r="N50" i="8"/>
  <c r="O50" i="8"/>
  <c r="P50" i="8"/>
  <c r="Q50" i="8"/>
  <c r="R50" i="8"/>
  <c r="S50" i="8"/>
  <c r="T50" i="8"/>
  <c r="U50" i="8"/>
  <c r="V50" i="8"/>
  <c r="W50" i="8"/>
  <c r="X50" i="8"/>
  <c r="Y50" i="8"/>
  <c r="Z50" i="8"/>
  <c r="AA50" i="8"/>
  <c r="AB50" i="8"/>
  <c r="AC50" i="8"/>
  <c r="AD50" i="8"/>
  <c r="AE50" i="8"/>
  <c r="AF50" i="8"/>
  <c r="AG50" i="8"/>
  <c r="AH50" i="8"/>
  <c r="AI50" i="8"/>
  <c r="AJ50" i="8"/>
  <c r="AK50" i="8"/>
  <c r="C51" i="8"/>
  <c r="D51" i="8"/>
  <c r="E51" i="8"/>
  <c r="F51" i="8"/>
  <c r="G51" i="8"/>
  <c r="H51" i="8"/>
  <c r="I51" i="8"/>
  <c r="J51" i="8"/>
  <c r="K51" i="8"/>
  <c r="L51" i="8"/>
  <c r="M51" i="8"/>
  <c r="N51" i="8"/>
  <c r="O51" i="8"/>
  <c r="P51" i="8"/>
  <c r="Q51" i="8"/>
  <c r="R51" i="8"/>
  <c r="S51" i="8"/>
  <c r="T51" i="8"/>
  <c r="U51" i="8"/>
  <c r="V51" i="8"/>
  <c r="W51" i="8"/>
  <c r="X51" i="8"/>
  <c r="Y51" i="8"/>
  <c r="Z51" i="8"/>
  <c r="AA51" i="8"/>
  <c r="AB51" i="8"/>
  <c r="AC51" i="8"/>
  <c r="AD51" i="8"/>
  <c r="AE51" i="8"/>
  <c r="AF51" i="8"/>
  <c r="AG51" i="8"/>
  <c r="AH51" i="8"/>
  <c r="AI51" i="8"/>
  <c r="AJ51" i="8"/>
  <c r="AK51" i="8"/>
  <c r="C52" i="8"/>
  <c r="D52" i="8"/>
  <c r="E52" i="8"/>
  <c r="F52" i="8"/>
  <c r="G52" i="8"/>
  <c r="H52" i="8"/>
  <c r="I52" i="8"/>
  <c r="J52" i="8"/>
  <c r="K52" i="8"/>
  <c r="L52" i="8"/>
  <c r="M52" i="8"/>
  <c r="N52" i="8"/>
  <c r="O52" i="8"/>
  <c r="P52" i="8"/>
  <c r="Q52" i="8"/>
  <c r="R52" i="8"/>
  <c r="S52" i="8"/>
  <c r="T52" i="8"/>
  <c r="U52" i="8"/>
  <c r="V52" i="8"/>
  <c r="W52" i="8"/>
  <c r="X52" i="8"/>
  <c r="Y52" i="8"/>
  <c r="Z52" i="8"/>
  <c r="AA52" i="8"/>
  <c r="AB52" i="8"/>
  <c r="AC52" i="8"/>
  <c r="AD52" i="8"/>
  <c r="AE52" i="8"/>
  <c r="AF52" i="8"/>
  <c r="AG52" i="8"/>
  <c r="AH52" i="8"/>
  <c r="AI52" i="8"/>
  <c r="AJ52" i="8"/>
  <c r="AK52" i="8"/>
  <c r="C53" i="8"/>
  <c r="D53" i="8"/>
  <c r="E53" i="8"/>
  <c r="F53" i="8"/>
  <c r="G53" i="8"/>
  <c r="H53" i="8"/>
  <c r="I53" i="8"/>
  <c r="J53" i="8"/>
  <c r="K53" i="8"/>
  <c r="L53" i="8"/>
  <c r="M53" i="8"/>
  <c r="N53" i="8"/>
  <c r="O53" i="8"/>
  <c r="P53" i="8"/>
  <c r="Q53" i="8"/>
  <c r="R53" i="8"/>
  <c r="S53" i="8"/>
  <c r="T53" i="8"/>
  <c r="U53" i="8"/>
  <c r="V53" i="8"/>
  <c r="W53" i="8"/>
  <c r="X53" i="8"/>
  <c r="Y53" i="8"/>
  <c r="Z53" i="8"/>
  <c r="AA53" i="8"/>
  <c r="AB53" i="8"/>
  <c r="AC53" i="8"/>
  <c r="AD53" i="8"/>
  <c r="AE53" i="8"/>
  <c r="AF53" i="8"/>
  <c r="AG53" i="8"/>
  <c r="AH53" i="8"/>
  <c r="AI53" i="8"/>
  <c r="AJ53" i="8"/>
  <c r="AK53" i="8"/>
  <c r="C54" i="8"/>
  <c r="D54" i="8"/>
  <c r="E54" i="8"/>
  <c r="F54" i="8"/>
  <c r="G54" i="8"/>
  <c r="H54" i="8"/>
  <c r="I54" i="8"/>
  <c r="J54" i="8"/>
  <c r="K54" i="8"/>
  <c r="L54" i="8"/>
  <c r="M54" i="8"/>
  <c r="N54" i="8"/>
  <c r="O54" i="8"/>
  <c r="P54" i="8"/>
  <c r="Q54" i="8"/>
  <c r="R54" i="8"/>
  <c r="S54" i="8"/>
  <c r="T54" i="8"/>
  <c r="U54" i="8"/>
  <c r="V54" i="8"/>
  <c r="W54" i="8"/>
  <c r="X54" i="8"/>
  <c r="Y54" i="8"/>
  <c r="Z54" i="8"/>
  <c r="AA54" i="8"/>
  <c r="AB54" i="8"/>
  <c r="AC54" i="8"/>
  <c r="AD54" i="8"/>
  <c r="AE54" i="8"/>
  <c r="AF54" i="8"/>
  <c r="AG54" i="8"/>
  <c r="AH54" i="8"/>
  <c r="AI54" i="8"/>
  <c r="AJ54" i="8"/>
  <c r="AK54" i="8"/>
  <c r="C55" i="8"/>
  <c r="D55" i="8"/>
  <c r="E55" i="8"/>
  <c r="F55" i="8"/>
  <c r="G55" i="8"/>
  <c r="H55" i="8"/>
  <c r="I55" i="8"/>
  <c r="J55" i="8"/>
  <c r="K55" i="8"/>
  <c r="L55" i="8"/>
  <c r="M55" i="8"/>
  <c r="N55" i="8"/>
  <c r="O55" i="8"/>
  <c r="P55" i="8"/>
  <c r="Q55" i="8"/>
  <c r="R55" i="8"/>
  <c r="S55" i="8"/>
  <c r="T55" i="8"/>
  <c r="U55" i="8"/>
  <c r="V55" i="8"/>
  <c r="W55" i="8"/>
  <c r="X55" i="8"/>
  <c r="Y55" i="8"/>
  <c r="Z55" i="8"/>
  <c r="AA55" i="8"/>
  <c r="AB55" i="8"/>
  <c r="AC55" i="8"/>
  <c r="AD55" i="8"/>
  <c r="AE55" i="8"/>
  <c r="AF55" i="8"/>
  <c r="AG55" i="8"/>
  <c r="AH55" i="8"/>
  <c r="AI55" i="8"/>
  <c r="AJ55" i="8"/>
  <c r="AK55" i="8"/>
  <c r="C56" i="8"/>
  <c r="D56" i="8"/>
  <c r="E56" i="8"/>
  <c r="F56" i="8"/>
  <c r="G56" i="8"/>
  <c r="H56" i="8"/>
  <c r="I56" i="8"/>
  <c r="J56" i="8"/>
  <c r="K56" i="8"/>
  <c r="L56" i="8"/>
  <c r="M56" i="8"/>
  <c r="N56" i="8"/>
  <c r="O56" i="8"/>
  <c r="P56" i="8"/>
  <c r="Q56" i="8"/>
  <c r="R56" i="8"/>
  <c r="S56" i="8"/>
  <c r="T56" i="8"/>
  <c r="U56" i="8"/>
  <c r="V56" i="8"/>
  <c r="W56" i="8"/>
  <c r="X56" i="8"/>
  <c r="Y56" i="8"/>
  <c r="Z56" i="8"/>
  <c r="AA56" i="8"/>
  <c r="AB56" i="8"/>
  <c r="AC56" i="8"/>
  <c r="AD56" i="8"/>
  <c r="AE56" i="8"/>
  <c r="AF56" i="8"/>
  <c r="AG56" i="8"/>
  <c r="AH56" i="8"/>
  <c r="AI56" i="8"/>
  <c r="AJ56" i="8"/>
  <c r="AK56" i="8"/>
  <c r="C57" i="8"/>
  <c r="D57" i="8"/>
  <c r="E57" i="8"/>
  <c r="F57" i="8"/>
  <c r="G57" i="8"/>
  <c r="H57" i="8"/>
  <c r="I57" i="8"/>
  <c r="J57" i="8"/>
  <c r="K57" i="8"/>
  <c r="L57" i="8"/>
  <c r="M57" i="8"/>
  <c r="N57" i="8"/>
  <c r="O57" i="8"/>
  <c r="P57" i="8"/>
  <c r="Q57" i="8"/>
  <c r="R57" i="8"/>
  <c r="S57" i="8"/>
  <c r="T57" i="8"/>
  <c r="U57" i="8"/>
  <c r="V57" i="8"/>
  <c r="W57" i="8"/>
  <c r="X57" i="8"/>
  <c r="Y57" i="8"/>
  <c r="Z57" i="8"/>
  <c r="AA57" i="8"/>
  <c r="AB57" i="8"/>
  <c r="AC57" i="8"/>
  <c r="AD57" i="8"/>
  <c r="AE57" i="8"/>
  <c r="AF57" i="8"/>
  <c r="AG57" i="8"/>
  <c r="AH57" i="8"/>
  <c r="AI57" i="8"/>
  <c r="AJ57" i="8"/>
  <c r="AK57" i="8"/>
  <c r="C58" i="8"/>
  <c r="D58" i="8"/>
  <c r="E58" i="8"/>
  <c r="F58" i="8"/>
  <c r="G58" i="8"/>
  <c r="H58" i="8"/>
  <c r="I58" i="8"/>
  <c r="J58" i="8"/>
  <c r="K58" i="8"/>
  <c r="L58" i="8"/>
  <c r="M58" i="8"/>
  <c r="N58" i="8"/>
  <c r="O58" i="8"/>
  <c r="P58" i="8"/>
  <c r="Q58" i="8"/>
  <c r="R58" i="8"/>
  <c r="S58" i="8"/>
  <c r="T58" i="8"/>
  <c r="U58" i="8"/>
  <c r="V58" i="8"/>
  <c r="W58" i="8"/>
  <c r="X58" i="8"/>
  <c r="Y58" i="8"/>
  <c r="Z58" i="8"/>
  <c r="AA58" i="8"/>
  <c r="AB58" i="8"/>
  <c r="AC58" i="8"/>
  <c r="AD58" i="8"/>
  <c r="AE58" i="8"/>
  <c r="AF58" i="8"/>
  <c r="AG58" i="8"/>
  <c r="AH58" i="8"/>
  <c r="AI58" i="8"/>
  <c r="AJ58" i="8"/>
  <c r="AK58" i="8"/>
  <c r="C59" i="8"/>
  <c r="D59" i="8"/>
  <c r="E59" i="8"/>
  <c r="F59" i="8"/>
  <c r="G59" i="8"/>
  <c r="H59" i="8"/>
  <c r="I59" i="8"/>
  <c r="J59" i="8"/>
  <c r="K59" i="8"/>
  <c r="L59" i="8"/>
  <c r="M59" i="8"/>
  <c r="N59" i="8"/>
  <c r="O59" i="8"/>
  <c r="P59" i="8"/>
  <c r="Q59" i="8"/>
  <c r="R59" i="8"/>
  <c r="S59" i="8"/>
  <c r="T59" i="8"/>
  <c r="U59" i="8"/>
  <c r="V59" i="8"/>
  <c r="W59" i="8"/>
  <c r="X59" i="8"/>
  <c r="Y59" i="8"/>
  <c r="Z59" i="8"/>
  <c r="AA59" i="8"/>
  <c r="AB59" i="8"/>
  <c r="AC59" i="8"/>
  <c r="AD59" i="8"/>
  <c r="AE59" i="8"/>
  <c r="AF59" i="8"/>
  <c r="AG59" i="8"/>
  <c r="AH59" i="8"/>
  <c r="AI59" i="8"/>
  <c r="AJ59" i="8"/>
  <c r="AK59"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C62" i="8"/>
  <c r="D62" i="8"/>
  <c r="E62" i="8"/>
  <c r="F62"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C63" i="8"/>
  <c r="D63" i="8"/>
  <c r="E63" i="8"/>
  <c r="F63" i="8"/>
  <c r="G63" i="8"/>
  <c r="H63" i="8"/>
  <c r="I63" i="8"/>
  <c r="J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C64" i="8"/>
  <c r="D64" i="8"/>
  <c r="E64" i="8"/>
  <c r="F64" i="8"/>
  <c r="G64" i="8"/>
  <c r="H64" i="8"/>
  <c r="I64" i="8"/>
  <c r="J64" i="8"/>
  <c r="K64" i="8"/>
  <c r="L64" i="8"/>
  <c r="M64" i="8"/>
  <c r="N64" i="8"/>
  <c r="O64" i="8"/>
  <c r="P64" i="8"/>
  <c r="Q64" i="8"/>
  <c r="R64" i="8"/>
  <c r="S64" i="8"/>
  <c r="T64" i="8"/>
  <c r="U64" i="8"/>
  <c r="V64" i="8"/>
  <c r="W64" i="8"/>
  <c r="X64" i="8"/>
  <c r="Y64" i="8"/>
  <c r="Z64" i="8"/>
  <c r="AA64" i="8"/>
  <c r="AB64" i="8"/>
  <c r="AC64" i="8"/>
  <c r="AD64" i="8"/>
  <c r="AE64" i="8"/>
  <c r="AF64" i="8"/>
  <c r="AG64" i="8"/>
  <c r="AH64" i="8"/>
  <c r="AI64" i="8"/>
  <c r="AJ64" i="8"/>
  <c r="AK64" i="8"/>
  <c r="C65" i="8"/>
  <c r="D65" i="8"/>
  <c r="E65" i="8"/>
  <c r="F65" i="8"/>
  <c r="G65" i="8"/>
  <c r="H65" i="8"/>
  <c r="I65" i="8"/>
  <c r="J65" i="8"/>
  <c r="K65" i="8"/>
  <c r="L65" i="8"/>
  <c r="M65" i="8"/>
  <c r="N65" i="8"/>
  <c r="O65" i="8"/>
  <c r="P65" i="8"/>
  <c r="Q65" i="8"/>
  <c r="R65" i="8"/>
  <c r="S65" i="8"/>
  <c r="T65" i="8"/>
  <c r="U65" i="8"/>
  <c r="V65" i="8"/>
  <c r="W65" i="8"/>
  <c r="X65" i="8"/>
  <c r="Y65" i="8"/>
  <c r="Z65" i="8"/>
  <c r="AA65" i="8"/>
  <c r="AB65" i="8"/>
  <c r="AC65" i="8"/>
  <c r="AD65" i="8"/>
  <c r="AE65" i="8"/>
  <c r="AF65" i="8"/>
  <c r="AG65" i="8"/>
  <c r="AH65" i="8"/>
  <c r="AI65" i="8"/>
  <c r="AJ65" i="8"/>
  <c r="AK65" i="8"/>
  <c r="C66" i="8"/>
  <c r="D66" i="8"/>
  <c r="E66" i="8"/>
  <c r="F66" i="8"/>
  <c r="G66" i="8"/>
  <c r="H66" i="8"/>
  <c r="I66" i="8"/>
  <c r="J66" i="8"/>
  <c r="K66" i="8"/>
  <c r="L66" i="8"/>
  <c r="M66" i="8"/>
  <c r="N66" i="8"/>
  <c r="O66" i="8"/>
  <c r="P66" i="8"/>
  <c r="Q66" i="8"/>
  <c r="R66" i="8"/>
  <c r="S66" i="8"/>
  <c r="T66" i="8"/>
  <c r="U66" i="8"/>
  <c r="V66" i="8"/>
  <c r="W66" i="8"/>
  <c r="X66" i="8"/>
  <c r="Y66" i="8"/>
  <c r="Z66" i="8"/>
  <c r="AA66" i="8"/>
  <c r="AB66" i="8"/>
  <c r="AC66" i="8"/>
  <c r="AD66" i="8"/>
  <c r="AE66" i="8"/>
  <c r="AF66" i="8"/>
  <c r="AG66" i="8"/>
  <c r="AH66" i="8"/>
  <c r="AI66" i="8"/>
  <c r="AJ66" i="8"/>
  <c r="AK66" i="8"/>
  <c r="C67" i="8"/>
  <c r="D67" i="8"/>
  <c r="E67" i="8"/>
  <c r="F67" i="8"/>
  <c r="G67" i="8"/>
  <c r="H67" i="8"/>
  <c r="I67" i="8"/>
  <c r="J67" i="8"/>
  <c r="K67" i="8"/>
  <c r="L67" i="8"/>
  <c r="M67" i="8"/>
  <c r="N67" i="8"/>
  <c r="O67" i="8"/>
  <c r="P67" i="8"/>
  <c r="Q67" i="8"/>
  <c r="R67" i="8"/>
  <c r="S67" i="8"/>
  <c r="T67" i="8"/>
  <c r="U67" i="8"/>
  <c r="V67" i="8"/>
  <c r="W67" i="8"/>
  <c r="X67" i="8"/>
  <c r="Y67" i="8"/>
  <c r="Z67" i="8"/>
  <c r="AA67" i="8"/>
  <c r="AB67" i="8"/>
  <c r="AC67" i="8"/>
  <c r="AD67" i="8"/>
  <c r="AE67" i="8"/>
  <c r="AF67" i="8"/>
  <c r="AG67" i="8"/>
  <c r="AH67" i="8"/>
  <c r="AI67" i="8"/>
  <c r="AJ67" i="8"/>
  <c r="AK67" i="8"/>
  <c r="C68" i="8"/>
  <c r="D68" i="8"/>
  <c r="E68" i="8"/>
  <c r="F68" i="8"/>
  <c r="G68" i="8"/>
  <c r="H68" i="8"/>
  <c r="I68" i="8"/>
  <c r="J68" i="8"/>
  <c r="K68" i="8"/>
  <c r="L68" i="8"/>
  <c r="M68" i="8"/>
  <c r="N68" i="8"/>
  <c r="O68" i="8"/>
  <c r="P68" i="8"/>
  <c r="Q68" i="8"/>
  <c r="R68" i="8"/>
  <c r="S68" i="8"/>
  <c r="T68" i="8"/>
  <c r="U68" i="8"/>
  <c r="V68" i="8"/>
  <c r="W68" i="8"/>
  <c r="X68" i="8"/>
  <c r="Y68" i="8"/>
  <c r="Z68" i="8"/>
  <c r="AA68" i="8"/>
  <c r="AB68" i="8"/>
  <c r="AC68" i="8"/>
  <c r="AD68" i="8"/>
  <c r="AE68" i="8"/>
  <c r="AF68" i="8"/>
  <c r="AG68" i="8"/>
  <c r="AH68" i="8"/>
  <c r="AI68" i="8"/>
  <c r="AJ68" i="8"/>
  <c r="AK68" i="8"/>
  <c r="C69" i="8"/>
  <c r="D69" i="8"/>
  <c r="E69" i="8"/>
  <c r="F69" i="8"/>
  <c r="G69" i="8"/>
  <c r="H69" i="8"/>
  <c r="I69" i="8"/>
  <c r="J69" i="8"/>
  <c r="K69" i="8"/>
  <c r="L69" i="8"/>
  <c r="M69" i="8"/>
  <c r="N69" i="8"/>
  <c r="O69" i="8"/>
  <c r="P69" i="8"/>
  <c r="Q69" i="8"/>
  <c r="R69" i="8"/>
  <c r="S69" i="8"/>
  <c r="T69" i="8"/>
  <c r="U69" i="8"/>
  <c r="V69" i="8"/>
  <c r="W69" i="8"/>
  <c r="X69" i="8"/>
  <c r="Y69" i="8"/>
  <c r="Z69" i="8"/>
  <c r="AA69" i="8"/>
  <c r="AB69" i="8"/>
  <c r="AC69" i="8"/>
  <c r="AD69" i="8"/>
  <c r="AE69" i="8"/>
  <c r="AF69" i="8"/>
  <c r="AG69" i="8"/>
  <c r="AH69" i="8"/>
  <c r="AI69" i="8"/>
  <c r="AJ69" i="8"/>
  <c r="AK69"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AJ4" i="8"/>
  <c r="AK4"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AK3" i="8"/>
  <c r="E373" i="43"/>
  <c r="F373" i="43"/>
  <c r="E394" i="43"/>
  <c r="F394" i="43"/>
  <c r="E415" i="43"/>
  <c r="F415" i="43"/>
  <c r="E436" i="43"/>
  <c r="F436" i="43"/>
  <c r="E457" i="43"/>
  <c r="F457" i="43"/>
  <c r="F478" i="43"/>
  <c r="E478" i="43"/>
  <c r="F499" i="43"/>
  <c r="E499" i="43"/>
  <c r="E515" i="43"/>
  <c r="F515" i="43"/>
  <c r="E365" i="43"/>
  <c r="F365" i="43"/>
  <c r="E382" i="43"/>
  <c r="F382" i="43"/>
  <c r="E403" i="43"/>
  <c r="F403" i="43"/>
  <c r="E419" i="43"/>
  <c r="F419" i="43"/>
  <c r="E440" i="43"/>
  <c r="F440" i="43"/>
  <c r="E461" i="43"/>
  <c r="F461" i="43"/>
  <c r="F482" i="43"/>
  <c r="E482" i="43"/>
  <c r="F503" i="43"/>
  <c r="E503" i="43"/>
  <c r="E360" i="43"/>
  <c r="F360" i="43"/>
  <c r="F368" i="43"/>
  <c r="E368" i="43"/>
  <c r="E362" i="43"/>
  <c r="F362" i="43"/>
  <c r="E356" i="43"/>
  <c r="F356" i="43"/>
  <c r="E359" i="43"/>
  <c r="F359" i="43"/>
  <c r="E367" i="43"/>
  <c r="F367" i="43"/>
  <c r="E357" i="43"/>
  <c r="F357" i="43"/>
  <c r="F386" i="43"/>
  <c r="E386" i="43"/>
  <c r="E407" i="43"/>
  <c r="F407" i="43"/>
  <c r="E428" i="43"/>
  <c r="F428" i="43"/>
  <c r="F444" i="43"/>
  <c r="E444" i="43"/>
  <c r="E465" i="43"/>
  <c r="F465" i="43"/>
  <c r="E486" i="43"/>
  <c r="F486" i="43"/>
  <c r="E507" i="43"/>
  <c r="F507" i="43"/>
  <c r="F366" i="43"/>
  <c r="E366" i="43"/>
  <c r="E379" i="43"/>
  <c r="F379" i="43"/>
  <c r="E361" i="43"/>
  <c r="F361" i="43"/>
  <c r="E369" i="43"/>
  <c r="F369" i="43"/>
  <c r="F390" i="43"/>
  <c r="E390" i="43"/>
  <c r="E411" i="43"/>
  <c r="F411" i="43"/>
  <c r="F432" i="43"/>
  <c r="E432" i="43"/>
  <c r="F453" i="43"/>
  <c r="E453" i="43"/>
  <c r="E469" i="43"/>
  <c r="F469" i="43"/>
  <c r="F490" i="43"/>
  <c r="E490" i="43"/>
  <c r="F511" i="43"/>
  <c r="E511" i="43"/>
  <c r="E364" i="43"/>
  <c r="F364" i="43"/>
  <c r="E358" i="43"/>
  <c r="F358" i="43"/>
  <c r="E363" i="43"/>
  <c r="F363" i="43"/>
  <c r="F355" i="43"/>
  <c r="E82" i="28"/>
  <c r="E27" i="26"/>
  <c r="D28" i="26"/>
  <c r="C35" i="26"/>
  <c r="C42" i="26"/>
  <c r="C36" i="26"/>
  <c r="C43" i="26"/>
  <c r="D29" i="26"/>
  <c r="E26" i="26"/>
  <c r="B20" i="26"/>
  <c r="B17" i="26"/>
  <c r="B35" i="26"/>
  <c r="B42" i="26"/>
  <c r="C75" i="8"/>
  <c r="C74" i="8"/>
  <c r="AK101" i="8"/>
  <c r="E82" i="8"/>
  <c r="D76" i="8"/>
  <c r="D75" i="8"/>
  <c r="D74" i="8"/>
  <c r="U11" i="8"/>
  <c r="E11" i="8"/>
  <c r="AG11" i="8"/>
  <c r="Q11" i="8"/>
  <c r="AC11" i="8"/>
  <c r="M11" i="8"/>
  <c r="AK10" i="8"/>
  <c r="Y11" i="8"/>
  <c r="I11" i="8"/>
  <c r="G6" i="8"/>
  <c r="H6" i="8"/>
  <c r="I6" i="8"/>
  <c r="J6" i="8"/>
  <c r="AE10" i="8"/>
  <c r="S10" i="8"/>
  <c r="K10" i="8"/>
  <c r="Y9" i="8"/>
  <c r="Q9" i="8"/>
  <c r="I9" i="8"/>
  <c r="AJ11" i="8"/>
  <c r="AF11" i="8"/>
  <c r="AB11" i="8"/>
  <c r="X11" i="8"/>
  <c r="T11" i="8"/>
  <c r="P11" i="8"/>
  <c r="L11" i="8"/>
  <c r="H11" i="8"/>
  <c r="D11" i="8"/>
  <c r="AH10" i="8"/>
  <c r="AD10" i="8"/>
  <c r="Z10" i="8"/>
  <c r="V10" i="8"/>
  <c r="R10" i="8"/>
  <c r="N10" i="8"/>
  <c r="J10" i="8"/>
  <c r="F10" i="8"/>
  <c r="AJ9" i="8"/>
  <c r="AF9" i="8"/>
  <c r="AB9" i="8"/>
  <c r="X9" i="8"/>
  <c r="T9" i="8"/>
  <c r="P9" i="8"/>
  <c r="L9" i="8"/>
  <c r="H9" i="8"/>
  <c r="D9" i="8"/>
  <c r="AI10" i="8"/>
  <c r="W10" i="8"/>
  <c r="G10" i="8"/>
  <c r="AG9" i="8"/>
  <c r="U9" i="8"/>
  <c r="M9" i="8"/>
  <c r="E9" i="8"/>
  <c r="C11" i="8"/>
  <c r="AI11" i="8"/>
  <c r="AE11" i="8"/>
  <c r="AA11" i="8"/>
  <c r="W11" i="8"/>
  <c r="S11" i="8"/>
  <c r="O11" i="8"/>
  <c r="K11" i="8"/>
  <c r="G11" i="8"/>
  <c r="AG10" i="8"/>
  <c r="AC10" i="8"/>
  <c r="Y10" i="8"/>
  <c r="U10" i="8"/>
  <c r="Q10" i="8"/>
  <c r="M10" i="8"/>
  <c r="I10" i="8"/>
  <c r="E10" i="8"/>
  <c r="AI9" i="8"/>
  <c r="AE9" i="8"/>
  <c r="AA9" i="8"/>
  <c r="W9" i="8"/>
  <c r="S9" i="8"/>
  <c r="O9" i="8"/>
  <c r="K9" i="8"/>
  <c r="G9" i="8"/>
  <c r="AA10" i="8"/>
  <c r="O10" i="8"/>
  <c r="AC9" i="8"/>
  <c r="AH11" i="8"/>
  <c r="AD11" i="8"/>
  <c r="Z11" i="8"/>
  <c r="V11" i="8"/>
  <c r="R11" i="8"/>
  <c r="N11" i="8"/>
  <c r="J11" i="8"/>
  <c r="F11" i="8"/>
  <c r="AJ10" i="8"/>
  <c r="AF10" i="8"/>
  <c r="AB10" i="8"/>
  <c r="X10" i="8"/>
  <c r="T10" i="8"/>
  <c r="P10" i="8"/>
  <c r="L10" i="8"/>
  <c r="H10" i="8"/>
  <c r="D10" i="8"/>
  <c r="AH9" i="8"/>
  <c r="AD9" i="8"/>
  <c r="Z9" i="8"/>
  <c r="V9" i="8"/>
  <c r="R9" i="8"/>
  <c r="N9" i="8"/>
  <c r="J9" i="8"/>
  <c r="F9" i="8"/>
  <c r="C10" i="8"/>
  <c r="C9" i="8"/>
  <c r="C8"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AJ32" i="8"/>
  <c r="AK32" i="8"/>
  <c r="AK8" i="8"/>
  <c r="AK7" i="8"/>
  <c r="B42" i="30"/>
  <c r="E43" i="6"/>
  <c r="D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C45" i="6"/>
  <c r="C44" i="6"/>
  <c r="C43" i="6"/>
  <c r="B28" i="6"/>
  <c r="B43" i="6"/>
  <c r="B45" i="6"/>
  <c r="B44" i="6"/>
  <c r="B33" i="30"/>
  <c r="B29" i="30"/>
  <c r="E2" i="31"/>
  <c r="B21" i="30"/>
  <c r="B32" i="2"/>
  <c r="F32" i="2"/>
  <c r="B31" i="2"/>
  <c r="D31" i="2"/>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B9" i="13"/>
  <c r="B22" i="30"/>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C10" i="1"/>
  <c r="C11" i="1"/>
  <c r="B10" i="1"/>
  <c r="B77" i="30"/>
  <c r="B68" i="30"/>
  <c r="B66" i="30"/>
  <c r="B62" i="30"/>
  <c r="B61" i="30"/>
  <c r="B63" i="30"/>
  <c r="B64" i="30"/>
  <c r="B67" i="30"/>
  <c r="B65" i="30"/>
  <c r="B31" i="30"/>
  <c r="B27" i="30"/>
  <c r="E2" i="33"/>
  <c r="B41" i="30"/>
  <c r="B40" i="30"/>
  <c r="B74" i="30"/>
  <c r="I2" i="33"/>
  <c r="B39" i="30"/>
  <c r="F2" i="32"/>
  <c r="F82" i="28"/>
  <c r="B19" i="26"/>
  <c r="B18" i="26"/>
  <c r="F26" i="26"/>
  <c r="E28" i="26"/>
  <c r="D35" i="26"/>
  <c r="D42" i="26"/>
  <c r="D36" i="26"/>
  <c r="D43" i="26"/>
  <c r="E29" i="26"/>
  <c r="F27" i="26"/>
  <c r="E34" i="26"/>
  <c r="E41" i="26"/>
  <c r="B60" i="30"/>
  <c r="H2" i="32"/>
  <c r="K101" i="8"/>
  <c r="AB101" i="8"/>
  <c r="W101" i="8"/>
  <c r="L101" i="8"/>
  <c r="C101" i="8"/>
  <c r="H101" i="8"/>
  <c r="M101" i="8"/>
  <c r="T101" i="8"/>
  <c r="I101" i="8"/>
  <c r="AD101" i="8"/>
  <c r="AG101" i="8"/>
  <c r="G101" i="8"/>
  <c r="AF101" i="8"/>
  <c r="E101" i="8"/>
  <c r="X101" i="8"/>
  <c r="N101" i="8"/>
  <c r="AJ101" i="8"/>
  <c r="Y101" i="8"/>
  <c r="P101" i="8"/>
  <c r="AE101" i="8"/>
  <c r="Z101" i="8"/>
  <c r="AI101" i="8"/>
  <c r="V101" i="8"/>
  <c r="AA101" i="8"/>
  <c r="AC101" i="8"/>
  <c r="O101" i="8"/>
  <c r="D101" i="8"/>
  <c r="J101" i="8"/>
  <c r="R101" i="8"/>
  <c r="S101" i="8"/>
  <c r="F101" i="8"/>
  <c r="AH101" i="8"/>
  <c r="U101" i="8"/>
  <c r="Q101" i="8"/>
  <c r="F82" i="8"/>
  <c r="E76" i="8"/>
  <c r="E75" i="8"/>
  <c r="E74" i="8"/>
  <c r="AB8" i="8"/>
  <c r="AB7" i="8"/>
  <c r="J8" i="8"/>
  <c r="J7" i="8"/>
  <c r="J12" i="8"/>
  <c r="AA8" i="8"/>
  <c r="Z8" i="8"/>
  <c r="Z7" i="8"/>
  <c r="O8" i="8"/>
  <c r="O7" i="8"/>
  <c r="Q8" i="8"/>
  <c r="Q7" i="8"/>
  <c r="L8" i="8"/>
  <c r="L7" i="8"/>
  <c r="AG8" i="8"/>
  <c r="AG7" i="8"/>
  <c r="P8" i="8"/>
  <c r="P7" i="8"/>
  <c r="AF8" i="8"/>
  <c r="AF7" i="8"/>
  <c r="E8" i="8"/>
  <c r="E7" i="8"/>
  <c r="E12" i="8"/>
  <c r="U8" i="8"/>
  <c r="U7" i="8"/>
  <c r="N8" i="8"/>
  <c r="N7" i="8"/>
  <c r="AD8" i="8"/>
  <c r="AD7" i="8"/>
  <c r="G8" i="8"/>
  <c r="G7" i="8"/>
  <c r="G12" i="8"/>
  <c r="AI8" i="8"/>
  <c r="AI7" i="8"/>
  <c r="C7" i="8"/>
  <c r="C12" i="8"/>
  <c r="D8" i="8"/>
  <c r="D7" i="8"/>
  <c r="D12" i="8"/>
  <c r="T8" i="8"/>
  <c r="T7" i="8"/>
  <c r="AJ8" i="8"/>
  <c r="AJ7" i="8"/>
  <c r="I8" i="8"/>
  <c r="I7" i="8"/>
  <c r="I12" i="8"/>
  <c r="Y8" i="8"/>
  <c r="Y7" i="8"/>
  <c r="AA7" i="8"/>
  <c r="S8" i="8"/>
  <c r="S7" i="8"/>
  <c r="R8" i="8"/>
  <c r="R7" i="8"/>
  <c r="AH8" i="8"/>
  <c r="AH7" i="8"/>
  <c r="K8" i="8"/>
  <c r="K7" i="8"/>
  <c r="H8" i="8"/>
  <c r="H7" i="8"/>
  <c r="H12" i="8"/>
  <c r="X8" i="8"/>
  <c r="X7" i="8"/>
  <c r="M8" i="8"/>
  <c r="M7" i="8"/>
  <c r="AC8" i="8"/>
  <c r="AC7" i="8"/>
  <c r="AE8" i="8"/>
  <c r="AE7" i="8"/>
  <c r="F8" i="8"/>
  <c r="F7" i="8"/>
  <c r="F12" i="8"/>
  <c r="V8" i="8"/>
  <c r="V7" i="8"/>
  <c r="W8" i="8"/>
  <c r="W7" i="8"/>
  <c r="K6" i="8"/>
  <c r="AB32" i="2"/>
  <c r="V31" i="2"/>
  <c r="C31" i="2"/>
  <c r="AI32" i="2"/>
  <c r="AE32" i="2"/>
  <c r="AA32" i="2"/>
  <c r="W32" i="2"/>
  <c r="S32" i="2"/>
  <c r="O32" i="2"/>
  <c r="K32" i="2"/>
  <c r="G32" i="2"/>
  <c r="AK31" i="2"/>
  <c r="AG31" i="2"/>
  <c r="AC31" i="2"/>
  <c r="Y31" i="2"/>
  <c r="U31" i="2"/>
  <c r="Q31" i="2"/>
  <c r="M31" i="2"/>
  <c r="I31" i="2"/>
  <c r="E31" i="2"/>
  <c r="AK32" i="2"/>
  <c r="AG32" i="2"/>
  <c r="AC32" i="2"/>
  <c r="Y32" i="2"/>
  <c r="U32" i="2"/>
  <c r="Q32" i="2"/>
  <c r="M32" i="2"/>
  <c r="I32" i="2"/>
  <c r="E32" i="2"/>
  <c r="AI31" i="2"/>
  <c r="AE31" i="2"/>
  <c r="AA31" i="2"/>
  <c r="W31" i="2"/>
  <c r="S31" i="2"/>
  <c r="O31" i="2"/>
  <c r="K31" i="2"/>
  <c r="G31" i="2"/>
  <c r="AJ32" i="2"/>
  <c r="AF32" i="2"/>
  <c r="X32" i="2"/>
  <c r="T32" i="2"/>
  <c r="P32" i="2"/>
  <c r="L32" i="2"/>
  <c r="H32" i="2"/>
  <c r="D32" i="2"/>
  <c r="AH31" i="2"/>
  <c r="AD31" i="2"/>
  <c r="Z31" i="2"/>
  <c r="R31" i="2"/>
  <c r="N31" i="2"/>
  <c r="J31" i="2"/>
  <c r="F31" i="2"/>
  <c r="C32" i="2"/>
  <c r="AH32" i="2"/>
  <c r="AD32" i="2"/>
  <c r="Z32" i="2"/>
  <c r="V32" i="2"/>
  <c r="R32" i="2"/>
  <c r="N32" i="2"/>
  <c r="J32" i="2"/>
  <c r="AJ31" i="2"/>
  <c r="AF31" i="2"/>
  <c r="AB31" i="2"/>
  <c r="X31" i="2"/>
  <c r="T31" i="2"/>
  <c r="P31" i="2"/>
  <c r="L31" i="2"/>
  <c r="H31" i="2"/>
  <c r="B59" i="30"/>
  <c r="H2" i="33"/>
  <c r="G82" i="28"/>
  <c r="B33" i="26"/>
  <c r="B40" i="26"/>
  <c r="C33" i="26"/>
  <c r="C40" i="26"/>
  <c r="D33" i="26"/>
  <c r="D40" i="26"/>
  <c r="B34" i="26"/>
  <c r="B41" i="26"/>
  <c r="C34" i="26"/>
  <c r="C41" i="26"/>
  <c r="D34" i="26"/>
  <c r="D41" i="26"/>
  <c r="F28" i="26"/>
  <c r="E35" i="26"/>
  <c r="E42" i="26"/>
  <c r="E36" i="26"/>
  <c r="E43" i="26"/>
  <c r="F29" i="26"/>
  <c r="E33" i="26"/>
  <c r="E40" i="26"/>
  <c r="E45" i="26"/>
  <c r="G27" i="26"/>
  <c r="F34" i="26"/>
  <c r="F41" i="26"/>
  <c r="G26" i="26"/>
  <c r="F33" i="26"/>
  <c r="F40" i="26"/>
  <c r="F45" i="26"/>
  <c r="G82" i="8"/>
  <c r="F76" i="8"/>
  <c r="F75" i="8"/>
  <c r="F74" i="8"/>
  <c r="L6" i="8"/>
  <c r="K12" i="8"/>
  <c r="H82" i="28"/>
  <c r="D45" i="26"/>
  <c r="C45" i="26"/>
  <c r="B45" i="26"/>
  <c r="B82" i="30"/>
  <c r="F35" i="26"/>
  <c r="F42" i="26"/>
  <c r="G28" i="26"/>
  <c r="H27" i="26"/>
  <c r="G34" i="26"/>
  <c r="G41" i="26"/>
  <c r="H26" i="26"/>
  <c r="G33" i="26"/>
  <c r="G40" i="26"/>
  <c r="G29" i="26"/>
  <c r="F36" i="26"/>
  <c r="F43" i="26"/>
  <c r="H82" i="8"/>
  <c r="G76" i="8"/>
  <c r="G75" i="8"/>
  <c r="G74" i="8"/>
  <c r="M6" i="8"/>
  <c r="L12" i="8"/>
  <c r="C67" i="28"/>
  <c r="D67" i="28"/>
  <c r="E67" i="28"/>
  <c r="F67" i="28"/>
  <c r="G67" i="28"/>
  <c r="H67" i="28"/>
  <c r="I67" i="28"/>
  <c r="J67" i="28"/>
  <c r="K67" i="28"/>
  <c r="L67" i="28"/>
  <c r="M67" i="28"/>
  <c r="N67" i="28"/>
  <c r="O67" i="28"/>
  <c r="P67" i="28"/>
  <c r="Q67" i="28"/>
  <c r="R67" i="28"/>
  <c r="S67" i="28"/>
  <c r="T67" i="28"/>
  <c r="U67" i="28"/>
  <c r="V67" i="28"/>
  <c r="W67" i="28"/>
  <c r="X67" i="28"/>
  <c r="Y67" i="28"/>
  <c r="Z67" i="28"/>
  <c r="AA67" i="28"/>
  <c r="AB67" i="28"/>
  <c r="AC67" i="28"/>
  <c r="AD67" i="28"/>
  <c r="AE67" i="28"/>
  <c r="AF67" i="28"/>
  <c r="AG67" i="28"/>
  <c r="AH67" i="28"/>
  <c r="AI67" i="28"/>
  <c r="AJ67" i="28"/>
  <c r="AK67" i="28"/>
  <c r="B67" i="28"/>
  <c r="B69" i="28"/>
  <c r="C69" i="28"/>
  <c r="D69" i="28"/>
  <c r="E69" i="28"/>
  <c r="F69" i="28"/>
  <c r="G69" i="28"/>
  <c r="H69" i="28"/>
  <c r="I69" i="28"/>
  <c r="J69" i="28"/>
  <c r="K69" i="28"/>
  <c r="L69" i="28"/>
  <c r="M69" i="28"/>
  <c r="N69" i="28"/>
  <c r="O69" i="28"/>
  <c r="P69" i="28"/>
  <c r="Q69" i="28"/>
  <c r="R69" i="28"/>
  <c r="S69" i="28"/>
  <c r="T69" i="28"/>
  <c r="U69" i="28"/>
  <c r="V69" i="28"/>
  <c r="W69" i="28"/>
  <c r="X69" i="28"/>
  <c r="Y69" i="28"/>
  <c r="Z69" i="28"/>
  <c r="AA69" i="28"/>
  <c r="AB69" i="28"/>
  <c r="AC69" i="28"/>
  <c r="AD69" i="28"/>
  <c r="AE69" i="28"/>
  <c r="AF69" i="28"/>
  <c r="AG69" i="28"/>
  <c r="AH69" i="28"/>
  <c r="AI69" i="28"/>
  <c r="AJ69" i="28"/>
  <c r="AK69" i="28"/>
  <c r="B68" i="28"/>
  <c r="C68" i="28"/>
  <c r="D68" i="28"/>
  <c r="E68" i="28"/>
  <c r="F68" i="28"/>
  <c r="G68" i="28"/>
  <c r="H68" i="28"/>
  <c r="I68" i="28"/>
  <c r="J68" i="28"/>
  <c r="K68" i="28"/>
  <c r="L68" i="28"/>
  <c r="M68" i="28"/>
  <c r="N68" i="28"/>
  <c r="O68" i="28"/>
  <c r="P68" i="28"/>
  <c r="Q68" i="28"/>
  <c r="R68" i="28"/>
  <c r="S68" i="28"/>
  <c r="T68" i="28"/>
  <c r="U68" i="28"/>
  <c r="V68" i="28"/>
  <c r="W68" i="28"/>
  <c r="X68" i="28"/>
  <c r="Y68" i="28"/>
  <c r="Z68" i="28"/>
  <c r="AA68" i="28"/>
  <c r="AB68" i="28"/>
  <c r="AC68" i="28"/>
  <c r="AD68" i="28"/>
  <c r="AE68" i="28"/>
  <c r="AF68" i="28"/>
  <c r="AG68" i="28"/>
  <c r="AH68" i="28"/>
  <c r="AI68" i="28"/>
  <c r="AJ68" i="28"/>
  <c r="AK68" i="28"/>
  <c r="I82" i="28"/>
  <c r="G45" i="26"/>
  <c r="H29" i="26"/>
  <c r="G36" i="26"/>
  <c r="G43" i="26"/>
  <c r="I27" i="26"/>
  <c r="H34" i="26"/>
  <c r="H41" i="26"/>
  <c r="G35" i="26"/>
  <c r="G42" i="26"/>
  <c r="H28" i="26"/>
  <c r="I26" i="26"/>
  <c r="H33" i="26"/>
  <c r="H40" i="26"/>
  <c r="H45" i="26"/>
  <c r="B73" i="28"/>
  <c r="B48" i="30"/>
  <c r="I82" i="8"/>
  <c r="H76" i="8"/>
  <c r="H75" i="8"/>
  <c r="H74" i="8"/>
  <c r="N6" i="8"/>
  <c r="M12" i="8"/>
  <c r="AK73" i="28"/>
  <c r="AE73" i="28"/>
  <c r="O73" i="28"/>
  <c r="AA73" i="28"/>
  <c r="K73" i="28"/>
  <c r="AI73" i="28"/>
  <c r="S73" i="28"/>
  <c r="AH73" i="28"/>
  <c r="AD73" i="28"/>
  <c r="Z73" i="28"/>
  <c r="V73" i="28"/>
  <c r="R73" i="28"/>
  <c r="N73" i="28"/>
  <c r="J73" i="28"/>
  <c r="F73" i="28"/>
  <c r="C73" i="28"/>
  <c r="W73" i="28"/>
  <c r="G73" i="28"/>
  <c r="AG73" i="28"/>
  <c r="AC73" i="28"/>
  <c r="Y73" i="28"/>
  <c r="U73" i="28"/>
  <c r="Q73" i="28"/>
  <c r="M73" i="28"/>
  <c r="I73" i="28"/>
  <c r="E73" i="28"/>
  <c r="AJ73" i="28"/>
  <c r="AF73" i="28"/>
  <c r="AB73" i="28"/>
  <c r="X73" i="28"/>
  <c r="T73" i="28"/>
  <c r="P73" i="28"/>
  <c r="L73" i="28"/>
  <c r="H73" i="28"/>
  <c r="D73" i="28"/>
  <c r="D45" i="28"/>
  <c r="E45" i="28"/>
  <c r="F45" i="28"/>
  <c r="G45" i="28"/>
  <c r="H45" i="28"/>
  <c r="I45" i="28"/>
  <c r="J45" i="28"/>
  <c r="K45" i="28"/>
  <c r="L45" i="28"/>
  <c r="M45" i="28"/>
  <c r="N45" i="28"/>
  <c r="O45" i="28"/>
  <c r="P45" i="28"/>
  <c r="Q45" i="28"/>
  <c r="R45" i="28"/>
  <c r="S45" i="28"/>
  <c r="T45" i="28"/>
  <c r="U45" i="28"/>
  <c r="V45" i="28"/>
  <c r="W45" i="28"/>
  <c r="X45" i="28"/>
  <c r="Y45" i="28"/>
  <c r="Z45" i="28"/>
  <c r="AA45" i="28"/>
  <c r="AB45" i="28"/>
  <c r="AC45" i="28"/>
  <c r="AD45" i="28"/>
  <c r="AE45" i="28"/>
  <c r="AF45" i="28"/>
  <c r="AG45" i="28"/>
  <c r="AH45" i="28"/>
  <c r="AI45" i="28"/>
  <c r="AJ45" i="28"/>
  <c r="AK45" i="28"/>
  <c r="C45" i="28"/>
  <c r="D42" i="28"/>
  <c r="E42" i="28"/>
  <c r="F42" i="28"/>
  <c r="G42" i="28"/>
  <c r="H42" i="28"/>
  <c r="I42" i="28"/>
  <c r="J42" i="28"/>
  <c r="K42" i="28"/>
  <c r="L42" i="28"/>
  <c r="M42" i="28"/>
  <c r="N42" i="28"/>
  <c r="O42" i="28"/>
  <c r="P42" i="28"/>
  <c r="Q42" i="28"/>
  <c r="R42" i="28"/>
  <c r="S42" i="28"/>
  <c r="T42" i="28"/>
  <c r="U42" i="28"/>
  <c r="V42" i="28"/>
  <c r="W42" i="28"/>
  <c r="X42" i="28"/>
  <c r="Y42" i="28"/>
  <c r="Z42" i="28"/>
  <c r="AA42" i="28"/>
  <c r="AB42" i="28"/>
  <c r="AC42" i="28"/>
  <c r="AD42" i="28"/>
  <c r="AE42" i="28"/>
  <c r="AF42" i="28"/>
  <c r="AG42" i="28"/>
  <c r="AH42" i="28"/>
  <c r="AI42" i="28"/>
  <c r="AJ42" i="28"/>
  <c r="AK42" i="28"/>
  <c r="C42" i="28"/>
  <c r="B45" i="28"/>
  <c r="B44" i="28"/>
  <c r="C44" i="28"/>
  <c r="D44" i="28"/>
  <c r="E44" i="28"/>
  <c r="F44" i="28"/>
  <c r="G44" i="28"/>
  <c r="H44" i="28"/>
  <c r="I44" i="28"/>
  <c r="J44" i="28"/>
  <c r="K44" i="28"/>
  <c r="L44" i="28"/>
  <c r="M44" i="28"/>
  <c r="N44" i="28"/>
  <c r="O44" i="28"/>
  <c r="P44" i="28"/>
  <c r="Q44" i="28"/>
  <c r="R44" i="28"/>
  <c r="S44" i="28"/>
  <c r="T44" i="28"/>
  <c r="U44" i="28"/>
  <c r="V44" i="28"/>
  <c r="W44" i="28"/>
  <c r="X44" i="28"/>
  <c r="Y44" i="28"/>
  <c r="Z44" i="28"/>
  <c r="AA44" i="28"/>
  <c r="AB44" i="28"/>
  <c r="AC44" i="28"/>
  <c r="AD44" i="28"/>
  <c r="AE44" i="28"/>
  <c r="AF44" i="28"/>
  <c r="AG44" i="28"/>
  <c r="AH44" i="28"/>
  <c r="AI44" i="28"/>
  <c r="AJ44" i="28"/>
  <c r="AK44" i="28"/>
  <c r="B43" i="28"/>
  <c r="C43" i="28"/>
  <c r="D43" i="28"/>
  <c r="E43" i="28"/>
  <c r="F43" i="28"/>
  <c r="G43" i="28"/>
  <c r="H43" i="28"/>
  <c r="I43" i="28"/>
  <c r="J43" i="28"/>
  <c r="K43" i="28"/>
  <c r="L43" i="28"/>
  <c r="M43" i="28"/>
  <c r="N43" i="28"/>
  <c r="O43" i="28"/>
  <c r="P43" i="28"/>
  <c r="Q43" i="28"/>
  <c r="R43" i="28"/>
  <c r="S43" i="28"/>
  <c r="T43" i="28"/>
  <c r="U43" i="28"/>
  <c r="V43" i="28"/>
  <c r="W43" i="28"/>
  <c r="X43" i="28"/>
  <c r="Y43" i="28"/>
  <c r="Z43" i="28"/>
  <c r="AA43" i="28"/>
  <c r="AB43" i="28"/>
  <c r="AC43" i="28"/>
  <c r="AD43" i="28"/>
  <c r="AE43" i="28"/>
  <c r="AF43" i="28"/>
  <c r="AG43" i="28"/>
  <c r="AH43" i="28"/>
  <c r="AI43" i="28"/>
  <c r="AJ43" i="28"/>
  <c r="AK43" i="28"/>
  <c r="B42" i="28"/>
  <c r="J82" i="28"/>
  <c r="J26" i="26"/>
  <c r="I33" i="26"/>
  <c r="I40" i="26"/>
  <c r="J27" i="26"/>
  <c r="I34" i="26"/>
  <c r="I41" i="26"/>
  <c r="I28" i="26"/>
  <c r="H35" i="26"/>
  <c r="H42" i="26"/>
  <c r="I29" i="26"/>
  <c r="H36" i="26"/>
  <c r="H43" i="26"/>
  <c r="C22" i="28"/>
  <c r="J82" i="8"/>
  <c r="I76" i="8"/>
  <c r="I75" i="8"/>
  <c r="I74" i="8"/>
  <c r="O6" i="8"/>
  <c r="N12" i="8"/>
  <c r="C17" i="28"/>
  <c r="C12" i="28"/>
  <c r="D12" i="28"/>
  <c r="E12" i="28"/>
  <c r="F12" i="28"/>
  <c r="G12" i="28"/>
  <c r="H12" i="28"/>
  <c r="I12" i="28"/>
  <c r="J12" i="28"/>
  <c r="K12" i="28"/>
  <c r="L12" i="28"/>
  <c r="M12" i="28"/>
  <c r="N12" i="28"/>
  <c r="O12" i="28"/>
  <c r="P12" i="28"/>
  <c r="Q12" i="28"/>
  <c r="R12" i="28"/>
  <c r="S12" i="28"/>
  <c r="T12" i="28"/>
  <c r="U12" i="28"/>
  <c r="V12" i="28"/>
  <c r="W12" i="28"/>
  <c r="X12" i="28"/>
  <c r="Y12" i="28"/>
  <c r="Z12" i="28"/>
  <c r="AA12" i="28"/>
  <c r="AB12" i="28"/>
  <c r="AC12" i="28"/>
  <c r="AD12" i="28"/>
  <c r="AE12" i="28"/>
  <c r="AF12" i="28"/>
  <c r="AG12" i="28"/>
  <c r="AH12" i="28"/>
  <c r="AI12" i="28"/>
  <c r="AJ12" i="28"/>
  <c r="AK12" i="28"/>
  <c r="B12" i="28"/>
  <c r="D11" i="27"/>
  <c r="H11" i="27"/>
  <c r="L11" i="27"/>
  <c r="P11" i="27"/>
  <c r="T11" i="27"/>
  <c r="X11" i="27"/>
  <c r="AB11" i="27"/>
  <c r="AF11" i="27"/>
  <c r="AJ11" i="27"/>
  <c r="D10" i="27"/>
  <c r="E10" i="27"/>
  <c r="E11" i="27"/>
  <c r="H10" i="27"/>
  <c r="I10" i="27"/>
  <c r="I11" i="27"/>
  <c r="L10" i="27"/>
  <c r="M10" i="27"/>
  <c r="M11" i="27"/>
  <c r="P10" i="27"/>
  <c r="Q10" i="27"/>
  <c r="Q11" i="27"/>
  <c r="T10" i="27"/>
  <c r="U10" i="27"/>
  <c r="U11" i="27"/>
  <c r="X10" i="27"/>
  <c r="Y10" i="27"/>
  <c r="Y11" i="27"/>
  <c r="AB10" i="27"/>
  <c r="AC10" i="27"/>
  <c r="AC11" i="27"/>
  <c r="AF10" i="27"/>
  <c r="AG10" i="27"/>
  <c r="AG11" i="27"/>
  <c r="AJ10" i="27"/>
  <c r="AK10" i="27"/>
  <c r="AK11" i="27"/>
  <c r="B10" i="27"/>
  <c r="F10" i="27"/>
  <c r="F11" i="27"/>
  <c r="B9" i="27"/>
  <c r="C9" i="27"/>
  <c r="K82" i="28"/>
  <c r="D9" i="27"/>
  <c r="AI10" i="27"/>
  <c r="AI11" i="27"/>
  <c r="AE10" i="27"/>
  <c r="AE11" i="27"/>
  <c r="AA10" i="27"/>
  <c r="AA11" i="27"/>
  <c r="W10" i="27"/>
  <c r="W11" i="27"/>
  <c r="S10" i="27"/>
  <c r="S11" i="27"/>
  <c r="O10" i="27"/>
  <c r="O11" i="27"/>
  <c r="K10" i="27"/>
  <c r="K11" i="27"/>
  <c r="G10" i="27"/>
  <c r="G11" i="27"/>
  <c r="B11" i="27"/>
  <c r="B13" i="27"/>
  <c r="C10" i="27"/>
  <c r="C11" i="27"/>
  <c r="AH10" i="27"/>
  <c r="AH11" i="27"/>
  <c r="AD10" i="27"/>
  <c r="AD11" i="27"/>
  <c r="Z10" i="27"/>
  <c r="Z11" i="27"/>
  <c r="V10" i="27"/>
  <c r="V11" i="27"/>
  <c r="R10" i="27"/>
  <c r="R11" i="27"/>
  <c r="N10" i="27"/>
  <c r="N11" i="27"/>
  <c r="J10" i="27"/>
  <c r="J11" i="27"/>
  <c r="I45" i="26"/>
  <c r="I36" i="26"/>
  <c r="I43" i="26"/>
  <c r="J29" i="26"/>
  <c r="K27" i="26"/>
  <c r="J34" i="26"/>
  <c r="J41" i="26"/>
  <c r="J28" i="26"/>
  <c r="I35" i="26"/>
  <c r="I42" i="26"/>
  <c r="K26" i="26"/>
  <c r="J33" i="26"/>
  <c r="J40" i="26"/>
  <c r="J45" i="26"/>
  <c r="D17" i="28"/>
  <c r="B46" i="28"/>
  <c r="B51" i="30"/>
  <c r="D22" i="28"/>
  <c r="K82" i="8"/>
  <c r="J76" i="8"/>
  <c r="J75" i="8"/>
  <c r="J74" i="8"/>
  <c r="P6" i="8"/>
  <c r="O12" i="8"/>
  <c r="B3" i="25"/>
  <c r="J3" i="25"/>
  <c r="K3" i="25"/>
  <c r="L3" i="25"/>
  <c r="M3" i="25"/>
  <c r="N3" i="25"/>
  <c r="O3" i="25"/>
  <c r="P3" i="25"/>
  <c r="Q3" i="25"/>
  <c r="R3" i="25"/>
  <c r="S3" i="25"/>
  <c r="T3" i="25"/>
  <c r="U3" i="25"/>
  <c r="V3" i="25"/>
  <c r="W3" i="25"/>
  <c r="X3" i="25"/>
  <c r="Y3" i="25"/>
  <c r="Z3" i="25"/>
  <c r="AA3" i="25"/>
  <c r="AB3" i="25"/>
  <c r="AC3" i="25"/>
  <c r="AD3" i="25"/>
  <c r="AE3" i="25"/>
  <c r="AF3" i="25"/>
  <c r="AG3" i="25"/>
  <c r="AH3" i="25"/>
  <c r="AI3" i="25"/>
  <c r="AJ3" i="25"/>
  <c r="AK3" i="25"/>
  <c r="AL3" i="25"/>
  <c r="AM3" i="25"/>
  <c r="C4" i="24"/>
  <c r="C3" i="24"/>
  <c r="B19" i="23"/>
  <c r="B78" i="30"/>
  <c r="B18" i="23"/>
  <c r="B79" i="30"/>
  <c r="B73" i="30"/>
  <c r="I2" i="31"/>
  <c r="B12" i="23"/>
  <c r="B13" i="23"/>
  <c r="I13" i="23"/>
  <c r="D12" i="23"/>
  <c r="E12" i="23"/>
  <c r="F12" i="23"/>
  <c r="G12" i="23"/>
  <c r="D13" i="23"/>
  <c r="E13" i="23"/>
  <c r="F13" i="23"/>
  <c r="G13" i="23"/>
  <c r="C13" i="23"/>
  <c r="C12" i="23"/>
  <c r="D155" i="20"/>
  <c r="G155" i="20"/>
  <c r="H155" i="20"/>
  <c r="K155" i="20"/>
  <c r="L155" i="20"/>
  <c r="O155" i="20"/>
  <c r="S155" i="20"/>
  <c r="T155" i="20"/>
  <c r="W155" i="20"/>
  <c r="X155" i="20"/>
  <c r="AA155" i="20"/>
  <c r="AB155" i="20"/>
  <c r="AE155" i="20"/>
  <c r="AI155" i="20"/>
  <c r="AJ155" i="20"/>
  <c r="C154" i="20"/>
  <c r="C156" i="20"/>
  <c r="D156" i="20"/>
  <c r="E156" i="20"/>
  <c r="F156" i="20"/>
  <c r="G156" i="20"/>
  <c r="H156" i="20"/>
  <c r="I156" i="20"/>
  <c r="J156" i="20"/>
  <c r="K156" i="20"/>
  <c r="L156" i="20"/>
  <c r="M156" i="20"/>
  <c r="N156" i="20"/>
  <c r="O156" i="20"/>
  <c r="P156" i="20"/>
  <c r="Q156" i="20"/>
  <c r="R156" i="20"/>
  <c r="S156" i="20"/>
  <c r="T156" i="20"/>
  <c r="U156" i="20"/>
  <c r="V156" i="20"/>
  <c r="W156" i="20"/>
  <c r="X156" i="20"/>
  <c r="Y156" i="20"/>
  <c r="Z156" i="20"/>
  <c r="AA156" i="20"/>
  <c r="AB156" i="20"/>
  <c r="AC156" i="20"/>
  <c r="AD156" i="20"/>
  <c r="AE156" i="20"/>
  <c r="AF156" i="20"/>
  <c r="AG156" i="20"/>
  <c r="AH156" i="20"/>
  <c r="AI156" i="20"/>
  <c r="AJ156" i="20"/>
  <c r="AK156" i="20"/>
  <c r="B155" i="20"/>
  <c r="B154" i="20"/>
  <c r="B153" i="20"/>
  <c r="D123" i="20"/>
  <c r="E123" i="20"/>
  <c r="F123" i="20"/>
  <c r="G123" i="20"/>
  <c r="H123" i="20"/>
  <c r="I123" i="20"/>
  <c r="J123" i="20"/>
  <c r="K123" i="20"/>
  <c r="L123" i="20"/>
  <c r="M123" i="20"/>
  <c r="N123" i="20"/>
  <c r="O123" i="20"/>
  <c r="P123" i="20"/>
  <c r="Q123" i="20"/>
  <c r="R123" i="20"/>
  <c r="S123" i="20"/>
  <c r="T123" i="20"/>
  <c r="U123" i="20"/>
  <c r="V123" i="20"/>
  <c r="W123" i="20"/>
  <c r="X123" i="20"/>
  <c r="Y123" i="20"/>
  <c r="Z123" i="20"/>
  <c r="AA123" i="20"/>
  <c r="AB123" i="20"/>
  <c r="AC123" i="20"/>
  <c r="AD123" i="20"/>
  <c r="AE123" i="20"/>
  <c r="AF123" i="20"/>
  <c r="AG123" i="20"/>
  <c r="AH123" i="20"/>
  <c r="AI123" i="20"/>
  <c r="AJ123" i="20"/>
  <c r="AK123" i="20"/>
  <c r="D148" i="20"/>
  <c r="H148" i="20"/>
  <c r="L148" i="20"/>
  <c r="P148" i="20"/>
  <c r="T148" i="20"/>
  <c r="X148" i="20"/>
  <c r="AB148" i="20"/>
  <c r="AF148" i="20"/>
  <c r="AJ148" i="20"/>
  <c r="C144" i="20"/>
  <c r="C148" i="20"/>
  <c r="D144" i="20"/>
  <c r="E144" i="20"/>
  <c r="E148" i="20"/>
  <c r="F144" i="20"/>
  <c r="F148" i="20"/>
  <c r="G144" i="20"/>
  <c r="G148" i="20"/>
  <c r="H144" i="20"/>
  <c r="I144" i="20"/>
  <c r="I148" i="20"/>
  <c r="J144" i="20"/>
  <c r="J148" i="20"/>
  <c r="K144" i="20"/>
  <c r="K148" i="20"/>
  <c r="L144" i="20"/>
  <c r="M144" i="20"/>
  <c r="M148" i="20"/>
  <c r="N144" i="20"/>
  <c r="N148" i="20"/>
  <c r="O144" i="20"/>
  <c r="O148" i="20"/>
  <c r="P144" i="20"/>
  <c r="Q144" i="20"/>
  <c r="Q148" i="20"/>
  <c r="R144" i="20"/>
  <c r="R148" i="20"/>
  <c r="S144" i="20"/>
  <c r="S148" i="20"/>
  <c r="T144" i="20"/>
  <c r="U144" i="20"/>
  <c r="U148" i="20"/>
  <c r="V144" i="20"/>
  <c r="V148" i="20"/>
  <c r="W144" i="20"/>
  <c r="W148" i="20"/>
  <c r="X144" i="20"/>
  <c r="Y144" i="20"/>
  <c r="Y148" i="20"/>
  <c r="Z144" i="20"/>
  <c r="Z148" i="20"/>
  <c r="AA144" i="20"/>
  <c r="AA148" i="20"/>
  <c r="AB144" i="20"/>
  <c r="AC144" i="20"/>
  <c r="AC148" i="20"/>
  <c r="AD144" i="20"/>
  <c r="AD148" i="20"/>
  <c r="AE144" i="20"/>
  <c r="AE148" i="20"/>
  <c r="AF144" i="20"/>
  <c r="AG144" i="20"/>
  <c r="AG148" i="20"/>
  <c r="AH144" i="20"/>
  <c r="AH148" i="20"/>
  <c r="AI144" i="20"/>
  <c r="AI148" i="20"/>
  <c r="AJ144" i="20"/>
  <c r="AK144" i="20"/>
  <c r="AK148" i="20"/>
  <c r="B144" i="20"/>
  <c r="C110" i="20"/>
  <c r="D110" i="20"/>
  <c r="E110" i="20"/>
  <c r="F110" i="20"/>
  <c r="G110" i="20"/>
  <c r="H110" i="20"/>
  <c r="I110" i="20"/>
  <c r="J110" i="20"/>
  <c r="K110" i="20"/>
  <c r="L110" i="20"/>
  <c r="M110" i="20"/>
  <c r="N110" i="20"/>
  <c r="O110" i="20"/>
  <c r="P110" i="20"/>
  <c r="Q110" i="20"/>
  <c r="R110" i="20"/>
  <c r="S110" i="20"/>
  <c r="T110" i="20"/>
  <c r="U110" i="20"/>
  <c r="V110" i="20"/>
  <c r="W110" i="20"/>
  <c r="X110" i="20"/>
  <c r="Y110" i="20"/>
  <c r="Z110" i="20"/>
  <c r="AA110" i="20"/>
  <c r="AB110" i="20"/>
  <c r="AC110" i="20"/>
  <c r="AD110" i="20"/>
  <c r="AE110" i="20"/>
  <c r="AF110" i="20"/>
  <c r="AG110" i="20"/>
  <c r="AH110" i="20"/>
  <c r="AI110" i="20"/>
  <c r="AJ110" i="20"/>
  <c r="AK110" i="20"/>
  <c r="C111" i="20"/>
  <c r="D111" i="20"/>
  <c r="E111" i="20"/>
  <c r="F111" i="20"/>
  <c r="G111" i="20"/>
  <c r="H111" i="20"/>
  <c r="I111" i="20"/>
  <c r="J111" i="20"/>
  <c r="K111" i="20"/>
  <c r="L111" i="20"/>
  <c r="M111" i="20"/>
  <c r="N111" i="20"/>
  <c r="O111" i="20"/>
  <c r="P111" i="20"/>
  <c r="Q111" i="20"/>
  <c r="R111" i="20"/>
  <c r="S111" i="20"/>
  <c r="T111" i="20"/>
  <c r="U111" i="20"/>
  <c r="V111" i="20"/>
  <c r="W111" i="20"/>
  <c r="X111" i="20"/>
  <c r="Y111" i="20"/>
  <c r="Z111" i="20"/>
  <c r="AA111" i="20"/>
  <c r="AB111" i="20"/>
  <c r="AC111" i="20"/>
  <c r="AD111" i="20"/>
  <c r="AE111" i="20"/>
  <c r="AF111" i="20"/>
  <c r="AG111" i="20"/>
  <c r="AH111" i="20"/>
  <c r="AI111" i="20"/>
  <c r="AJ111" i="20"/>
  <c r="AK111" i="20"/>
  <c r="C112" i="20"/>
  <c r="D112" i="20"/>
  <c r="E112" i="20"/>
  <c r="F112" i="20"/>
  <c r="G112" i="20"/>
  <c r="H112" i="20"/>
  <c r="I112" i="20"/>
  <c r="J112" i="20"/>
  <c r="K112" i="20"/>
  <c r="L112" i="20"/>
  <c r="M112" i="20"/>
  <c r="N112" i="20"/>
  <c r="O112" i="20"/>
  <c r="P112" i="20"/>
  <c r="Q112" i="20"/>
  <c r="R112" i="20"/>
  <c r="S112" i="20"/>
  <c r="T112" i="20"/>
  <c r="U112" i="20"/>
  <c r="V112" i="20"/>
  <c r="W112" i="20"/>
  <c r="X112" i="20"/>
  <c r="Y112" i="20"/>
  <c r="Z112" i="20"/>
  <c r="AA112" i="20"/>
  <c r="AB112" i="20"/>
  <c r="AC112" i="20"/>
  <c r="AD112" i="20"/>
  <c r="AE112" i="20"/>
  <c r="AF112" i="20"/>
  <c r="AG112" i="20"/>
  <c r="AH112" i="20"/>
  <c r="AI112" i="20"/>
  <c r="AJ112" i="20"/>
  <c r="AK112" i="20"/>
  <c r="C113" i="20"/>
  <c r="D113" i="20"/>
  <c r="E113" i="20"/>
  <c r="F113" i="20"/>
  <c r="G113" i="20"/>
  <c r="H113" i="20"/>
  <c r="I113" i="20"/>
  <c r="J113" i="20"/>
  <c r="K113" i="20"/>
  <c r="L113" i="20"/>
  <c r="M113" i="20"/>
  <c r="N113" i="20"/>
  <c r="O113" i="20"/>
  <c r="P113" i="20"/>
  <c r="Q113" i="20"/>
  <c r="R113" i="20"/>
  <c r="S113" i="20"/>
  <c r="T113" i="20"/>
  <c r="U113" i="20"/>
  <c r="V113" i="20"/>
  <c r="W113" i="20"/>
  <c r="X113" i="20"/>
  <c r="Y113" i="20"/>
  <c r="Z113" i="20"/>
  <c r="AA113" i="20"/>
  <c r="AB113" i="20"/>
  <c r="AC113" i="20"/>
  <c r="AD113" i="20"/>
  <c r="AE113" i="20"/>
  <c r="AF113" i="20"/>
  <c r="AG113" i="20"/>
  <c r="AH113" i="20"/>
  <c r="AI113" i="20"/>
  <c r="AJ113" i="20"/>
  <c r="AK113" i="20"/>
  <c r="C114" i="20"/>
  <c r="D114" i="20"/>
  <c r="E114" i="20"/>
  <c r="F114" i="20"/>
  <c r="G114" i="20"/>
  <c r="H114" i="20"/>
  <c r="I114" i="20"/>
  <c r="J114" i="20"/>
  <c r="K114" i="20"/>
  <c r="L114" i="20"/>
  <c r="M114" i="20"/>
  <c r="N114" i="20"/>
  <c r="O114" i="20"/>
  <c r="P114" i="20"/>
  <c r="Q114" i="20"/>
  <c r="R114" i="20"/>
  <c r="S114" i="20"/>
  <c r="T114" i="20"/>
  <c r="U114" i="20"/>
  <c r="V114" i="20"/>
  <c r="W114" i="20"/>
  <c r="X114" i="20"/>
  <c r="Y114" i="20"/>
  <c r="Z114" i="20"/>
  <c r="AA114" i="20"/>
  <c r="AB114" i="20"/>
  <c r="AC114" i="20"/>
  <c r="AD114" i="20"/>
  <c r="AE114" i="20"/>
  <c r="AF114" i="20"/>
  <c r="AG114" i="20"/>
  <c r="AH114" i="20"/>
  <c r="AI114" i="20"/>
  <c r="AJ114" i="20"/>
  <c r="AK114" i="20"/>
  <c r="C115" i="20"/>
  <c r="D115" i="20"/>
  <c r="E115" i="20"/>
  <c r="F115" i="20"/>
  <c r="G115" i="20"/>
  <c r="H115" i="20"/>
  <c r="I115" i="20"/>
  <c r="J115" i="20"/>
  <c r="K115" i="20"/>
  <c r="L115" i="20"/>
  <c r="M115" i="20"/>
  <c r="N115" i="20"/>
  <c r="O115" i="20"/>
  <c r="P115" i="20"/>
  <c r="Q115" i="20"/>
  <c r="R115" i="20"/>
  <c r="S115" i="20"/>
  <c r="T115" i="20"/>
  <c r="U115" i="20"/>
  <c r="V115" i="20"/>
  <c r="W115" i="20"/>
  <c r="X115" i="20"/>
  <c r="Y115" i="20"/>
  <c r="Z115" i="20"/>
  <c r="AA115" i="20"/>
  <c r="AB115" i="20"/>
  <c r="AC115" i="20"/>
  <c r="AD115" i="20"/>
  <c r="AE115" i="20"/>
  <c r="AF115" i="20"/>
  <c r="AG115" i="20"/>
  <c r="AH115" i="20"/>
  <c r="AI115" i="20"/>
  <c r="AJ115" i="20"/>
  <c r="AK115" i="20"/>
  <c r="C116" i="20"/>
  <c r="D116" i="20"/>
  <c r="E116" i="20"/>
  <c r="F116" i="20"/>
  <c r="G116" i="20"/>
  <c r="H116" i="20"/>
  <c r="I116" i="20"/>
  <c r="J116" i="20"/>
  <c r="K116" i="20"/>
  <c r="L116" i="20"/>
  <c r="M116" i="20"/>
  <c r="N116" i="20"/>
  <c r="O116" i="20"/>
  <c r="P116" i="20"/>
  <c r="Q116" i="20"/>
  <c r="R116" i="20"/>
  <c r="S116" i="20"/>
  <c r="T116" i="20"/>
  <c r="U116" i="20"/>
  <c r="V116" i="20"/>
  <c r="W116" i="20"/>
  <c r="X116" i="20"/>
  <c r="Y116" i="20"/>
  <c r="Z116" i="20"/>
  <c r="AA116" i="20"/>
  <c r="AB116" i="20"/>
  <c r="AC116" i="20"/>
  <c r="AD116" i="20"/>
  <c r="AE116" i="20"/>
  <c r="AF116" i="20"/>
  <c r="AG116" i="20"/>
  <c r="AH116" i="20"/>
  <c r="AI116" i="20"/>
  <c r="AJ116" i="20"/>
  <c r="AK116" i="20"/>
  <c r="C117" i="20"/>
  <c r="D117" i="20"/>
  <c r="E117" i="20"/>
  <c r="F117" i="20"/>
  <c r="G117" i="20"/>
  <c r="H117" i="20"/>
  <c r="I117" i="20"/>
  <c r="J117" i="20"/>
  <c r="K117" i="20"/>
  <c r="L117" i="20"/>
  <c r="M117" i="20"/>
  <c r="N117" i="20"/>
  <c r="O117" i="20"/>
  <c r="P117" i="20"/>
  <c r="Q117" i="20"/>
  <c r="R117" i="20"/>
  <c r="S117" i="20"/>
  <c r="T117" i="20"/>
  <c r="U117" i="20"/>
  <c r="V117" i="20"/>
  <c r="W117" i="20"/>
  <c r="X117" i="20"/>
  <c r="Y117" i="20"/>
  <c r="Z117" i="20"/>
  <c r="AA117" i="20"/>
  <c r="AB117" i="20"/>
  <c r="AC117" i="20"/>
  <c r="AD117" i="20"/>
  <c r="AE117" i="20"/>
  <c r="AF117" i="20"/>
  <c r="AG117" i="20"/>
  <c r="AH117" i="20"/>
  <c r="AI117" i="20"/>
  <c r="AJ117" i="20"/>
  <c r="AK117" i="20"/>
  <c r="C118" i="20"/>
  <c r="D118" i="20"/>
  <c r="E118" i="20"/>
  <c r="F118" i="20"/>
  <c r="G118" i="20"/>
  <c r="H118" i="20"/>
  <c r="I118" i="20"/>
  <c r="J118" i="20"/>
  <c r="K118" i="20"/>
  <c r="L118" i="20"/>
  <c r="M118" i="20"/>
  <c r="N118" i="20"/>
  <c r="O118" i="20"/>
  <c r="P118" i="20"/>
  <c r="Q118" i="20"/>
  <c r="R118" i="20"/>
  <c r="S118" i="20"/>
  <c r="T118" i="20"/>
  <c r="U118" i="20"/>
  <c r="V118" i="20"/>
  <c r="W118" i="20"/>
  <c r="X118" i="20"/>
  <c r="Y118" i="20"/>
  <c r="Z118" i="20"/>
  <c r="AA118" i="20"/>
  <c r="AB118" i="20"/>
  <c r="AC118" i="20"/>
  <c r="AD118" i="20"/>
  <c r="AE118" i="20"/>
  <c r="AF118" i="20"/>
  <c r="AG118" i="20"/>
  <c r="AH118" i="20"/>
  <c r="AI118" i="20"/>
  <c r="AJ118" i="20"/>
  <c r="AK118" i="20"/>
  <c r="C119" i="20"/>
  <c r="D119" i="20"/>
  <c r="E119" i="20"/>
  <c r="F119" i="20"/>
  <c r="G119" i="20"/>
  <c r="H119" i="20"/>
  <c r="I119" i="20"/>
  <c r="J119" i="20"/>
  <c r="K119" i="20"/>
  <c r="L119" i="20"/>
  <c r="M119" i="20"/>
  <c r="N119" i="20"/>
  <c r="O119" i="20"/>
  <c r="P119" i="20"/>
  <c r="Q119" i="20"/>
  <c r="R119" i="20"/>
  <c r="S119" i="20"/>
  <c r="T119" i="20"/>
  <c r="U119" i="20"/>
  <c r="V119" i="20"/>
  <c r="W119" i="20"/>
  <c r="X119" i="20"/>
  <c r="Y119" i="20"/>
  <c r="Z119" i="20"/>
  <c r="AA119" i="20"/>
  <c r="AB119" i="20"/>
  <c r="AC119" i="20"/>
  <c r="AD119" i="20"/>
  <c r="AE119" i="20"/>
  <c r="AF119" i="20"/>
  <c r="AG119" i="20"/>
  <c r="AH119" i="20"/>
  <c r="AI119" i="20"/>
  <c r="AJ119" i="20"/>
  <c r="AK119" i="20"/>
  <c r="B111" i="20"/>
  <c r="B112" i="20"/>
  <c r="B113" i="20"/>
  <c r="B114" i="20"/>
  <c r="B115" i="20"/>
  <c r="B116" i="20"/>
  <c r="B117" i="20"/>
  <c r="B118" i="20"/>
  <c r="B119" i="20"/>
  <c r="B110" i="20"/>
  <c r="O49" i="20"/>
  <c r="P49" i="20"/>
  <c r="Q49" i="20"/>
  <c r="R49" i="20"/>
  <c r="S49" i="20"/>
  <c r="T49" i="20"/>
  <c r="U49" i="20"/>
  <c r="V49" i="20"/>
  <c r="W49" i="20"/>
  <c r="X49" i="20"/>
  <c r="Y49" i="20"/>
  <c r="Z49" i="20"/>
  <c r="AA49" i="20"/>
  <c r="AB49" i="20"/>
  <c r="AC49" i="20"/>
  <c r="AD49" i="20"/>
  <c r="AE49" i="20"/>
  <c r="AF49" i="20"/>
  <c r="AG49" i="20"/>
  <c r="AH49" i="20"/>
  <c r="AI49" i="20"/>
  <c r="AJ49" i="20"/>
  <c r="AK49" i="20"/>
  <c r="O50" i="20"/>
  <c r="P50" i="20"/>
  <c r="Q50" i="20"/>
  <c r="R50" i="20"/>
  <c r="S50" i="20"/>
  <c r="T50" i="20"/>
  <c r="U50" i="20"/>
  <c r="V50" i="20"/>
  <c r="W50" i="20"/>
  <c r="X50" i="20"/>
  <c r="Y50" i="20"/>
  <c r="Z50" i="20"/>
  <c r="AA50" i="20"/>
  <c r="AB50" i="20"/>
  <c r="AC50" i="20"/>
  <c r="AD50" i="20"/>
  <c r="AE50" i="20"/>
  <c r="AF50" i="20"/>
  <c r="AG50" i="20"/>
  <c r="AH50" i="20"/>
  <c r="AI50" i="20"/>
  <c r="AJ50" i="20"/>
  <c r="AK50" i="20"/>
  <c r="O51" i="20"/>
  <c r="P51" i="20"/>
  <c r="Q51" i="20"/>
  <c r="R51" i="20"/>
  <c r="S51" i="20"/>
  <c r="T51" i="20"/>
  <c r="U51" i="20"/>
  <c r="V51" i="20"/>
  <c r="W51" i="20"/>
  <c r="X51" i="20"/>
  <c r="Y51" i="20"/>
  <c r="Z51" i="20"/>
  <c r="AA51" i="20"/>
  <c r="AB51" i="20"/>
  <c r="AC51" i="20"/>
  <c r="AD51" i="20"/>
  <c r="AE51" i="20"/>
  <c r="AF51" i="20"/>
  <c r="AG51" i="20"/>
  <c r="AH51" i="20"/>
  <c r="AI51" i="20"/>
  <c r="AJ51" i="20"/>
  <c r="AK51" i="20"/>
  <c r="O52" i="20"/>
  <c r="P52" i="20"/>
  <c r="Q52" i="20"/>
  <c r="R52" i="20"/>
  <c r="S52" i="20"/>
  <c r="T52" i="20"/>
  <c r="U52" i="20"/>
  <c r="V52" i="20"/>
  <c r="W52" i="20"/>
  <c r="X52" i="20"/>
  <c r="Y52" i="20"/>
  <c r="Z52" i="20"/>
  <c r="AA52" i="20"/>
  <c r="AB52" i="20"/>
  <c r="AC52" i="20"/>
  <c r="AD52" i="20"/>
  <c r="AE52" i="20"/>
  <c r="AF52" i="20"/>
  <c r="AG52" i="20"/>
  <c r="AH52" i="20"/>
  <c r="AI52" i="20"/>
  <c r="AJ52" i="20"/>
  <c r="AK52" i="20"/>
  <c r="O53" i="20"/>
  <c r="P53" i="20"/>
  <c r="Q53" i="20"/>
  <c r="R53" i="20"/>
  <c r="S53" i="20"/>
  <c r="T53" i="20"/>
  <c r="U53" i="20"/>
  <c r="V53" i="20"/>
  <c r="W53" i="20"/>
  <c r="X53" i="20"/>
  <c r="Y53" i="20"/>
  <c r="Z53" i="20"/>
  <c r="AA53" i="20"/>
  <c r="AB53" i="20"/>
  <c r="AC53" i="20"/>
  <c r="AD53" i="20"/>
  <c r="AE53" i="20"/>
  <c r="AF53" i="20"/>
  <c r="AG53" i="20"/>
  <c r="AH53" i="20"/>
  <c r="AI53" i="20"/>
  <c r="AJ53" i="20"/>
  <c r="AK53" i="20"/>
  <c r="O54" i="20"/>
  <c r="P54" i="20"/>
  <c r="Q54" i="20"/>
  <c r="R54" i="20"/>
  <c r="S54" i="20"/>
  <c r="T54" i="20"/>
  <c r="U54" i="20"/>
  <c r="V54" i="20"/>
  <c r="W54" i="20"/>
  <c r="X54" i="20"/>
  <c r="Y54" i="20"/>
  <c r="Z54" i="20"/>
  <c r="AA54" i="20"/>
  <c r="AB54" i="20"/>
  <c r="AC54" i="20"/>
  <c r="AD54" i="20"/>
  <c r="AE54" i="20"/>
  <c r="AF54" i="20"/>
  <c r="AG54" i="20"/>
  <c r="AH54" i="20"/>
  <c r="AI54" i="20"/>
  <c r="AJ54" i="20"/>
  <c r="AK54" i="20"/>
  <c r="O55" i="20"/>
  <c r="P55" i="20"/>
  <c r="Q55" i="20"/>
  <c r="R55" i="20"/>
  <c r="S55" i="20"/>
  <c r="T55" i="20"/>
  <c r="U55" i="20"/>
  <c r="V55" i="20"/>
  <c r="W55" i="20"/>
  <c r="X55" i="20"/>
  <c r="Y55" i="20"/>
  <c r="Z55" i="20"/>
  <c r="AA55" i="20"/>
  <c r="AB55" i="20"/>
  <c r="AC55" i="20"/>
  <c r="AD55" i="20"/>
  <c r="AE55" i="20"/>
  <c r="AF55" i="20"/>
  <c r="AG55" i="20"/>
  <c r="AH55" i="20"/>
  <c r="AI55" i="20"/>
  <c r="AJ55" i="20"/>
  <c r="AK55" i="20"/>
  <c r="O56" i="20"/>
  <c r="P56" i="20"/>
  <c r="Q56" i="20"/>
  <c r="R56" i="20"/>
  <c r="S56" i="20"/>
  <c r="T56" i="20"/>
  <c r="U56" i="20"/>
  <c r="V56" i="20"/>
  <c r="W56" i="20"/>
  <c r="X56" i="20"/>
  <c r="Y56" i="20"/>
  <c r="Z56" i="20"/>
  <c r="AA56" i="20"/>
  <c r="AB56" i="20"/>
  <c r="AC56" i="20"/>
  <c r="AD56" i="20"/>
  <c r="AE56" i="20"/>
  <c r="AF56" i="20"/>
  <c r="AG56" i="20"/>
  <c r="AH56" i="20"/>
  <c r="AI56" i="20"/>
  <c r="AJ56" i="20"/>
  <c r="AK56" i="20"/>
  <c r="O57" i="20"/>
  <c r="P57" i="20"/>
  <c r="Q57" i="20"/>
  <c r="R57" i="20"/>
  <c r="S57" i="20"/>
  <c r="T57" i="20"/>
  <c r="U57" i="20"/>
  <c r="V57" i="20"/>
  <c r="W57" i="20"/>
  <c r="X57" i="20"/>
  <c r="Y57" i="20"/>
  <c r="Z57" i="20"/>
  <c r="AA57" i="20"/>
  <c r="AB57" i="20"/>
  <c r="AC57" i="20"/>
  <c r="AD57" i="20"/>
  <c r="AE57" i="20"/>
  <c r="AF57" i="20"/>
  <c r="AG57" i="20"/>
  <c r="AH57" i="20"/>
  <c r="AI57" i="20"/>
  <c r="AJ57" i="20"/>
  <c r="AK57" i="20"/>
  <c r="O58" i="20"/>
  <c r="P58" i="20"/>
  <c r="Q58" i="20"/>
  <c r="R58" i="20"/>
  <c r="S58" i="20"/>
  <c r="T58" i="20"/>
  <c r="U58" i="20"/>
  <c r="V58" i="20"/>
  <c r="W58" i="20"/>
  <c r="X58" i="20"/>
  <c r="Y58" i="20"/>
  <c r="Z58" i="20"/>
  <c r="AA58" i="20"/>
  <c r="AB58" i="20"/>
  <c r="AC58" i="20"/>
  <c r="AD58" i="20"/>
  <c r="AE58" i="20"/>
  <c r="AF58" i="20"/>
  <c r="AG58" i="20"/>
  <c r="AH58" i="20"/>
  <c r="AI58" i="20"/>
  <c r="AJ58" i="20"/>
  <c r="AK58" i="20"/>
  <c r="N50" i="20"/>
  <c r="N51" i="20"/>
  <c r="N52" i="20"/>
  <c r="N53" i="20"/>
  <c r="N54" i="20"/>
  <c r="N55" i="20"/>
  <c r="N56" i="20"/>
  <c r="N57" i="20"/>
  <c r="N58" i="20"/>
  <c r="N49" i="20"/>
  <c r="C44" i="20"/>
  <c r="AF155" i="20"/>
  <c r="P155" i="20"/>
  <c r="B159" i="20"/>
  <c r="AH155" i="20"/>
  <c r="AD155" i="20"/>
  <c r="Z155" i="20"/>
  <c r="V155" i="20"/>
  <c r="R155" i="20"/>
  <c r="N155" i="20"/>
  <c r="J155" i="20"/>
  <c r="F155" i="20"/>
  <c r="C155" i="20"/>
  <c r="AK155" i="20"/>
  <c r="AG155" i="20"/>
  <c r="AC155" i="20"/>
  <c r="Y155" i="20"/>
  <c r="U155" i="20"/>
  <c r="Q155" i="20"/>
  <c r="M155" i="20"/>
  <c r="I155" i="20"/>
  <c r="E155" i="20"/>
  <c r="D154" i="20"/>
  <c r="AB154" i="20"/>
  <c r="L154" i="20"/>
  <c r="AJ154" i="20"/>
  <c r="T154" i="20"/>
  <c r="AF154" i="20"/>
  <c r="P154" i="20"/>
  <c r="X154" i="20"/>
  <c r="H154" i="20"/>
  <c r="L82" i="28"/>
  <c r="C13" i="27"/>
  <c r="C47" i="30"/>
  <c r="G3" i="32"/>
  <c r="E9" i="27"/>
  <c r="D13" i="27"/>
  <c r="AE154" i="20"/>
  <c r="W154" i="20"/>
  <c r="O154" i="20"/>
  <c r="G154" i="20"/>
  <c r="AH154" i="20"/>
  <c r="AD154" i="20"/>
  <c r="Z154" i="20"/>
  <c r="V154" i="20"/>
  <c r="R154" i="20"/>
  <c r="N154" i="20"/>
  <c r="J154" i="20"/>
  <c r="F154" i="20"/>
  <c r="AI154" i="20"/>
  <c r="AA154" i="20"/>
  <c r="S154" i="20"/>
  <c r="K154" i="20"/>
  <c r="AK154" i="20"/>
  <c r="AG154" i="20"/>
  <c r="AC154" i="20"/>
  <c r="Y154" i="20"/>
  <c r="U154" i="20"/>
  <c r="Q154" i="20"/>
  <c r="M154" i="20"/>
  <c r="I154" i="20"/>
  <c r="E154" i="20"/>
  <c r="C153" i="20"/>
  <c r="H12" i="23"/>
  <c r="C18" i="23"/>
  <c r="L26" i="26"/>
  <c r="K33" i="26"/>
  <c r="K40" i="26"/>
  <c r="L27" i="26"/>
  <c r="K34" i="26"/>
  <c r="K41" i="26"/>
  <c r="K29" i="26"/>
  <c r="J36" i="26"/>
  <c r="J43" i="26"/>
  <c r="K28" i="26"/>
  <c r="J35" i="26"/>
  <c r="J42" i="26"/>
  <c r="B76" i="30"/>
  <c r="B72" i="30"/>
  <c r="I2" i="34"/>
  <c r="D4" i="24"/>
  <c r="D3" i="24"/>
  <c r="O19" i="23"/>
  <c r="W19" i="23"/>
  <c r="AE19" i="23"/>
  <c r="E19" i="23"/>
  <c r="N19" i="23"/>
  <c r="AD19" i="23"/>
  <c r="J19" i="23"/>
  <c r="R19" i="23"/>
  <c r="Z19" i="23"/>
  <c r="AH19" i="23"/>
  <c r="H19" i="23"/>
  <c r="V19" i="23"/>
  <c r="K19" i="23"/>
  <c r="S19" i="23"/>
  <c r="AA19" i="23"/>
  <c r="AI19" i="23"/>
  <c r="C19" i="23"/>
  <c r="D19" i="23"/>
  <c r="L19" i="23"/>
  <c r="H13" i="23"/>
  <c r="G19" i="23"/>
  <c r="AK19" i="23"/>
  <c r="AG19" i="23"/>
  <c r="AC19" i="23"/>
  <c r="Y19" i="23"/>
  <c r="U19" i="23"/>
  <c r="Q19" i="23"/>
  <c r="M19" i="23"/>
  <c r="I19" i="23"/>
  <c r="F19" i="23"/>
  <c r="AJ19" i="23"/>
  <c r="AF19" i="23"/>
  <c r="AB19" i="23"/>
  <c r="X19" i="23"/>
  <c r="T19" i="23"/>
  <c r="P19" i="23"/>
  <c r="C73" i="30"/>
  <c r="I3" i="31"/>
  <c r="D18" i="23"/>
  <c r="B47" i="30"/>
  <c r="G2" i="32"/>
  <c r="E17" i="28"/>
  <c r="E22" i="28"/>
  <c r="C46" i="28"/>
  <c r="B50" i="28"/>
  <c r="B49" i="30"/>
  <c r="B46" i="30"/>
  <c r="G2" i="33"/>
  <c r="L82" i="8"/>
  <c r="K76" i="8"/>
  <c r="K75" i="8"/>
  <c r="K74" i="8"/>
  <c r="Q6" i="8"/>
  <c r="P12" i="8"/>
  <c r="C3" i="25"/>
  <c r="D3" i="25"/>
  <c r="E3" i="25"/>
  <c r="F3" i="25"/>
  <c r="G3" i="25"/>
  <c r="H3" i="25"/>
  <c r="C157" i="20"/>
  <c r="C59" i="30"/>
  <c r="H3" i="33"/>
  <c r="M82" i="28"/>
  <c r="F9" i="27"/>
  <c r="E13" i="27"/>
  <c r="K45" i="26"/>
  <c r="L28" i="26"/>
  <c r="K35" i="26"/>
  <c r="K42" i="26"/>
  <c r="M27" i="26"/>
  <c r="L34" i="26"/>
  <c r="L41" i="26"/>
  <c r="L29" i="26"/>
  <c r="K36" i="26"/>
  <c r="K43" i="26"/>
  <c r="M26" i="26"/>
  <c r="L33" i="26"/>
  <c r="L40" i="26"/>
  <c r="L45" i="26"/>
  <c r="E3" i="24"/>
  <c r="E4" i="24"/>
  <c r="D73" i="30"/>
  <c r="I4" i="31"/>
  <c r="E18" i="23"/>
  <c r="D47" i="30"/>
  <c r="G4" i="32"/>
  <c r="F22" i="28"/>
  <c r="D46" i="28"/>
  <c r="C50" i="28"/>
  <c r="C46" i="30"/>
  <c r="G3" i="33"/>
  <c r="F17" i="28"/>
  <c r="M82" i="8"/>
  <c r="L76" i="8"/>
  <c r="L75" i="8"/>
  <c r="L74" i="8"/>
  <c r="R6" i="8"/>
  <c r="Q12" i="8"/>
  <c r="B7" i="25"/>
  <c r="C159" i="20"/>
  <c r="N82" i="28"/>
  <c r="E47" i="30"/>
  <c r="G5" i="32"/>
  <c r="G9" i="27"/>
  <c r="F13" i="27"/>
  <c r="N26" i="26"/>
  <c r="M33" i="26"/>
  <c r="M40" i="26"/>
  <c r="N27" i="26"/>
  <c r="M34" i="26"/>
  <c r="M41" i="26"/>
  <c r="M29" i="26"/>
  <c r="L36" i="26"/>
  <c r="L43" i="26"/>
  <c r="M28" i="26"/>
  <c r="L35" i="26"/>
  <c r="L42" i="26"/>
  <c r="C15" i="25"/>
  <c r="C14" i="25"/>
  <c r="C72" i="30"/>
  <c r="I3" i="34"/>
  <c r="C7" i="25"/>
  <c r="F4" i="24"/>
  <c r="F3" i="24"/>
  <c r="E73" i="30"/>
  <c r="I5" i="31"/>
  <c r="F18" i="23"/>
  <c r="E46" i="28"/>
  <c r="D50" i="28"/>
  <c r="D46" i="30"/>
  <c r="G4" i="33"/>
  <c r="G17" i="28"/>
  <c r="G22" i="28"/>
  <c r="N82" i="8"/>
  <c r="M76" i="8"/>
  <c r="M75" i="8"/>
  <c r="M74" i="8"/>
  <c r="S6" i="8"/>
  <c r="R12" i="8"/>
  <c r="C74" i="30"/>
  <c r="I3" i="33"/>
  <c r="O82" i="28"/>
  <c r="F47" i="30"/>
  <c r="G6" i="32"/>
  <c r="H9" i="27"/>
  <c r="G13" i="27"/>
  <c r="M45" i="26"/>
  <c r="N28" i="26"/>
  <c r="M35" i="26"/>
  <c r="M42" i="26"/>
  <c r="O27" i="26"/>
  <c r="N34" i="26"/>
  <c r="N41" i="26"/>
  <c r="N29" i="26"/>
  <c r="M36" i="26"/>
  <c r="M43" i="26"/>
  <c r="O26" i="26"/>
  <c r="N33" i="26"/>
  <c r="N40" i="26"/>
  <c r="N45" i="26"/>
  <c r="D15" i="25"/>
  <c r="D14" i="25"/>
  <c r="D72" i="30"/>
  <c r="I4" i="34"/>
  <c r="D7" i="25"/>
  <c r="G3" i="24"/>
  <c r="G4" i="24"/>
  <c r="G18" i="23"/>
  <c r="F73" i="30"/>
  <c r="I6" i="31"/>
  <c r="H17" i="28"/>
  <c r="H22" i="28"/>
  <c r="F46" i="28"/>
  <c r="E50" i="28"/>
  <c r="E46" i="30"/>
  <c r="G5" i="33"/>
  <c r="O82" i="8"/>
  <c r="N76" i="8"/>
  <c r="N75" i="8"/>
  <c r="N74" i="8"/>
  <c r="T6" i="8"/>
  <c r="S12" i="8"/>
  <c r="D74" i="30"/>
  <c r="I4" i="33"/>
  <c r="P82" i="28"/>
  <c r="I9" i="27"/>
  <c r="H13" i="27"/>
  <c r="P26" i="26"/>
  <c r="O33" i="26"/>
  <c r="O40" i="26"/>
  <c r="P27" i="26"/>
  <c r="O34" i="26"/>
  <c r="O41" i="26"/>
  <c r="O29" i="26"/>
  <c r="N36" i="26"/>
  <c r="N43" i="26"/>
  <c r="O28" i="26"/>
  <c r="N35" i="26"/>
  <c r="N42" i="26"/>
  <c r="E15" i="25"/>
  <c r="E14" i="25"/>
  <c r="E72" i="30"/>
  <c r="I5" i="34"/>
  <c r="E7" i="25"/>
  <c r="H4" i="24"/>
  <c r="H3" i="24"/>
  <c r="H18" i="23"/>
  <c r="G73" i="30"/>
  <c r="I7" i="31"/>
  <c r="G47" i="30"/>
  <c r="G7" i="32"/>
  <c r="I17" i="28"/>
  <c r="G46" i="28"/>
  <c r="F50" i="28"/>
  <c r="F46" i="30"/>
  <c r="G6" i="33"/>
  <c r="I22" i="28"/>
  <c r="P82" i="8"/>
  <c r="O76" i="8"/>
  <c r="O75" i="8"/>
  <c r="O74" i="8"/>
  <c r="U6" i="8"/>
  <c r="T12" i="8"/>
  <c r="C40" i="20"/>
  <c r="D40" i="20"/>
  <c r="E40" i="20"/>
  <c r="F40" i="20"/>
  <c r="G40" i="20"/>
  <c r="H40" i="20"/>
  <c r="I40" i="20"/>
  <c r="J40" i="20"/>
  <c r="K40" i="20"/>
  <c r="C12" i="19"/>
  <c r="D12" i="19"/>
  <c r="E12" i="19"/>
  <c r="F12" i="19"/>
  <c r="B12" i="19"/>
  <c r="N3" i="19"/>
  <c r="O3" i="19"/>
  <c r="P3" i="19"/>
  <c r="Q3" i="19"/>
  <c r="R3" i="19"/>
  <c r="S3" i="19"/>
  <c r="T3" i="19"/>
  <c r="C107" i="18"/>
  <c r="D107" i="18"/>
  <c r="E107" i="18"/>
  <c r="F107" i="18"/>
  <c r="G107" i="18"/>
  <c r="H107" i="18"/>
  <c r="I107" i="18"/>
  <c r="J107" i="18"/>
  <c r="K107" i="18"/>
  <c r="L107" i="18"/>
  <c r="M107" i="18"/>
  <c r="N107" i="18"/>
  <c r="O107" i="18"/>
  <c r="P107" i="18"/>
  <c r="Q107" i="18"/>
  <c r="R107" i="18"/>
  <c r="S107" i="18"/>
  <c r="T107" i="18"/>
  <c r="U107" i="18"/>
  <c r="V107" i="18"/>
  <c r="W107" i="18"/>
  <c r="X107" i="18"/>
  <c r="Y107" i="18"/>
  <c r="Z107" i="18"/>
  <c r="AA107" i="18"/>
  <c r="AB107" i="18"/>
  <c r="AC107" i="18"/>
  <c r="AD107" i="18"/>
  <c r="AE107" i="18"/>
  <c r="AF107" i="18"/>
  <c r="AG107" i="18"/>
  <c r="AH107" i="18"/>
  <c r="AI107" i="18"/>
  <c r="AJ107" i="18"/>
  <c r="AK107" i="18"/>
  <c r="B107" i="18"/>
  <c r="C97" i="18"/>
  <c r="D97" i="18"/>
  <c r="E97" i="18"/>
  <c r="F97" i="18"/>
  <c r="G97" i="18"/>
  <c r="H97" i="18"/>
  <c r="I97" i="18"/>
  <c r="J97" i="18"/>
  <c r="K97" i="18"/>
  <c r="L97" i="18"/>
  <c r="M97" i="18"/>
  <c r="N97" i="18"/>
  <c r="O97" i="18"/>
  <c r="P97" i="18"/>
  <c r="Q97" i="18"/>
  <c r="R97" i="18"/>
  <c r="S97" i="18"/>
  <c r="T97" i="18"/>
  <c r="U97" i="18"/>
  <c r="V97" i="18"/>
  <c r="W97" i="18"/>
  <c r="X97" i="18"/>
  <c r="Y97" i="18"/>
  <c r="Z97" i="18"/>
  <c r="AA97" i="18"/>
  <c r="AB97" i="18"/>
  <c r="AC97" i="18"/>
  <c r="AD97" i="18"/>
  <c r="AE97" i="18"/>
  <c r="AF97" i="18"/>
  <c r="AG97" i="18"/>
  <c r="AH97" i="18"/>
  <c r="AI97" i="18"/>
  <c r="AJ97" i="18"/>
  <c r="AK97" i="18"/>
  <c r="B97" i="18"/>
  <c r="B87" i="18"/>
  <c r="G103" i="18"/>
  <c r="B86" i="18"/>
  <c r="B101" i="18"/>
  <c r="B82" i="18"/>
  <c r="F93" i="18"/>
  <c r="B81" i="18"/>
  <c r="B91" i="18"/>
  <c r="C71" i="18"/>
  <c r="D71" i="18"/>
  <c r="E71" i="18"/>
  <c r="F71" i="18"/>
  <c r="C72" i="18"/>
  <c r="D72" i="18"/>
  <c r="E72" i="18"/>
  <c r="F72" i="18"/>
  <c r="C73" i="18"/>
  <c r="D73" i="18"/>
  <c r="E73" i="18"/>
  <c r="F73" i="18"/>
  <c r="C74" i="18"/>
  <c r="D74" i="18"/>
  <c r="E74" i="18"/>
  <c r="F74" i="18"/>
  <c r="C75" i="18"/>
  <c r="D75" i="18"/>
  <c r="E75" i="18"/>
  <c r="F75" i="18"/>
  <c r="C76" i="18"/>
  <c r="D76" i="18"/>
  <c r="E76" i="18"/>
  <c r="F76" i="18"/>
  <c r="B72" i="18"/>
  <c r="B73" i="18"/>
  <c r="B74" i="18"/>
  <c r="B75" i="18"/>
  <c r="B76" i="18"/>
  <c r="B71" i="18"/>
  <c r="C61" i="18"/>
  <c r="D61" i="18"/>
  <c r="E61" i="18"/>
  <c r="F61" i="18"/>
  <c r="C62" i="18"/>
  <c r="D62" i="18"/>
  <c r="E62" i="18"/>
  <c r="F62" i="18"/>
  <c r="C63" i="18"/>
  <c r="D63" i="18"/>
  <c r="E63" i="18"/>
  <c r="F63" i="18"/>
  <c r="C64" i="18"/>
  <c r="D64" i="18"/>
  <c r="E64" i="18"/>
  <c r="F64" i="18"/>
  <c r="C65" i="18"/>
  <c r="D65" i="18"/>
  <c r="E65" i="18"/>
  <c r="F65" i="18"/>
  <c r="C66" i="18"/>
  <c r="D66" i="18"/>
  <c r="E66" i="18"/>
  <c r="F66" i="18"/>
  <c r="B64" i="18"/>
  <c r="B65" i="18"/>
  <c r="B66" i="18"/>
  <c r="B62" i="18"/>
  <c r="B63" i="18"/>
  <c r="B61" i="18"/>
  <c r="W9" i="18"/>
  <c r="X9" i="18"/>
  <c r="Y9" i="18"/>
  <c r="Z9" i="18"/>
  <c r="AA9" i="18"/>
  <c r="AB9" i="18"/>
  <c r="AC9" i="18"/>
  <c r="AD9" i="18"/>
  <c r="AE9" i="18"/>
  <c r="AF9" i="18"/>
  <c r="AG9" i="18"/>
  <c r="AH9" i="18"/>
  <c r="AI9" i="18"/>
  <c r="AJ9" i="18"/>
  <c r="AK9" i="18"/>
  <c r="AL9" i="18"/>
  <c r="AM9" i="18"/>
  <c r="AN9" i="18"/>
  <c r="AO9" i="18"/>
  <c r="AP9" i="18"/>
  <c r="AQ9" i="18"/>
  <c r="AR9" i="18"/>
  <c r="AS9" i="18"/>
  <c r="AT9" i="18"/>
  <c r="C31" i="18"/>
  <c r="D31" i="18"/>
  <c r="E31" i="18"/>
  <c r="F31" i="18"/>
  <c r="G31" i="18"/>
  <c r="H31" i="18"/>
  <c r="I31" i="18"/>
  <c r="J31" i="18"/>
  <c r="K31" i="18"/>
  <c r="L31" i="18"/>
  <c r="M31" i="18"/>
  <c r="C32" i="18"/>
  <c r="D32" i="18"/>
  <c r="C33" i="18"/>
  <c r="D33" i="18"/>
  <c r="C19" i="18"/>
  <c r="C30" i="18"/>
  <c r="D19" i="18"/>
  <c r="D30" i="18"/>
  <c r="E19" i="18"/>
  <c r="E30" i="18"/>
  <c r="F19" i="18"/>
  <c r="F30" i="18"/>
  <c r="C20" i="18"/>
  <c r="C29" i="18"/>
  <c r="D20" i="18"/>
  <c r="D29" i="18"/>
  <c r="E20" i="18"/>
  <c r="E29" i="18"/>
  <c r="F20" i="18"/>
  <c r="F29" i="18"/>
  <c r="B20" i="18"/>
  <c r="B19" i="18"/>
  <c r="N8" i="18"/>
  <c r="O8" i="18"/>
  <c r="P8" i="18"/>
  <c r="Q8" i="18"/>
  <c r="R8" i="18"/>
  <c r="S8" i="18"/>
  <c r="T8" i="18"/>
  <c r="U8" i="18"/>
  <c r="V8" i="18"/>
  <c r="W8" i="18"/>
  <c r="X8" i="18"/>
  <c r="Y8" i="18"/>
  <c r="Z8" i="18"/>
  <c r="AA8" i="18"/>
  <c r="AB8" i="18"/>
  <c r="AC8" i="18"/>
  <c r="AD8" i="18"/>
  <c r="AE8" i="18"/>
  <c r="AF8" i="18"/>
  <c r="AG8" i="18"/>
  <c r="AH8" i="18"/>
  <c r="AI8" i="18"/>
  <c r="AJ8" i="18"/>
  <c r="AK8" i="18"/>
  <c r="AL8" i="18"/>
  <c r="AM8" i="18"/>
  <c r="AN8" i="18"/>
  <c r="AO8" i="18"/>
  <c r="AP8" i="18"/>
  <c r="AQ8" i="18"/>
  <c r="AR8" i="18"/>
  <c r="AS8" i="18"/>
  <c r="AT8" i="18"/>
  <c r="AK33" i="18"/>
  <c r="N7" i="18"/>
  <c r="O7" i="18"/>
  <c r="P7" i="18"/>
  <c r="Q7" i="18"/>
  <c r="R7" i="18"/>
  <c r="S7" i="18"/>
  <c r="T7" i="18"/>
  <c r="U7" i="18"/>
  <c r="V7" i="18"/>
  <c r="W7" i="18"/>
  <c r="X7" i="18"/>
  <c r="Y7" i="18"/>
  <c r="Z7" i="18"/>
  <c r="AA7" i="18"/>
  <c r="AB7" i="18"/>
  <c r="AC7" i="18"/>
  <c r="AD7" i="18"/>
  <c r="AE7" i="18"/>
  <c r="AF7" i="18"/>
  <c r="AG7" i="18"/>
  <c r="AH7" i="18"/>
  <c r="AI7" i="18"/>
  <c r="AJ7" i="18"/>
  <c r="AK7" i="18"/>
  <c r="AL7" i="18"/>
  <c r="AM7" i="18"/>
  <c r="AN7" i="18"/>
  <c r="AO7" i="18"/>
  <c r="AP7" i="18"/>
  <c r="AQ7" i="18"/>
  <c r="AR7" i="18"/>
  <c r="AS7" i="18"/>
  <c r="AT7" i="18"/>
  <c r="AK32" i="18"/>
  <c r="W5" i="18"/>
  <c r="X5" i="18"/>
  <c r="Y5" i="18"/>
  <c r="Z5" i="18"/>
  <c r="AA5" i="18"/>
  <c r="AB5" i="18"/>
  <c r="AC5" i="18"/>
  <c r="AD5" i="18"/>
  <c r="AE5" i="18"/>
  <c r="AF5" i="18"/>
  <c r="AG5" i="18"/>
  <c r="AH5" i="18"/>
  <c r="AI5" i="18"/>
  <c r="AJ5" i="18"/>
  <c r="AK5" i="18"/>
  <c r="AL5" i="18"/>
  <c r="AM5" i="18"/>
  <c r="AN5" i="18"/>
  <c r="AO5" i="18"/>
  <c r="AP5" i="18"/>
  <c r="AQ5" i="18"/>
  <c r="AR5" i="18"/>
  <c r="AS5" i="18"/>
  <c r="AT5" i="18"/>
  <c r="W6" i="18"/>
  <c r="X6" i="18"/>
  <c r="Y6" i="18"/>
  <c r="Z6" i="18"/>
  <c r="AA6" i="18"/>
  <c r="AB6" i="18"/>
  <c r="AC6" i="18"/>
  <c r="AD6" i="18"/>
  <c r="AE6" i="18"/>
  <c r="AF6" i="18"/>
  <c r="AG6" i="18"/>
  <c r="AH6" i="18"/>
  <c r="AI6" i="18"/>
  <c r="AJ6" i="18"/>
  <c r="AK6" i="18"/>
  <c r="AL6" i="18"/>
  <c r="AM6" i="18"/>
  <c r="AN6" i="18"/>
  <c r="AO6" i="18"/>
  <c r="AP6" i="18"/>
  <c r="AQ6" i="18"/>
  <c r="AR6" i="18"/>
  <c r="AS6" i="18"/>
  <c r="AT6" i="18"/>
  <c r="AK31" i="18"/>
  <c r="W4" i="18"/>
  <c r="X4" i="18"/>
  <c r="Y4" i="18"/>
  <c r="Z4" i="18"/>
  <c r="AA4" i="18"/>
  <c r="AB4" i="18"/>
  <c r="AC4" i="18"/>
  <c r="AD4" i="18"/>
  <c r="AE4" i="18"/>
  <c r="AF4" i="18"/>
  <c r="AG4" i="18"/>
  <c r="AH4" i="18"/>
  <c r="AI4" i="18"/>
  <c r="AJ4" i="18"/>
  <c r="AK4" i="18"/>
  <c r="AL4" i="18"/>
  <c r="AM4" i="18"/>
  <c r="AN4" i="18"/>
  <c r="AO4" i="18"/>
  <c r="AP4" i="18"/>
  <c r="AQ4" i="18"/>
  <c r="AR4" i="18"/>
  <c r="AS4" i="18"/>
  <c r="AT4" i="18"/>
  <c r="C3" i="16"/>
  <c r="C16" i="16"/>
  <c r="C18" i="16"/>
  <c r="C25" i="16"/>
  <c r="C26" i="16"/>
  <c r="B23" i="30"/>
  <c r="B20" i="30"/>
  <c r="D2" i="32"/>
  <c r="B50" i="11"/>
  <c r="B49" i="11"/>
  <c r="B47" i="11"/>
  <c r="C47" i="11"/>
  <c r="D47" i="11"/>
  <c r="E47" i="11"/>
  <c r="F47" i="11"/>
  <c r="G47" i="11"/>
  <c r="H47" i="11"/>
  <c r="I47" i="11"/>
  <c r="J47" i="11"/>
  <c r="K47" i="11"/>
  <c r="L47" i="11"/>
  <c r="M47" i="11"/>
  <c r="N47" i="11"/>
  <c r="O47" i="11"/>
  <c r="P47" i="11"/>
  <c r="Q47" i="11"/>
  <c r="R47" i="11"/>
  <c r="S47" i="11"/>
  <c r="T47" i="11"/>
  <c r="U47" i="11"/>
  <c r="V47" i="11"/>
  <c r="W47" i="11"/>
  <c r="X47" i="11"/>
  <c r="Y47" i="11"/>
  <c r="Z47" i="11"/>
  <c r="AA47" i="11"/>
  <c r="AB47" i="11"/>
  <c r="AC47" i="11"/>
  <c r="AD47" i="11"/>
  <c r="AE47" i="11"/>
  <c r="AF47" i="11"/>
  <c r="AG47" i="11"/>
  <c r="AH47" i="11"/>
  <c r="AI47" i="11"/>
  <c r="AJ47" i="11"/>
  <c r="AK47" i="11"/>
  <c r="B48" i="11"/>
  <c r="B46" i="11"/>
  <c r="C42" i="11"/>
  <c r="D42" i="11"/>
  <c r="E42" i="11"/>
  <c r="F42" i="11"/>
  <c r="G42" i="11"/>
  <c r="H42" i="11"/>
  <c r="I42" i="11"/>
  <c r="J42" i="11"/>
  <c r="K42" i="11"/>
  <c r="L42" i="11"/>
  <c r="M42" i="11"/>
  <c r="N42" i="11"/>
  <c r="O42" i="11"/>
  <c r="P42" i="11"/>
  <c r="Q42" i="11"/>
  <c r="R42" i="11"/>
  <c r="S42" i="11"/>
  <c r="T42" i="11"/>
  <c r="U42" i="11"/>
  <c r="V42" i="11"/>
  <c r="W42" i="11"/>
  <c r="X42" i="11"/>
  <c r="Y42" i="11"/>
  <c r="Z42" i="11"/>
  <c r="AA42" i="11"/>
  <c r="AB42" i="11"/>
  <c r="AC42" i="11"/>
  <c r="AD42" i="11"/>
  <c r="AE42" i="11"/>
  <c r="AF42" i="11"/>
  <c r="AG42" i="11"/>
  <c r="AH42" i="11"/>
  <c r="AI42" i="11"/>
  <c r="AJ42" i="11"/>
  <c r="AK42" i="11"/>
  <c r="B42" i="11"/>
  <c r="C41" i="11"/>
  <c r="D41" i="11"/>
  <c r="E41" i="11"/>
  <c r="F41" i="11"/>
  <c r="G41" i="11"/>
  <c r="H41" i="11"/>
  <c r="I41" i="11"/>
  <c r="J41" i="11"/>
  <c r="K41" i="11"/>
  <c r="L41" i="11"/>
  <c r="M41" i="11"/>
  <c r="N41" i="11"/>
  <c r="O41" i="11"/>
  <c r="P41" i="11"/>
  <c r="Q41" i="11"/>
  <c r="R41" i="11"/>
  <c r="S41" i="11"/>
  <c r="T41" i="11"/>
  <c r="U41" i="11"/>
  <c r="V41" i="11"/>
  <c r="W41" i="11"/>
  <c r="X41" i="11"/>
  <c r="Y41" i="11"/>
  <c r="Z41" i="11"/>
  <c r="AA41" i="11"/>
  <c r="AB41" i="11"/>
  <c r="AC41" i="11"/>
  <c r="AD41" i="11"/>
  <c r="AE41" i="11"/>
  <c r="AF41" i="11"/>
  <c r="AG41" i="11"/>
  <c r="AH41" i="11"/>
  <c r="AI41" i="11"/>
  <c r="AJ41" i="11"/>
  <c r="AK41" i="11"/>
  <c r="B41" i="11"/>
  <c r="B38" i="11"/>
  <c r="C30" i="11"/>
  <c r="D30" i="11"/>
  <c r="E30" i="11"/>
  <c r="F30" i="11"/>
  <c r="C31" i="11"/>
  <c r="D31" i="11"/>
  <c r="E31" i="11"/>
  <c r="F31" i="11"/>
  <c r="C32" i="11"/>
  <c r="D32" i="11"/>
  <c r="E32" i="11"/>
  <c r="F32" i="11"/>
  <c r="B32" i="11"/>
  <c r="B31" i="11"/>
  <c r="B30" i="11"/>
  <c r="C26" i="11"/>
  <c r="C34" i="11"/>
  <c r="D26" i="11"/>
  <c r="D33" i="11"/>
  <c r="E26" i="11"/>
  <c r="E33" i="11"/>
  <c r="F26" i="11"/>
  <c r="B26" i="11"/>
  <c r="B33" i="11"/>
  <c r="E74" i="30"/>
  <c r="I5" i="33"/>
  <c r="H47" i="30"/>
  <c r="G8" i="32"/>
  <c r="Q82" i="28"/>
  <c r="J9" i="27"/>
  <c r="I13" i="27"/>
  <c r="D44" i="20"/>
  <c r="O45" i="26"/>
  <c r="P28" i="26"/>
  <c r="O35" i="26"/>
  <c r="O42" i="26"/>
  <c r="Q27" i="26"/>
  <c r="P34" i="26"/>
  <c r="P41" i="26"/>
  <c r="P29" i="26"/>
  <c r="O36" i="26"/>
  <c r="O43" i="26"/>
  <c r="Q26" i="26"/>
  <c r="P33" i="26"/>
  <c r="P40" i="26"/>
  <c r="P45" i="26"/>
  <c r="F14" i="25"/>
  <c r="F72" i="30"/>
  <c r="I6" i="34"/>
  <c r="F15" i="25"/>
  <c r="F7" i="25"/>
  <c r="I3" i="24"/>
  <c r="I4" i="24"/>
  <c r="I18" i="23"/>
  <c r="H73" i="30"/>
  <c r="I8" i="31"/>
  <c r="H46" i="28"/>
  <c r="G50" i="28"/>
  <c r="G46" i="30"/>
  <c r="G7" i="33"/>
  <c r="J22" i="28"/>
  <c r="J17" i="28"/>
  <c r="Q82" i="8"/>
  <c r="P76" i="8"/>
  <c r="P75" i="8"/>
  <c r="P74" i="8"/>
  <c r="V6" i="8"/>
  <c r="U12" i="8"/>
  <c r="R16" i="16"/>
  <c r="R18" i="16"/>
  <c r="R25" i="16"/>
  <c r="R26" i="16"/>
  <c r="AK16" i="16"/>
  <c r="AK18" i="16"/>
  <c r="AK25" i="16"/>
  <c r="AK26" i="16"/>
  <c r="B93" i="18"/>
  <c r="G93" i="18"/>
  <c r="J93" i="18"/>
  <c r="U31" i="18"/>
  <c r="G66" i="18"/>
  <c r="D96" i="18"/>
  <c r="G76" i="18"/>
  <c r="G106" i="18"/>
  <c r="M16" i="16"/>
  <c r="M18" i="16"/>
  <c r="M25" i="16"/>
  <c r="M26" i="16"/>
  <c r="C33" i="11"/>
  <c r="AH93" i="18"/>
  <c r="AA103" i="18"/>
  <c r="G32" i="11"/>
  <c r="AH16" i="16"/>
  <c r="AH18" i="16"/>
  <c r="AH25" i="16"/>
  <c r="AH26" i="16"/>
  <c r="W93" i="18"/>
  <c r="V93" i="18"/>
  <c r="S103" i="18"/>
  <c r="B34" i="11"/>
  <c r="G30" i="11"/>
  <c r="M46" i="11"/>
  <c r="D34" i="11"/>
  <c r="B53" i="11"/>
  <c r="B54" i="11"/>
  <c r="B12" i="30"/>
  <c r="B10" i="30"/>
  <c r="AC16" i="16"/>
  <c r="AC18" i="16"/>
  <c r="AC25" i="16"/>
  <c r="AC26" i="16"/>
  <c r="C86" i="18"/>
  <c r="C101" i="18"/>
  <c r="AB93" i="18"/>
  <c r="R93" i="18"/>
  <c r="K103" i="18"/>
  <c r="AF93" i="18"/>
  <c r="G31" i="11"/>
  <c r="F49" i="11"/>
  <c r="U16" i="16"/>
  <c r="U18" i="16"/>
  <c r="U25" i="16"/>
  <c r="U26" i="16"/>
  <c r="AG31" i="18"/>
  <c r="C81" i="18"/>
  <c r="C91" i="18"/>
  <c r="AA93" i="18"/>
  <c r="O93" i="18"/>
  <c r="AI103" i="18"/>
  <c r="C103" i="18"/>
  <c r="F33" i="11"/>
  <c r="F34" i="11"/>
  <c r="U3" i="19"/>
  <c r="V3" i="19"/>
  <c r="W3" i="19"/>
  <c r="B39" i="11"/>
  <c r="Z16" i="16"/>
  <c r="Z18" i="16"/>
  <c r="Z25" i="16"/>
  <c r="Z26" i="16"/>
  <c r="J16" i="16"/>
  <c r="J18" i="16"/>
  <c r="J25" i="16"/>
  <c r="J26" i="16"/>
  <c r="G75" i="18"/>
  <c r="G74" i="18"/>
  <c r="G72" i="18"/>
  <c r="C87" i="18"/>
  <c r="D87" i="18"/>
  <c r="E87" i="18"/>
  <c r="F87" i="18"/>
  <c r="G87" i="18"/>
  <c r="H87" i="18"/>
  <c r="I87" i="18"/>
  <c r="J87" i="18"/>
  <c r="K87" i="18"/>
  <c r="L87" i="18"/>
  <c r="M87" i="18"/>
  <c r="N87" i="18"/>
  <c r="O87" i="18"/>
  <c r="P87" i="18"/>
  <c r="Q87" i="18"/>
  <c r="R87" i="18"/>
  <c r="S87" i="18"/>
  <c r="T87" i="18"/>
  <c r="U87" i="18"/>
  <c r="V87" i="18"/>
  <c r="W87" i="18"/>
  <c r="X87" i="18"/>
  <c r="Y87" i="18"/>
  <c r="Z87" i="18"/>
  <c r="AA87" i="18"/>
  <c r="AB87" i="18"/>
  <c r="AC87" i="18"/>
  <c r="AD87" i="18"/>
  <c r="AE87" i="18"/>
  <c r="AF87" i="18"/>
  <c r="AG87" i="18"/>
  <c r="AH87" i="18"/>
  <c r="AI87" i="18"/>
  <c r="AJ87" i="18"/>
  <c r="AK87" i="18"/>
  <c r="AJ93" i="18"/>
  <c r="AE93" i="18"/>
  <c r="Z93" i="18"/>
  <c r="T93" i="18"/>
  <c r="N93" i="18"/>
  <c r="AH103" i="18"/>
  <c r="Z103" i="18"/>
  <c r="R103" i="18"/>
  <c r="J103" i="18"/>
  <c r="E34" i="11"/>
  <c r="D93" i="18"/>
  <c r="H93" i="18"/>
  <c r="L93" i="18"/>
  <c r="P93" i="18"/>
  <c r="E93" i="18"/>
  <c r="I93" i="18"/>
  <c r="M93" i="18"/>
  <c r="Q93" i="18"/>
  <c r="U93" i="18"/>
  <c r="Y93" i="18"/>
  <c r="AC93" i="18"/>
  <c r="AG93" i="18"/>
  <c r="AK93" i="18"/>
  <c r="C82" i="18"/>
  <c r="D82" i="18"/>
  <c r="E82" i="18"/>
  <c r="F82" i="18"/>
  <c r="G82" i="18"/>
  <c r="H82" i="18"/>
  <c r="I82" i="18"/>
  <c r="J82" i="18"/>
  <c r="K82" i="18"/>
  <c r="L82" i="18"/>
  <c r="M82" i="18"/>
  <c r="N82" i="18"/>
  <c r="O82" i="18"/>
  <c r="P82" i="18"/>
  <c r="Q82" i="18"/>
  <c r="R82" i="18"/>
  <c r="S82" i="18"/>
  <c r="T82" i="18"/>
  <c r="U82" i="18"/>
  <c r="V82" i="18"/>
  <c r="W82" i="18"/>
  <c r="X82" i="18"/>
  <c r="Y82" i="18"/>
  <c r="Z82" i="18"/>
  <c r="AA82" i="18"/>
  <c r="AB82" i="18"/>
  <c r="AC82" i="18"/>
  <c r="AD82" i="18"/>
  <c r="AE82" i="18"/>
  <c r="AF82" i="18"/>
  <c r="AG82" i="18"/>
  <c r="AH82" i="18"/>
  <c r="AI82" i="18"/>
  <c r="AJ82" i="18"/>
  <c r="AK82" i="18"/>
  <c r="AI93" i="18"/>
  <c r="AD93" i="18"/>
  <c r="X93" i="18"/>
  <c r="S93" i="18"/>
  <c r="K93" i="18"/>
  <c r="C93" i="18"/>
  <c r="AE103" i="18"/>
  <c r="W103" i="18"/>
  <c r="O103" i="18"/>
  <c r="D103" i="18"/>
  <c r="H103" i="18"/>
  <c r="L103" i="18"/>
  <c r="P103" i="18"/>
  <c r="T103" i="18"/>
  <c r="X103" i="18"/>
  <c r="AB103" i="18"/>
  <c r="AF103" i="18"/>
  <c r="AJ103" i="18"/>
  <c r="E103" i="18"/>
  <c r="I103" i="18"/>
  <c r="M103" i="18"/>
  <c r="Q103" i="18"/>
  <c r="U103" i="18"/>
  <c r="Y103" i="18"/>
  <c r="AC103" i="18"/>
  <c r="AG103" i="18"/>
  <c r="AK103" i="18"/>
  <c r="B103" i="18"/>
  <c r="AD103" i="18"/>
  <c r="V103" i="18"/>
  <c r="N103" i="18"/>
  <c r="F103" i="18"/>
  <c r="Q31" i="18"/>
  <c r="G20" i="18"/>
  <c r="G29" i="18"/>
  <c r="Z32" i="18"/>
  <c r="V32" i="18"/>
  <c r="F32" i="18"/>
  <c r="AH32" i="18"/>
  <c r="R32" i="18"/>
  <c r="AC31" i="18"/>
  <c r="J32" i="18"/>
  <c r="AD32" i="18"/>
  <c r="N32" i="18"/>
  <c r="Y31" i="18"/>
  <c r="AI33" i="18"/>
  <c r="W33" i="18"/>
  <c r="O33" i="18"/>
  <c r="K33" i="18"/>
  <c r="AH33" i="18"/>
  <c r="AD33" i="18"/>
  <c r="Z33" i="18"/>
  <c r="V33" i="18"/>
  <c r="R33" i="18"/>
  <c r="N33" i="18"/>
  <c r="J33" i="18"/>
  <c r="F33" i="18"/>
  <c r="AG32" i="18"/>
  <c r="AC32" i="18"/>
  <c r="Y32" i="18"/>
  <c r="U32" i="18"/>
  <c r="Q32" i="18"/>
  <c r="M32" i="18"/>
  <c r="I32" i="18"/>
  <c r="E32" i="18"/>
  <c r="AJ31" i="18"/>
  <c r="AF31" i="18"/>
  <c r="AB31" i="18"/>
  <c r="X31" i="18"/>
  <c r="T31" i="18"/>
  <c r="P31" i="18"/>
  <c r="AA33" i="18"/>
  <c r="AG33" i="18"/>
  <c r="AC33" i="18"/>
  <c r="Y33" i="18"/>
  <c r="U33" i="18"/>
  <c r="Q33" i="18"/>
  <c r="M33" i="18"/>
  <c r="I33" i="18"/>
  <c r="E33" i="18"/>
  <c r="AJ32" i="18"/>
  <c r="AF32" i="18"/>
  <c r="AB32" i="18"/>
  <c r="X32" i="18"/>
  <c r="T32" i="18"/>
  <c r="P32" i="18"/>
  <c r="L32" i="18"/>
  <c r="H32" i="18"/>
  <c r="AI31" i="18"/>
  <c r="AE31" i="18"/>
  <c r="AA31" i="18"/>
  <c r="W31" i="18"/>
  <c r="S31" i="18"/>
  <c r="O31" i="18"/>
  <c r="G62" i="18"/>
  <c r="AE33" i="18"/>
  <c r="S33" i="18"/>
  <c r="G33" i="18"/>
  <c r="H20" i="18"/>
  <c r="I20" i="18"/>
  <c r="J20" i="18"/>
  <c r="G19" i="18"/>
  <c r="G30" i="18"/>
  <c r="AJ33" i="18"/>
  <c r="AF33" i="18"/>
  <c r="AB33" i="18"/>
  <c r="X33" i="18"/>
  <c r="T33" i="18"/>
  <c r="P33" i="18"/>
  <c r="L33" i="18"/>
  <c r="H33" i="18"/>
  <c r="AI32" i="18"/>
  <c r="AE32" i="18"/>
  <c r="AA32" i="18"/>
  <c r="W32" i="18"/>
  <c r="S32" i="18"/>
  <c r="O32" i="18"/>
  <c r="K32" i="18"/>
  <c r="G32" i="18"/>
  <c r="AH31" i="18"/>
  <c r="AD31" i="18"/>
  <c r="Z31" i="18"/>
  <c r="V31" i="18"/>
  <c r="R31" i="18"/>
  <c r="N31" i="18"/>
  <c r="G64" i="18"/>
  <c r="G65" i="18"/>
  <c r="AG16" i="16"/>
  <c r="AG18" i="16"/>
  <c r="AG25" i="16"/>
  <c r="AG26" i="16"/>
  <c r="Y16" i="16"/>
  <c r="Y18" i="16"/>
  <c r="Y25" i="16"/>
  <c r="Y26" i="16"/>
  <c r="Q16" i="16"/>
  <c r="Q18" i="16"/>
  <c r="Q25" i="16"/>
  <c r="Q26" i="16"/>
  <c r="I16" i="16"/>
  <c r="I18" i="16"/>
  <c r="I25" i="16"/>
  <c r="I26" i="16"/>
  <c r="B16" i="16"/>
  <c r="B18" i="16"/>
  <c r="B25" i="16"/>
  <c r="B26" i="16"/>
  <c r="AD16" i="16"/>
  <c r="AD18" i="16"/>
  <c r="AD25" i="16"/>
  <c r="AD26" i="16"/>
  <c r="V16" i="16"/>
  <c r="V18" i="16"/>
  <c r="V25" i="16"/>
  <c r="V26" i="16"/>
  <c r="N16" i="16"/>
  <c r="N18" i="16"/>
  <c r="N25" i="16"/>
  <c r="N26" i="16"/>
  <c r="F16" i="16"/>
  <c r="F18" i="16"/>
  <c r="F25" i="16"/>
  <c r="F26" i="16"/>
  <c r="E16" i="16"/>
  <c r="E18" i="16"/>
  <c r="E25" i="16"/>
  <c r="E26" i="16"/>
  <c r="AJ16" i="16"/>
  <c r="AJ18" i="16"/>
  <c r="AJ25" i="16"/>
  <c r="AJ26" i="16"/>
  <c r="AF16" i="16"/>
  <c r="AF18" i="16"/>
  <c r="AF25" i="16"/>
  <c r="AF26" i="16"/>
  <c r="AB16" i="16"/>
  <c r="AB18" i="16"/>
  <c r="AB25" i="16"/>
  <c r="AB26" i="16"/>
  <c r="X16" i="16"/>
  <c r="X18" i="16"/>
  <c r="X25" i="16"/>
  <c r="X26" i="16"/>
  <c r="T16" i="16"/>
  <c r="T18" i="16"/>
  <c r="T25" i="16"/>
  <c r="T26" i="16"/>
  <c r="P16" i="16"/>
  <c r="P18" i="16"/>
  <c r="P25" i="16"/>
  <c r="P26" i="16"/>
  <c r="L16" i="16"/>
  <c r="L18" i="16"/>
  <c r="L25" i="16"/>
  <c r="L26" i="16"/>
  <c r="H16" i="16"/>
  <c r="H18" i="16"/>
  <c r="H25" i="16"/>
  <c r="H26" i="16"/>
  <c r="D16" i="16"/>
  <c r="D18" i="16"/>
  <c r="D25" i="16"/>
  <c r="D26" i="16"/>
  <c r="AI16" i="16"/>
  <c r="AI18" i="16"/>
  <c r="AI25" i="16"/>
  <c r="AI26" i="16"/>
  <c r="AE16" i="16"/>
  <c r="AE18" i="16"/>
  <c r="AE25" i="16"/>
  <c r="AE26" i="16"/>
  <c r="AA16" i="16"/>
  <c r="AA18" i="16"/>
  <c r="AA25" i="16"/>
  <c r="AA26" i="16"/>
  <c r="W16" i="16"/>
  <c r="W18" i="16"/>
  <c r="W25" i="16"/>
  <c r="W26" i="16"/>
  <c r="S16" i="16"/>
  <c r="S18" i="16"/>
  <c r="S25" i="16"/>
  <c r="S26" i="16"/>
  <c r="O16" i="16"/>
  <c r="O18" i="16"/>
  <c r="O25" i="16"/>
  <c r="O26" i="16"/>
  <c r="K16" i="16"/>
  <c r="K18" i="16"/>
  <c r="K25" i="16"/>
  <c r="K26" i="16"/>
  <c r="G16" i="16"/>
  <c r="G18" i="16"/>
  <c r="G25" i="16"/>
  <c r="G26" i="16"/>
  <c r="B11" i="30"/>
  <c r="F74" i="30"/>
  <c r="I6" i="33"/>
  <c r="R82" i="28"/>
  <c r="K9" i="27"/>
  <c r="J13" i="27"/>
  <c r="D153" i="20"/>
  <c r="E44" i="20"/>
  <c r="R26" i="26"/>
  <c r="Q33" i="26"/>
  <c r="Q40" i="26"/>
  <c r="R27" i="26"/>
  <c r="Q34" i="26"/>
  <c r="Q41" i="26"/>
  <c r="Q29" i="26"/>
  <c r="P36" i="26"/>
  <c r="P43" i="26"/>
  <c r="Q28" i="26"/>
  <c r="P35" i="26"/>
  <c r="P42" i="26"/>
  <c r="G15" i="25"/>
  <c r="G14" i="25"/>
  <c r="G72" i="30"/>
  <c r="I7" i="34"/>
  <c r="G7" i="25"/>
  <c r="J4" i="24"/>
  <c r="J3" i="24"/>
  <c r="J18" i="23"/>
  <c r="I73" i="30"/>
  <c r="I9" i="31"/>
  <c r="I47" i="30"/>
  <c r="G9" i="32"/>
  <c r="K22" i="28"/>
  <c r="K17" i="28"/>
  <c r="I46" i="28"/>
  <c r="H50" i="28"/>
  <c r="H46" i="30"/>
  <c r="G8" i="33"/>
  <c r="C2" i="31"/>
  <c r="B9" i="30"/>
  <c r="C2" i="32"/>
  <c r="R82" i="8"/>
  <c r="Q76" i="8"/>
  <c r="Q75" i="8"/>
  <c r="Q74" i="8"/>
  <c r="W6" i="8"/>
  <c r="V12" i="8"/>
  <c r="B28" i="30"/>
  <c r="E2" i="34"/>
  <c r="P49" i="11"/>
  <c r="AH49" i="11"/>
  <c r="P106" i="18"/>
  <c r="B106" i="18"/>
  <c r="AI106" i="18"/>
  <c r="AD106" i="18"/>
  <c r="I106" i="18"/>
  <c r="R106" i="18"/>
  <c r="S106" i="18"/>
  <c r="U106" i="18"/>
  <c r="AF106" i="18"/>
  <c r="C106" i="18"/>
  <c r="Y46" i="11"/>
  <c r="AF49" i="11"/>
  <c r="M96" i="18"/>
  <c r="I46" i="11"/>
  <c r="AF46" i="11"/>
  <c r="H46" i="11"/>
  <c r="AB106" i="18"/>
  <c r="O106" i="18"/>
  <c r="AC106" i="18"/>
  <c r="F106" i="18"/>
  <c r="Q106" i="18"/>
  <c r="Z106" i="18"/>
  <c r="L106" i="18"/>
  <c r="AE106" i="18"/>
  <c r="E106" i="18"/>
  <c r="AK106" i="18"/>
  <c r="N106" i="18"/>
  <c r="Y106" i="18"/>
  <c r="AH106" i="18"/>
  <c r="X106" i="18"/>
  <c r="H106" i="18"/>
  <c r="AA106" i="18"/>
  <c r="K106" i="18"/>
  <c r="AI96" i="18"/>
  <c r="AC49" i="11"/>
  <c r="AI49" i="11"/>
  <c r="J49" i="11"/>
  <c r="M106" i="18"/>
  <c r="V106" i="18"/>
  <c r="AG106" i="18"/>
  <c r="J106" i="18"/>
  <c r="AJ106" i="18"/>
  <c r="T106" i="18"/>
  <c r="D106" i="18"/>
  <c r="W106" i="18"/>
  <c r="N49" i="11"/>
  <c r="M49" i="11"/>
  <c r="S49" i="11"/>
  <c r="AJ46" i="11"/>
  <c r="H29" i="18"/>
  <c r="I29" i="18"/>
  <c r="AA96" i="18"/>
  <c r="N96" i="18"/>
  <c r="F96" i="18"/>
  <c r="AF96" i="18"/>
  <c r="D81" i="18"/>
  <c r="D91" i="18"/>
  <c r="AH96" i="18"/>
  <c r="U96" i="18"/>
  <c r="P96" i="18"/>
  <c r="G96" i="18"/>
  <c r="AK96" i="18"/>
  <c r="AD96" i="18"/>
  <c r="AB96" i="18"/>
  <c r="D86" i="18"/>
  <c r="D101" i="18"/>
  <c r="W96" i="18"/>
  <c r="B96" i="18"/>
  <c r="Q96" i="18"/>
  <c r="AE96" i="18"/>
  <c r="J96" i="18"/>
  <c r="Y96" i="18"/>
  <c r="C96" i="18"/>
  <c r="X96" i="18"/>
  <c r="H96" i="18"/>
  <c r="AI46" i="11"/>
  <c r="V46" i="11"/>
  <c r="G33" i="11"/>
  <c r="E48" i="11"/>
  <c r="AC96" i="18"/>
  <c r="V96" i="18"/>
  <c r="O96" i="18"/>
  <c r="I96" i="18"/>
  <c r="L96" i="18"/>
  <c r="R96" i="18"/>
  <c r="AG96" i="18"/>
  <c r="K96" i="18"/>
  <c r="Z96" i="18"/>
  <c r="E96" i="18"/>
  <c r="S96" i="18"/>
  <c r="AJ96" i="18"/>
  <c r="T96" i="18"/>
  <c r="S46" i="11"/>
  <c r="F46" i="11"/>
  <c r="AD49" i="11"/>
  <c r="C49" i="11"/>
  <c r="Y49" i="11"/>
  <c r="I49" i="11"/>
  <c r="AB49" i="11"/>
  <c r="L49" i="11"/>
  <c r="AE49" i="11"/>
  <c r="O49" i="11"/>
  <c r="V49" i="11"/>
  <c r="Z49" i="11"/>
  <c r="AK49" i="11"/>
  <c r="U49" i="11"/>
  <c r="E49" i="11"/>
  <c r="X49" i="11"/>
  <c r="H49" i="11"/>
  <c r="AA49" i="11"/>
  <c r="K49" i="11"/>
  <c r="R49" i="11"/>
  <c r="AG49" i="11"/>
  <c r="Q49" i="11"/>
  <c r="AJ49" i="11"/>
  <c r="T49" i="11"/>
  <c r="D49" i="11"/>
  <c r="W49" i="11"/>
  <c r="G49" i="11"/>
  <c r="C46" i="11"/>
  <c r="X46" i="11"/>
  <c r="AE46" i="11"/>
  <c r="O46" i="11"/>
  <c r="AB46" i="11"/>
  <c r="AH46" i="11"/>
  <c r="R46" i="11"/>
  <c r="AK46" i="11"/>
  <c r="U46" i="11"/>
  <c r="E46" i="11"/>
  <c r="G34" i="11"/>
  <c r="I50" i="11"/>
  <c r="P46" i="11"/>
  <c r="AA46" i="11"/>
  <c r="K46" i="11"/>
  <c r="T46" i="11"/>
  <c r="AD46" i="11"/>
  <c r="N46" i="11"/>
  <c r="AG46" i="11"/>
  <c r="Q46" i="11"/>
  <c r="D46" i="11"/>
  <c r="W46" i="11"/>
  <c r="G46" i="11"/>
  <c r="L46" i="11"/>
  <c r="Z46" i="11"/>
  <c r="J46" i="11"/>
  <c r="AC46" i="11"/>
  <c r="C102" i="18"/>
  <c r="G102" i="18"/>
  <c r="K102" i="18"/>
  <c r="O102" i="18"/>
  <c r="S102" i="18"/>
  <c r="W102" i="18"/>
  <c r="AA102" i="18"/>
  <c r="AE102" i="18"/>
  <c r="AI102" i="18"/>
  <c r="D102" i="18"/>
  <c r="H102" i="18"/>
  <c r="L102" i="18"/>
  <c r="P102" i="18"/>
  <c r="T102" i="18"/>
  <c r="X102" i="18"/>
  <c r="AB102" i="18"/>
  <c r="AF102" i="18"/>
  <c r="AJ102" i="18"/>
  <c r="I102" i="18"/>
  <c r="Q102" i="18"/>
  <c r="Y102" i="18"/>
  <c r="AG102" i="18"/>
  <c r="J102" i="18"/>
  <c r="R102" i="18"/>
  <c r="Z102" i="18"/>
  <c r="AH102" i="18"/>
  <c r="B102" i="18"/>
  <c r="E102" i="18"/>
  <c r="M102" i="18"/>
  <c r="U102" i="18"/>
  <c r="AC102" i="18"/>
  <c r="AK102" i="18"/>
  <c r="F102" i="18"/>
  <c r="N102" i="18"/>
  <c r="V102" i="18"/>
  <c r="AD102" i="18"/>
  <c r="E104" i="18"/>
  <c r="I104" i="18"/>
  <c r="M104" i="18"/>
  <c r="Q104" i="18"/>
  <c r="U104" i="18"/>
  <c r="Y104" i="18"/>
  <c r="AC104" i="18"/>
  <c r="AG104" i="18"/>
  <c r="AK104" i="18"/>
  <c r="B104" i="18"/>
  <c r="F104" i="18"/>
  <c r="J104" i="18"/>
  <c r="N104" i="18"/>
  <c r="R104" i="18"/>
  <c r="V104" i="18"/>
  <c r="Z104" i="18"/>
  <c r="AD104" i="18"/>
  <c r="AH104" i="18"/>
  <c r="C104" i="18"/>
  <c r="K104" i="18"/>
  <c r="S104" i="18"/>
  <c r="AA104" i="18"/>
  <c r="AI104" i="18"/>
  <c r="D104" i="18"/>
  <c r="L104" i="18"/>
  <c r="T104" i="18"/>
  <c r="AB104" i="18"/>
  <c r="AJ104" i="18"/>
  <c r="G104" i="18"/>
  <c r="O104" i="18"/>
  <c r="W104" i="18"/>
  <c r="AE104" i="18"/>
  <c r="H104" i="18"/>
  <c r="P104" i="18"/>
  <c r="X104" i="18"/>
  <c r="AF104" i="18"/>
  <c r="X3" i="19"/>
  <c r="C95" i="18"/>
  <c r="G95" i="18"/>
  <c r="K95" i="18"/>
  <c r="O95" i="18"/>
  <c r="S95" i="18"/>
  <c r="W95" i="18"/>
  <c r="AA95" i="18"/>
  <c r="AE95" i="18"/>
  <c r="AI95" i="18"/>
  <c r="F95" i="18"/>
  <c r="L95" i="18"/>
  <c r="Q95" i="18"/>
  <c r="V95" i="18"/>
  <c r="AB95" i="18"/>
  <c r="AG95" i="18"/>
  <c r="H95" i="18"/>
  <c r="M95" i="18"/>
  <c r="R95" i="18"/>
  <c r="X95" i="18"/>
  <c r="AC95" i="18"/>
  <c r="AH95" i="18"/>
  <c r="D95" i="18"/>
  <c r="I95" i="18"/>
  <c r="N95" i="18"/>
  <c r="T95" i="18"/>
  <c r="Y95" i="18"/>
  <c r="AD95" i="18"/>
  <c r="AJ95" i="18"/>
  <c r="E95" i="18"/>
  <c r="J95" i="18"/>
  <c r="P95" i="18"/>
  <c r="U95" i="18"/>
  <c r="Z95" i="18"/>
  <c r="AF95" i="18"/>
  <c r="AK95" i="18"/>
  <c r="B95" i="18"/>
  <c r="F105" i="18"/>
  <c r="J105" i="18"/>
  <c r="N105" i="18"/>
  <c r="R105" i="18"/>
  <c r="V105" i="18"/>
  <c r="Z105" i="18"/>
  <c r="AD105" i="18"/>
  <c r="AH105" i="18"/>
  <c r="C105" i="18"/>
  <c r="G105" i="18"/>
  <c r="K105" i="18"/>
  <c r="O105" i="18"/>
  <c r="S105" i="18"/>
  <c r="W105" i="18"/>
  <c r="AA105" i="18"/>
  <c r="AE105" i="18"/>
  <c r="AI105" i="18"/>
  <c r="H105" i="18"/>
  <c r="P105" i="18"/>
  <c r="X105" i="18"/>
  <c r="AF105" i="18"/>
  <c r="I105" i="18"/>
  <c r="Q105" i="18"/>
  <c r="Y105" i="18"/>
  <c r="AG105" i="18"/>
  <c r="B105" i="18"/>
  <c r="D105" i="18"/>
  <c r="L105" i="18"/>
  <c r="T105" i="18"/>
  <c r="AB105" i="18"/>
  <c r="AJ105" i="18"/>
  <c r="E105" i="18"/>
  <c r="M105" i="18"/>
  <c r="U105" i="18"/>
  <c r="AC105" i="18"/>
  <c r="AK105" i="18"/>
  <c r="F94" i="18"/>
  <c r="J94" i="18"/>
  <c r="N94" i="18"/>
  <c r="R94" i="18"/>
  <c r="V94" i="18"/>
  <c r="Z94" i="18"/>
  <c r="AD94" i="18"/>
  <c r="AH94" i="18"/>
  <c r="B94" i="18"/>
  <c r="D94" i="18"/>
  <c r="I94" i="18"/>
  <c r="O94" i="18"/>
  <c r="T94" i="18"/>
  <c r="Y94" i="18"/>
  <c r="AE94" i="18"/>
  <c r="AJ94" i="18"/>
  <c r="E94" i="18"/>
  <c r="K94" i="18"/>
  <c r="P94" i="18"/>
  <c r="U94" i="18"/>
  <c r="AA94" i="18"/>
  <c r="AF94" i="18"/>
  <c r="AK94" i="18"/>
  <c r="G94" i="18"/>
  <c r="L94" i="18"/>
  <c r="Q94" i="18"/>
  <c r="W94" i="18"/>
  <c r="AB94" i="18"/>
  <c r="AG94" i="18"/>
  <c r="C94" i="18"/>
  <c r="H94" i="18"/>
  <c r="M94" i="18"/>
  <c r="S94" i="18"/>
  <c r="X94" i="18"/>
  <c r="AC94" i="18"/>
  <c r="AI94" i="18"/>
  <c r="C92" i="18"/>
  <c r="G92" i="18"/>
  <c r="K92" i="18"/>
  <c r="O92" i="18"/>
  <c r="S92" i="18"/>
  <c r="W92" i="18"/>
  <c r="AA92" i="18"/>
  <c r="AE92" i="18"/>
  <c r="AI92" i="18"/>
  <c r="D92" i="18"/>
  <c r="H92" i="18"/>
  <c r="L92" i="18"/>
  <c r="P92" i="18"/>
  <c r="T92" i="18"/>
  <c r="X92" i="18"/>
  <c r="AB92" i="18"/>
  <c r="AF92" i="18"/>
  <c r="AJ92" i="18"/>
  <c r="E92" i="18"/>
  <c r="M92" i="18"/>
  <c r="U92" i="18"/>
  <c r="AC92" i="18"/>
  <c r="AK92" i="18"/>
  <c r="F92" i="18"/>
  <c r="N92" i="18"/>
  <c r="V92" i="18"/>
  <c r="AD92" i="18"/>
  <c r="B92" i="18"/>
  <c r="I92" i="18"/>
  <c r="Q92" i="18"/>
  <c r="Y92" i="18"/>
  <c r="AG92" i="18"/>
  <c r="J92" i="18"/>
  <c r="R92" i="18"/>
  <c r="Z92" i="18"/>
  <c r="AH92" i="18"/>
  <c r="K20" i="18"/>
  <c r="J29" i="18"/>
  <c r="G74" i="30"/>
  <c r="I7" i="33"/>
  <c r="S82" i="28"/>
  <c r="L9" i="27"/>
  <c r="K13" i="27"/>
  <c r="F44" i="20"/>
  <c r="D157" i="20"/>
  <c r="D59" i="30"/>
  <c r="H4" i="33"/>
  <c r="E153" i="20"/>
  <c r="Q45" i="26"/>
  <c r="R28" i="26"/>
  <c r="Q35" i="26"/>
  <c r="Q42" i="26"/>
  <c r="S27" i="26"/>
  <c r="R34" i="26"/>
  <c r="R41" i="26"/>
  <c r="R29" i="26"/>
  <c r="Q36" i="26"/>
  <c r="Q43" i="26"/>
  <c r="S26" i="26"/>
  <c r="R33" i="26"/>
  <c r="R40" i="26"/>
  <c r="R45" i="26"/>
  <c r="H15" i="25"/>
  <c r="H14" i="25"/>
  <c r="H72" i="30"/>
  <c r="I8" i="34"/>
  <c r="H7" i="25"/>
  <c r="K3" i="24"/>
  <c r="K4" i="24"/>
  <c r="K18" i="23"/>
  <c r="J73" i="30"/>
  <c r="I10" i="31"/>
  <c r="J47" i="30"/>
  <c r="G10" i="32"/>
  <c r="L17" i="28"/>
  <c r="J46" i="28"/>
  <c r="I50" i="28"/>
  <c r="I46" i="30"/>
  <c r="G9" i="33"/>
  <c r="L22" i="28"/>
  <c r="S82" i="8"/>
  <c r="R76" i="8"/>
  <c r="R75" i="8"/>
  <c r="R74" i="8"/>
  <c r="X6" i="8"/>
  <c r="W12" i="8"/>
  <c r="E50" i="11"/>
  <c r="E54" i="11"/>
  <c r="E10" i="30"/>
  <c r="X48" i="11"/>
  <c r="X53" i="11"/>
  <c r="X9" i="30"/>
  <c r="C24" i="32"/>
  <c r="Q48" i="11"/>
  <c r="Q53" i="11"/>
  <c r="Q9" i="30"/>
  <c r="C17" i="32"/>
  <c r="E86" i="18"/>
  <c r="F86" i="18"/>
  <c r="T48" i="11"/>
  <c r="T53" i="11"/>
  <c r="T9" i="30"/>
  <c r="C20" i="32"/>
  <c r="AD48" i="11"/>
  <c r="AD53" i="11"/>
  <c r="AD9" i="30"/>
  <c r="C30" i="32"/>
  <c r="AE48" i="11"/>
  <c r="AE53" i="11"/>
  <c r="AE9" i="30"/>
  <c r="C31" i="32"/>
  <c r="N48" i="11"/>
  <c r="N53" i="11"/>
  <c r="N9" i="30"/>
  <c r="C14" i="32"/>
  <c r="AH50" i="11"/>
  <c r="AH54" i="11"/>
  <c r="E81" i="18"/>
  <c r="F81" i="18"/>
  <c r="O48" i="11"/>
  <c r="O53" i="11"/>
  <c r="O9" i="30"/>
  <c r="C15" i="32"/>
  <c r="AG48" i="11"/>
  <c r="AG53" i="11"/>
  <c r="AG9" i="30"/>
  <c r="C33" i="32"/>
  <c r="C48" i="11"/>
  <c r="C53" i="11"/>
  <c r="L48" i="11"/>
  <c r="L53" i="11"/>
  <c r="L9" i="30"/>
  <c r="C12" i="32"/>
  <c r="AA48" i="11"/>
  <c r="AA53" i="11"/>
  <c r="AA9" i="30"/>
  <c r="C27" i="32"/>
  <c r="K48" i="11"/>
  <c r="K53" i="11"/>
  <c r="K9" i="30"/>
  <c r="C11" i="32"/>
  <c r="P48" i="11"/>
  <c r="P53" i="11"/>
  <c r="P9" i="30"/>
  <c r="C16" i="32"/>
  <c r="Z48" i="11"/>
  <c r="Z53" i="11"/>
  <c r="Z9" i="30"/>
  <c r="C26" i="32"/>
  <c r="J48" i="11"/>
  <c r="J53" i="11"/>
  <c r="AC48" i="11"/>
  <c r="AC53" i="11"/>
  <c r="AC9" i="30"/>
  <c r="C29" i="32"/>
  <c r="M48" i="11"/>
  <c r="M53" i="11"/>
  <c r="M9" i="30"/>
  <c r="C13" i="32"/>
  <c r="T50" i="11"/>
  <c r="T54" i="11"/>
  <c r="AJ48" i="11"/>
  <c r="AJ53" i="11"/>
  <c r="AJ9" i="30"/>
  <c r="C36" i="32"/>
  <c r="D48" i="11"/>
  <c r="D53" i="11"/>
  <c r="W48" i="11"/>
  <c r="W53" i="11"/>
  <c r="W9" i="30"/>
  <c r="C23" i="32"/>
  <c r="G48" i="11"/>
  <c r="G53" i="11"/>
  <c r="H48" i="11"/>
  <c r="H53" i="11"/>
  <c r="V48" i="11"/>
  <c r="V53" i="11"/>
  <c r="V9" i="30"/>
  <c r="C22" i="32"/>
  <c r="F48" i="11"/>
  <c r="F53" i="11"/>
  <c r="Y48" i="11"/>
  <c r="Y53" i="11"/>
  <c r="Y9" i="30"/>
  <c r="C25" i="32"/>
  <c r="I48" i="11"/>
  <c r="I53" i="11"/>
  <c r="AB48" i="11"/>
  <c r="AB53" i="11"/>
  <c r="AB9" i="30"/>
  <c r="C28" i="32"/>
  <c r="AI48" i="11"/>
  <c r="AI53" i="11"/>
  <c r="AI9" i="30"/>
  <c r="C35" i="32"/>
  <c r="S48" i="11"/>
  <c r="S53" i="11"/>
  <c r="S9" i="30"/>
  <c r="C19" i="32"/>
  <c r="AF48" i="11"/>
  <c r="AF53" i="11"/>
  <c r="AF9" i="30"/>
  <c r="C32" i="32"/>
  <c r="AH48" i="11"/>
  <c r="AH53" i="11"/>
  <c r="AH9" i="30"/>
  <c r="C34" i="32"/>
  <c r="R48" i="11"/>
  <c r="R53" i="11"/>
  <c r="R9" i="30"/>
  <c r="C18" i="32"/>
  <c r="AK48" i="11"/>
  <c r="AK53" i="11"/>
  <c r="AK9" i="30"/>
  <c r="C37" i="32"/>
  <c r="U48" i="11"/>
  <c r="U53" i="11"/>
  <c r="U9" i="30"/>
  <c r="C21" i="32"/>
  <c r="E53" i="11"/>
  <c r="I54" i="11"/>
  <c r="I10" i="30"/>
  <c r="P50" i="11"/>
  <c r="P54" i="11"/>
  <c r="R50" i="11"/>
  <c r="R54" i="11"/>
  <c r="AE50" i="11"/>
  <c r="AE54" i="11"/>
  <c r="AK50" i="11"/>
  <c r="AK54" i="11"/>
  <c r="O50" i="11"/>
  <c r="O54" i="11"/>
  <c r="U50" i="11"/>
  <c r="U54" i="11"/>
  <c r="D50" i="11"/>
  <c r="D54" i="11"/>
  <c r="D10" i="30"/>
  <c r="AB50" i="11"/>
  <c r="AB54" i="11"/>
  <c r="AA50" i="11"/>
  <c r="AA54" i="11"/>
  <c r="K50" i="11"/>
  <c r="K54" i="11"/>
  <c r="AD50" i="11"/>
  <c r="AD54" i="11"/>
  <c r="N50" i="11"/>
  <c r="N54" i="11"/>
  <c r="AG50" i="11"/>
  <c r="AG54" i="11"/>
  <c r="Q50" i="11"/>
  <c r="Q54" i="11"/>
  <c r="X50" i="11"/>
  <c r="X54" i="11"/>
  <c r="H50" i="11"/>
  <c r="H54" i="11"/>
  <c r="H10" i="30"/>
  <c r="L50" i="11"/>
  <c r="L54" i="11"/>
  <c r="W50" i="11"/>
  <c r="W54" i="11"/>
  <c r="G50" i="11"/>
  <c r="G54" i="11"/>
  <c r="G10" i="30"/>
  <c r="Z50" i="11"/>
  <c r="Z54" i="11"/>
  <c r="J50" i="11"/>
  <c r="J54" i="11"/>
  <c r="J10" i="30"/>
  <c r="AC50" i="11"/>
  <c r="AC54" i="11"/>
  <c r="M50" i="11"/>
  <c r="M54" i="11"/>
  <c r="AJ50" i="11"/>
  <c r="AJ54" i="11"/>
  <c r="AF50" i="11"/>
  <c r="AF54" i="11"/>
  <c r="AI50" i="11"/>
  <c r="AI54" i="11"/>
  <c r="S50" i="11"/>
  <c r="S54" i="11"/>
  <c r="C50" i="11"/>
  <c r="C54" i="11"/>
  <c r="C10" i="30"/>
  <c r="V50" i="11"/>
  <c r="V54" i="11"/>
  <c r="F50" i="11"/>
  <c r="F54" i="11"/>
  <c r="F10" i="30"/>
  <c r="Y50" i="11"/>
  <c r="Y54" i="11"/>
  <c r="Y3" i="19"/>
  <c r="L20" i="18"/>
  <c r="K29" i="18"/>
  <c r="I19" i="18"/>
  <c r="H30" i="18"/>
  <c r="C33" i="6"/>
  <c r="D33" i="6"/>
  <c r="E33" i="6"/>
  <c r="F33" i="6"/>
  <c r="B33" i="6"/>
  <c r="C28" i="6"/>
  <c r="D28" i="6"/>
  <c r="E28" i="6"/>
  <c r="F28"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B39" i="6"/>
  <c r="B38" i="6"/>
  <c r="B29" i="6"/>
  <c r="C29" i="6"/>
  <c r="D29" i="6"/>
  <c r="E29" i="6"/>
  <c r="F29" i="6"/>
  <c r="B6" i="1"/>
  <c r="C28" i="30"/>
  <c r="E3" i="34"/>
  <c r="AI10" i="30"/>
  <c r="C35" i="31"/>
  <c r="V10" i="30"/>
  <c r="C22" i="31"/>
  <c r="AF10" i="30"/>
  <c r="C32" i="31"/>
  <c r="L10" i="30"/>
  <c r="C12" i="31"/>
  <c r="AG10" i="30"/>
  <c r="C33" i="31"/>
  <c r="AA10" i="30"/>
  <c r="C27" i="31"/>
  <c r="T10" i="30"/>
  <c r="C20" i="31"/>
  <c r="AC10" i="30"/>
  <c r="C29" i="31"/>
  <c r="W10" i="30"/>
  <c r="C23" i="31"/>
  <c r="Q10" i="30"/>
  <c r="C17" i="31"/>
  <c r="K10" i="30"/>
  <c r="C11" i="31"/>
  <c r="AJ10" i="30"/>
  <c r="C36" i="31"/>
  <c r="AB10" i="30"/>
  <c r="C28" i="31"/>
  <c r="U10" i="30"/>
  <c r="C21" i="31"/>
  <c r="AK10" i="30"/>
  <c r="C37" i="31"/>
  <c r="R10" i="30"/>
  <c r="C18" i="31"/>
  <c r="AH10" i="30"/>
  <c r="C34" i="31"/>
  <c r="Z10" i="30"/>
  <c r="C26" i="31"/>
  <c r="N10" i="30"/>
  <c r="C14" i="31"/>
  <c r="Y10" i="30"/>
  <c r="C25" i="31"/>
  <c r="S10" i="30"/>
  <c r="C19" i="31"/>
  <c r="M10" i="30"/>
  <c r="C13" i="31"/>
  <c r="X10" i="30"/>
  <c r="C24" i="31"/>
  <c r="AD10" i="30"/>
  <c r="C30" i="31"/>
  <c r="O10" i="30"/>
  <c r="C15" i="31"/>
  <c r="AE10" i="30"/>
  <c r="C31" i="31"/>
  <c r="P10" i="30"/>
  <c r="C16" i="31"/>
  <c r="H74" i="30"/>
  <c r="I8" i="33"/>
  <c r="T82" i="28"/>
  <c r="M9" i="27"/>
  <c r="L13" i="27"/>
  <c r="D159" i="20"/>
  <c r="E157" i="20"/>
  <c r="E59" i="30"/>
  <c r="H5" i="33"/>
  <c r="F153" i="20"/>
  <c r="G44" i="20"/>
  <c r="T26" i="26"/>
  <c r="S33" i="26"/>
  <c r="S40" i="26"/>
  <c r="T27" i="26"/>
  <c r="S34" i="26"/>
  <c r="S41" i="26"/>
  <c r="S29" i="26"/>
  <c r="R36" i="26"/>
  <c r="R43" i="26"/>
  <c r="S28" i="26"/>
  <c r="R35" i="26"/>
  <c r="R42" i="26"/>
  <c r="I14" i="25"/>
  <c r="I15" i="25"/>
  <c r="I7" i="25"/>
  <c r="I72" i="30"/>
  <c r="I9" i="34"/>
  <c r="L4" i="24"/>
  <c r="L3" i="24"/>
  <c r="L18" i="23"/>
  <c r="K73" i="30"/>
  <c r="I11" i="31"/>
  <c r="K47" i="30"/>
  <c r="G11" i="32"/>
  <c r="K46" i="28"/>
  <c r="J50" i="28"/>
  <c r="J46" i="30"/>
  <c r="G10" i="33"/>
  <c r="M17" i="28"/>
  <c r="M22" i="28"/>
  <c r="C8" i="31"/>
  <c r="C9" i="30"/>
  <c r="C3" i="32"/>
  <c r="C7" i="31"/>
  <c r="C4" i="31"/>
  <c r="E9" i="30"/>
  <c r="C5" i="32"/>
  <c r="D9" i="30"/>
  <c r="C4" i="32"/>
  <c r="C6" i="31"/>
  <c r="I9" i="30"/>
  <c r="C9" i="32"/>
  <c r="H9" i="30"/>
  <c r="C8" i="32"/>
  <c r="J9" i="30"/>
  <c r="C10" i="32"/>
  <c r="C3" i="31"/>
  <c r="C9" i="31"/>
  <c r="F9" i="30"/>
  <c r="C6" i="32"/>
  <c r="C10" i="31"/>
  <c r="G9" i="30"/>
  <c r="C7" i="32"/>
  <c r="C5" i="31"/>
  <c r="T82" i="8"/>
  <c r="S76" i="8"/>
  <c r="S75" i="8"/>
  <c r="S74" i="8"/>
  <c r="Y6" i="8"/>
  <c r="X12" i="8"/>
  <c r="O11" i="1"/>
  <c r="AE11" i="1"/>
  <c r="M11" i="1"/>
  <c r="N11" i="1"/>
  <c r="V11" i="1"/>
  <c r="H11" i="1"/>
  <c r="T11" i="1"/>
  <c r="AJ11" i="1"/>
  <c r="E11" i="1"/>
  <c r="AK11" i="1"/>
  <c r="Z11" i="1"/>
  <c r="AH11" i="1"/>
  <c r="Y11" i="1"/>
  <c r="I11" i="1"/>
  <c r="F11" i="1"/>
  <c r="X11" i="1"/>
  <c r="W11" i="1"/>
  <c r="L11" i="1"/>
  <c r="AB11" i="1"/>
  <c r="B11" i="1"/>
  <c r="AI11" i="1"/>
  <c r="Q11" i="1"/>
  <c r="AG11" i="1"/>
  <c r="E91" i="18"/>
  <c r="E101" i="18"/>
  <c r="G29" i="6"/>
  <c r="G11" i="1"/>
  <c r="G28" i="6"/>
  <c r="AA11" i="1"/>
  <c r="S11" i="1"/>
  <c r="AC11" i="1"/>
  <c r="U11" i="1"/>
  <c r="AF11" i="1"/>
  <c r="P11" i="1"/>
  <c r="D11" i="1"/>
  <c r="Z3" i="19"/>
  <c r="G81" i="18"/>
  <c r="F91" i="18"/>
  <c r="K11" i="1"/>
  <c r="AD11" i="1"/>
  <c r="R11" i="1"/>
  <c r="J11" i="1"/>
  <c r="B19" i="30"/>
  <c r="D2" i="31"/>
  <c r="G86" i="18"/>
  <c r="F101" i="18"/>
  <c r="G33" i="6"/>
  <c r="J19" i="18"/>
  <c r="I30" i="18"/>
  <c r="M20" i="18"/>
  <c r="L29" i="18"/>
  <c r="D28" i="30"/>
  <c r="E4" i="34"/>
  <c r="I74" i="30"/>
  <c r="I9" i="33"/>
  <c r="U82" i="28"/>
  <c r="N9" i="27"/>
  <c r="M13" i="27"/>
  <c r="F157" i="20"/>
  <c r="F59" i="30"/>
  <c r="H6" i="33"/>
  <c r="G153" i="20"/>
  <c r="E159" i="20"/>
  <c r="H44" i="20"/>
  <c r="S45" i="26"/>
  <c r="T28" i="26"/>
  <c r="S35" i="26"/>
  <c r="S42" i="26"/>
  <c r="U27" i="26"/>
  <c r="T34" i="26"/>
  <c r="T41" i="26"/>
  <c r="T29" i="26"/>
  <c r="S36" i="26"/>
  <c r="S43" i="26"/>
  <c r="U26" i="26"/>
  <c r="T33" i="26"/>
  <c r="T40" i="26"/>
  <c r="T45" i="26"/>
  <c r="J14" i="25"/>
  <c r="J72" i="30"/>
  <c r="I10" i="34"/>
  <c r="J15" i="25"/>
  <c r="J7" i="25"/>
  <c r="M3" i="24"/>
  <c r="M4" i="24"/>
  <c r="M18" i="23"/>
  <c r="L73" i="30"/>
  <c r="I12" i="31"/>
  <c r="L47" i="30"/>
  <c r="G12" i="32"/>
  <c r="N17" i="28"/>
  <c r="N22" i="28"/>
  <c r="L46" i="28"/>
  <c r="K50" i="28"/>
  <c r="K46" i="30"/>
  <c r="G11" i="33"/>
  <c r="U82" i="8"/>
  <c r="T76" i="8"/>
  <c r="T75" i="8"/>
  <c r="T74" i="8"/>
  <c r="Z6" i="8"/>
  <c r="Y12" i="8"/>
  <c r="H81" i="18"/>
  <c r="G91" i="18"/>
  <c r="H86" i="18"/>
  <c r="G101" i="18"/>
  <c r="AA3" i="19"/>
  <c r="N20" i="18"/>
  <c r="M29" i="18"/>
  <c r="K19" i="18"/>
  <c r="J30" i="18"/>
  <c r="E28" i="30"/>
  <c r="E5" i="34"/>
  <c r="J74" i="30"/>
  <c r="I10" i="33"/>
  <c r="V82" i="28"/>
  <c r="O9" i="27"/>
  <c r="N13" i="27"/>
  <c r="I44" i="20"/>
  <c r="F159" i="20"/>
  <c r="H153" i="20"/>
  <c r="G157" i="20"/>
  <c r="G59" i="30"/>
  <c r="H7" i="33"/>
  <c r="M47" i="30"/>
  <c r="G13" i="32"/>
  <c r="V26" i="26"/>
  <c r="U33" i="26"/>
  <c r="U40" i="26"/>
  <c r="V27" i="26"/>
  <c r="U34" i="26"/>
  <c r="U41" i="26"/>
  <c r="U29" i="26"/>
  <c r="T36" i="26"/>
  <c r="T43" i="26"/>
  <c r="U28" i="26"/>
  <c r="T35" i="26"/>
  <c r="T42" i="26"/>
  <c r="K15" i="25"/>
  <c r="K14" i="25"/>
  <c r="K72" i="30"/>
  <c r="I11" i="34"/>
  <c r="K7" i="25"/>
  <c r="N4" i="24"/>
  <c r="N3" i="24"/>
  <c r="N18" i="23"/>
  <c r="M73" i="30"/>
  <c r="I13" i="31"/>
  <c r="O22" i="28"/>
  <c r="M46" i="28"/>
  <c r="L50" i="28"/>
  <c r="L46" i="30"/>
  <c r="G12" i="33"/>
  <c r="O17" i="28"/>
  <c r="V82" i="8"/>
  <c r="U76" i="8"/>
  <c r="U75" i="8"/>
  <c r="U74" i="8"/>
  <c r="AA6" i="8"/>
  <c r="Z12" i="8"/>
  <c r="I86" i="18"/>
  <c r="H101" i="18"/>
  <c r="AB3" i="19"/>
  <c r="I81" i="18"/>
  <c r="H91" i="18"/>
  <c r="L19" i="18"/>
  <c r="K30" i="18"/>
  <c r="O20" i="18"/>
  <c r="N29" i="18"/>
  <c r="F28" i="30"/>
  <c r="E6" i="34"/>
  <c r="K74" i="30"/>
  <c r="I11" i="33"/>
  <c r="N47" i="30"/>
  <c r="G14" i="32"/>
  <c r="W82" i="28"/>
  <c r="P9" i="27"/>
  <c r="O13" i="27"/>
  <c r="G159" i="20"/>
  <c r="I153" i="20"/>
  <c r="H157" i="20"/>
  <c r="H59" i="30"/>
  <c r="H8" i="33"/>
  <c r="J44" i="20"/>
  <c r="U45" i="26"/>
  <c r="V28" i="26"/>
  <c r="U35" i="26"/>
  <c r="U42" i="26"/>
  <c r="W27" i="26"/>
  <c r="V34" i="26"/>
  <c r="V41" i="26"/>
  <c r="V29" i="26"/>
  <c r="U36" i="26"/>
  <c r="U43" i="26"/>
  <c r="W26" i="26"/>
  <c r="V33" i="26"/>
  <c r="V40" i="26"/>
  <c r="V45" i="26"/>
  <c r="L14" i="25"/>
  <c r="L72" i="30"/>
  <c r="I12" i="34"/>
  <c r="L15" i="25"/>
  <c r="L7" i="25"/>
  <c r="O3" i="24"/>
  <c r="O4" i="24"/>
  <c r="O18" i="23"/>
  <c r="N73" i="30"/>
  <c r="I14" i="31"/>
  <c r="N46" i="28"/>
  <c r="M50" i="28"/>
  <c r="M46" i="30"/>
  <c r="G13" i="33"/>
  <c r="P17" i="28"/>
  <c r="P22" i="28"/>
  <c r="W82" i="8"/>
  <c r="V76" i="8"/>
  <c r="V75" i="8"/>
  <c r="V74" i="8"/>
  <c r="AB6" i="8"/>
  <c r="AA12" i="8"/>
  <c r="AC3" i="19"/>
  <c r="J81" i="18"/>
  <c r="I91" i="18"/>
  <c r="J86" i="18"/>
  <c r="I101" i="18"/>
  <c r="P20" i="18"/>
  <c r="O29" i="18"/>
  <c r="M19" i="18"/>
  <c r="L30" i="18"/>
  <c r="G28" i="30"/>
  <c r="E7" i="34"/>
  <c r="L74" i="30"/>
  <c r="I12" i="33"/>
  <c r="X82" i="28"/>
  <c r="Q9" i="27"/>
  <c r="P13" i="27"/>
  <c r="J153" i="20"/>
  <c r="K44" i="20"/>
  <c r="H159" i="20"/>
  <c r="I157" i="20"/>
  <c r="I59" i="30"/>
  <c r="H9" i="33"/>
  <c r="O47" i="30"/>
  <c r="G15" i="32"/>
  <c r="X26" i="26"/>
  <c r="W33" i="26"/>
  <c r="W40" i="26"/>
  <c r="X27" i="26"/>
  <c r="W34" i="26"/>
  <c r="W41" i="26"/>
  <c r="W29" i="26"/>
  <c r="V36" i="26"/>
  <c r="V43" i="26"/>
  <c r="W28" i="26"/>
  <c r="V35" i="26"/>
  <c r="V42" i="26"/>
  <c r="M14" i="25"/>
  <c r="M15" i="25"/>
  <c r="M7" i="25"/>
  <c r="M72" i="30"/>
  <c r="I13" i="34"/>
  <c r="P4" i="24"/>
  <c r="P3" i="24"/>
  <c r="P18" i="23"/>
  <c r="O73" i="30"/>
  <c r="I15" i="31"/>
  <c r="Q17" i="28"/>
  <c r="Q22" i="28"/>
  <c r="O46" i="28"/>
  <c r="N50" i="28"/>
  <c r="N46" i="30"/>
  <c r="G14" i="33"/>
  <c r="X82" i="8"/>
  <c r="W76" i="8"/>
  <c r="W75" i="8"/>
  <c r="W74" i="8"/>
  <c r="AC6" i="8"/>
  <c r="AB12" i="8"/>
  <c r="K81" i="18"/>
  <c r="J91" i="18"/>
  <c r="K86" i="18"/>
  <c r="J101" i="18"/>
  <c r="AD3" i="19"/>
  <c r="N19" i="18"/>
  <c r="M30" i="18"/>
  <c r="Q20" i="18"/>
  <c r="P29" i="18"/>
  <c r="H28" i="30"/>
  <c r="E8" i="34"/>
  <c r="M74" i="30"/>
  <c r="I13" i="33"/>
  <c r="Y82" i="28"/>
  <c r="R9" i="27"/>
  <c r="Q13" i="27"/>
  <c r="K153" i="20"/>
  <c r="I159" i="20"/>
  <c r="L44" i="20"/>
  <c r="J157" i="20"/>
  <c r="J59" i="30"/>
  <c r="H10" i="33"/>
  <c r="W45" i="26"/>
  <c r="X28" i="26"/>
  <c r="W35" i="26"/>
  <c r="W42" i="26"/>
  <c r="Y27" i="26"/>
  <c r="X34" i="26"/>
  <c r="X41" i="26"/>
  <c r="X29" i="26"/>
  <c r="W36" i="26"/>
  <c r="W43" i="26"/>
  <c r="Y26" i="26"/>
  <c r="X33" i="26"/>
  <c r="X40" i="26"/>
  <c r="X45" i="26"/>
  <c r="N15" i="25"/>
  <c r="N14" i="25"/>
  <c r="N72" i="30"/>
  <c r="I14" i="34"/>
  <c r="N7" i="25"/>
  <c r="Q3" i="24"/>
  <c r="Q4" i="24"/>
  <c r="Q18" i="23"/>
  <c r="P73" i="30"/>
  <c r="I16" i="31"/>
  <c r="P47" i="30"/>
  <c r="G16" i="32"/>
  <c r="R22" i="28"/>
  <c r="P46" i="28"/>
  <c r="O50" i="28"/>
  <c r="O46" i="30"/>
  <c r="G15" i="33"/>
  <c r="R17" i="28"/>
  <c r="Y82" i="8"/>
  <c r="X76" i="8"/>
  <c r="X75" i="8"/>
  <c r="X74" i="8"/>
  <c r="AD6" i="8"/>
  <c r="AC12" i="8"/>
  <c r="L86" i="18"/>
  <c r="K101" i="18"/>
  <c r="AE3" i="19"/>
  <c r="L81" i="18"/>
  <c r="K91" i="18"/>
  <c r="O19" i="18"/>
  <c r="N30" i="18"/>
  <c r="R20" i="18"/>
  <c r="Q29" i="18"/>
  <c r="I28" i="30"/>
  <c r="E9" i="34"/>
  <c r="N74" i="30"/>
  <c r="I14" i="33"/>
  <c r="Q47" i="30"/>
  <c r="G17" i="32"/>
  <c r="Z82" i="28"/>
  <c r="S9" i="27"/>
  <c r="R13" i="27"/>
  <c r="J159" i="20"/>
  <c r="K157" i="20"/>
  <c r="K59" i="30"/>
  <c r="H11" i="33"/>
  <c r="M44" i="20"/>
  <c r="L153" i="20"/>
  <c r="Z26" i="26"/>
  <c r="Y33" i="26"/>
  <c r="Y40" i="26"/>
  <c r="Z27" i="26"/>
  <c r="Y34" i="26"/>
  <c r="Y41" i="26"/>
  <c r="Y29" i="26"/>
  <c r="X36" i="26"/>
  <c r="X43" i="26"/>
  <c r="Y28" i="26"/>
  <c r="X35" i="26"/>
  <c r="X42" i="26"/>
  <c r="O15" i="25"/>
  <c r="O14" i="25"/>
  <c r="O72" i="30"/>
  <c r="I15" i="34"/>
  <c r="O7" i="25"/>
  <c r="R4" i="24"/>
  <c r="R3" i="24"/>
  <c r="R18" i="23"/>
  <c r="Q73" i="30"/>
  <c r="I17" i="31"/>
  <c r="Q46" i="28"/>
  <c r="P50" i="28"/>
  <c r="P46" i="30"/>
  <c r="G16" i="33"/>
  <c r="S17" i="28"/>
  <c r="S22" i="28"/>
  <c r="Z82" i="8"/>
  <c r="Y76" i="8"/>
  <c r="Y75" i="8"/>
  <c r="Y74" i="8"/>
  <c r="AE6" i="8"/>
  <c r="AD12" i="8"/>
  <c r="AF3" i="19"/>
  <c r="M81" i="18"/>
  <c r="L91" i="18"/>
  <c r="M86" i="18"/>
  <c r="L101" i="18"/>
  <c r="S20" i="18"/>
  <c r="R29" i="18"/>
  <c r="P19" i="18"/>
  <c r="O30" i="18"/>
  <c r="J28" i="30"/>
  <c r="E10" i="34"/>
  <c r="O74" i="30"/>
  <c r="I15" i="33"/>
  <c r="R47" i="30"/>
  <c r="G18" i="32"/>
  <c r="AA82" i="28"/>
  <c r="T9" i="27"/>
  <c r="S13" i="27"/>
  <c r="K159" i="20"/>
  <c r="N44" i="20"/>
  <c r="L157" i="20"/>
  <c r="L59" i="30"/>
  <c r="H12" i="33"/>
  <c r="M153" i="20"/>
  <c r="Y45" i="26"/>
  <c r="Z28" i="26"/>
  <c r="Y35" i="26"/>
  <c r="Y42" i="26"/>
  <c r="AA27" i="26"/>
  <c r="Z34" i="26"/>
  <c r="Z41" i="26"/>
  <c r="Z29" i="26"/>
  <c r="Y36" i="26"/>
  <c r="Y43" i="26"/>
  <c r="AA26" i="26"/>
  <c r="Z33" i="26"/>
  <c r="Z40" i="26"/>
  <c r="Z45" i="26"/>
  <c r="P14" i="25"/>
  <c r="P72" i="30"/>
  <c r="I16" i="34"/>
  <c r="P15" i="25"/>
  <c r="P7" i="25"/>
  <c r="S3" i="24"/>
  <c r="S4" i="24"/>
  <c r="S18" i="23"/>
  <c r="R73" i="30"/>
  <c r="I18" i="31"/>
  <c r="T17" i="28"/>
  <c r="T22" i="28"/>
  <c r="R46" i="28"/>
  <c r="Q50" i="28"/>
  <c r="Q46" i="30"/>
  <c r="G17" i="33"/>
  <c r="AA82" i="8"/>
  <c r="Z76" i="8"/>
  <c r="Z75" i="8"/>
  <c r="Z74" i="8"/>
  <c r="AF6" i="8"/>
  <c r="AE12" i="8"/>
  <c r="N81" i="18"/>
  <c r="M91" i="18"/>
  <c r="N86" i="18"/>
  <c r="M101" i="18"/>
  <c r="AG3" i="19"/>
  <c r="Q19" i="18"/>
  <c r="P30" i="18"/>
  <c r="T20" i="18"/>
  <c r="S29" i="18"/>
  <c r="K28" i="30"/>
  <c r="E11" i="34"/>
  <c r="P74" i="30"/>
  <c r="I16" i="33"/>
  <c r="L159" i="20"/>
  <c r="AB82" i="28"/>
  <c r="U9" i="27"/>
  <c r="T13" i="27"/>
  <c r="M157" i="20"/>
  <c r="M59" i="30"/>
  <c r="H13" i="33"/>
  <c r="N153" i="20"/>
  <c r="O44" i="20"/>
  <c r="AB26" i="26"/>
  <c r="AA33" i="26"/>
  <c r="AA40" i="26"/>
  <c r="AB27" i="26"/>
  <c r="AA34" i="26"/>
  <c r="AA41" i="26"/>
  <c r="AA29" i="26"/>
  <c r="Z36" i="26"/>
  <c r="Z43" i="26"/>
  <c r="AA28" i="26"/>
  <c r="Z35" i="26"/>
  <c r="Z42" i="26"/>
  <c r="Q15" i="25"/>
  <c r="Q14" i="25"/>
  <c r="Q72" i="30"/>
  <c r="I17" i="34"/>
  <c r="Q7" i="25"/>
  <c r="T4" i="24"/>
  <c r="T3" i="24"/>
  <c r="T18" i="23"/>
  <c r="S73" i="30"/>
  <c r="I19" i="31"/>
  <c r="S47" i="30"/>
  <c r="G19" i="32"/>
  <c r="U22" i="28"/>
  <c r="S46" i="28"/>
  <c r="R50" i="28"/>
  <c r="R46" i="30"/>
  <c r="G18" i="33"/>
  <c r="U17" i="28"/>
  <c r="AB82" i="8"/>
  <c r="AA76" i="8"/>
  <c r="AA75" i="8"/>
  <c r="AA74" i="8"/>
  <c r="AG6" i="8"/>
  <c r="AF12" i="8"/>
  <c r="O86" i="18"/>
  <c r="N101" i="18"/>
  <c r="AH3" i="19"/>
  <c r="O81" i="18"/>
  <c r="N91" i="18"/>
  <c r="U20" i="18"/>
  <c r="T29" i="18"/>
  <c r="R19" i="18"/>
  <c r="Q30" i="18"/>
  <c r="L28" i="30"/>
  <c r="E12" i="34"/>
  <c r="Q74" i="30"/>
  <c r="I17" i="33"/>
  <c r="T47" i="30"/>
  <c r="G20" i="32"/>
  <c r="AC82" i="28"/>
  <c r="V9" i="27"/>
  <c r="U13" i="27"/>
  <c r="O153" i="20"/>
  <c r="P44" i="20"/>
  <c r="M159" i="20"/>
  <c r="N157" i="20"/>
  <c r="N59" i="30"/>
  <c r="H14" i="33"/>
  <c r="AA45" i="26"/>
  <c r="AB28" i="26"/>
  <c r="AA35" i="26"/>
  <c r="AA42" i="26"/>
  <c r="AC27" i="26"/>
  <c r="AB34" i="26"/>
  <c r="AB41" i="26"/>
  <c r="AB29" i="26"/>
  <c r="AA36" i="26"/>
  <c r="AA43" i="26"/>
  <c r="AC26" i="26"/>
  <c r="AB33" i="26"/>
  <c r="AB40" i="26"/>
  <c r="AB45" i="26"/>
  <c r="R15" i="25"/>
  <c r="R14" i="25"/>
  <c r="R72" i="30"/>
  <c r="I18" i="34"/>
  <c r="R7" i="25"/>
  <c r="U3" i="24"/>
  <c r="U4" i="24"/>
  <c r="U18" i="23"/>
  <c r="T73" i="30"/>
  <c r="I20" i="31"/>
  <c r="T46" i="28"/>
  <c r="S50" i="28"/>
  <c r="S46" i="30"/>
  <c r="G19" i="33"/>
  <c r="V17" i="28"/>
  <c r="V22" i="28"/>
  <c r="AC82" i="8"/>
  <c r="AB76" i="8"/>
  <c r="AB75" i="8"/>
  <c r="AB74" i="8"/>
  <c r="AH6" i="8"/>
  <c r="AG12" i="8"/>
  <c r="AI3" i="19"/>
  <c r="P81" i="18"/>
  <c r="O91" i="18"/>
  <c r="P86" i="18"/>
  <c r="O101" i="18"/>
  <c r="S19" i="18"/>
  <c r="R30" i="18"/>
  <c r="V20" i="18"/>
  <c r="U29" i="18"/>
  <c r="M28" i="30"/>
  <c r="E13" i="34"/>
  <c r="R74" i="30"/>
  <c r="I18" i="33"/>
  <c r="AD82" i="28"/>
  <c r="W9" i="27"/>
  <c r="V13" i="27"/>
  <c r="N159" i="20"/>
  <c r="P153" i="20"/>
  <c r="Q44" i="20"/>
  <c r="O157" i="20"/>
  <c r="O59" i="30"/>
  <c r="H15" i="33"/>
  <c r="U47" i="30"/>
  <c r="G21" i="32"/>
  <c r="AD26" i="26"/>
  <c r="AC33" i="26"/>
  <c r="AC40" i="26"/>
  <c r="AD27" i="26"/>
  <c r="AC34" i="26"/>
  <c r="AC41" i="26"/>
  <c r="AC29" i="26"/>
  <c r="AB36" i="26"/>
  <c r="AB43" i="26"/>
  <c r="AC28" i="26"/>
  <c r="AB35" i="26"/>
  <c r="AB42" i="26"/>
  <c r="S15" i="25"/>
  <c r="S14" i="25"/>
  <c r="S72" i="30"/>
  <c r="I19" i="34"/>
  <c r="S7" i="25"/>
  <c r="V4" i="24"/>
  <c r="V3" i="24"/>
  <c r="V18" i="23"/>
  <c r="U73" i="30"/>
  <c r="I21" i="31"/>
  <c r="W17" i="28"/>
  <c r="W22" i="28"/>
  <c r="U46" i="28"/>
  <c r="T50" i="28"/>
  <c r="T46" i="30"/>
  <c r="G20" i="33"/>
  <c r="AD82" i="8"/>
  <c r="AC76" i="8"/>
  <c r="AC75" i="8"/>
  <c r="AC74" i="8"/>
  <c r="AI6" i="8"/>
  <c r="AH12" i="8"/>
  <c r="Q81" i="18"/>
  <c r="P91" i="18"/>
  <c r="Q86" i="18"/>
  <c r="P101" i="18"/>
  <c r="AJ3" i="19"/>
  <c r="W20" i="18"/>
  <c r="V29" i="18"/>
  <c r="T19" i="18"/>
  <c r="S30" i="18"/>
  <c r="N28" i="30"/>
  <c r="E14" i="34"/>
  <c r="S74" i="30"/>
  <c r="I19" i="33"/>
  <c r="AE82" i="28"/>
  <c r="X9" i="27"/>
  <c r="W13" i="27"/>
  <c r="O159" i="20"/>
  <c r="Q153" i="20"/>
  <c r="R44" i="20"/>
  <c r="P157" i="20"/>
  <c r="P59" i="30"/>
  <c r="H16" i="33"/>
  <c r="AC45" i="26"/>
  <c r="AD28" i="26"/>
  <c r="AC35" i="26"/>
  <c r="AC42" i="26"/>
  <c r="AE27" i="26"/>
  <c r="AD34" i="26"/>
  <c r="AD41" i="26"/>
  <c r="AD29" i="26"/>
  <c r="AC36" i="26"/>
  <c r="AC43" i="26"/>
  <c r="AE26" i="26"/>
  <c r="AD33" i="26"/>
  <c r="AD40" i="26"/>
  <c r="AD45" i="26"/>
  <c r="T15" i="25"/>
  <c r="T14" i="25"/>
  <c r="T72" i="30"/>
  <c r="I20" i="34"/>
  <c r="T7" i="25"/>
  <c r="W3" i="24"/>
  <c r="W4" i="24"/>
  <c r="W18" i="23"/>
  <c r="V73" i="30"/>
  <c r="I22" i="31"/>
  <c r="V47" i="30"/>
  <c r="G22" i="32"/>
  <c r="X22" i="28"/>
  <c r="V46" i="28"/>
  <c r="U50" i="28"/>
  <c r="U46" i="30"/>
  <c r="G21" i="33"/>
  <c r="X17" i="28"/>
  <c r="AE82" i="8"/>
  <c r="AD76" i="8"/>
  <c r="AD75" i="8"/>
  <c r="AD74" i="8"/>
  <c r="AJ6" i="8"/>
  <c r="AI12" i="8"/>
  <c r="R86" i="18"/>
  <c r="Q101" i="18"/>
  <c r="AK3" i="19"/>
  <c r="R81" i="18"/>
  <c r="Q91" i="18"/>
  <c r="U19" i="18"/>
  <c r="T30" i="18"/>
  <c r="X20" i="18"/>
  <c r="W29" i="18"/>
  <c r="O28" i="30"/>
  <c r="E15" i="34"/>
  <c r="T74" i="30"/>
  <c r="I20" i="33"/>
  <c r="W47" i="30"/>
  <c r="G23" i="32"/>
  <c r="AF82" i="28"/>
  <c r="Y9" i="27"/>
  <c r="X13" i="27"/>
  <c r="S44" i="20"/>
  <c r="P159" i="20"/>
  <c r="Q157" i="20"/>
  <c r="Q59" i="30"/>
  <c r="H17" i="33"/>
  <c r="R153" i="20"/>
  <c r="AF26" i="26"/>
  <c r="AE33" i="26"/>
  <c r="AE40" i="26"/>
  <c r="AF27" i="26"/>
  <c r="AE34" i="26"/>
  <c r="AE41" i="26"/>
  <c r="AE29" i="26"/>
  <c r="AD36" i="26"/>
  <c r="AD43" i="26"/>
  <c r="AE28" i="26"/>
  <c r="AD35" i="26"/>
  <c r="AD42" i="26"/>
  <c r="U15" i="25"/>
  <c r="U14" i="25"/>
  <c r="U72" i="30"/>
  <c r="I21" i="34"/>
  <c r="U7" i="25"/>
  <c r="X4" i="24"/>
  <c r="X3" i="24"/>
  <c r="X18" i="23"/>
  <c r="W73" i="30"/>
  <c r="I23" i="31"/>
  <c r="W46" i="28"/>
  <c r="V50" i="28"/>
  <c r="V46" i="30"/>
  <c r="G22" i="33"/>
  <c r="Y17" i="28"/>
  <c r="Y22" i="28"/>
  <c r="AF82" i="8"/>
  <c r="AE76" i="8"/>
  <c r="AE75" i="8"/>
  <c r="AE74" i="8"/>
  <c r="AK6" i="8"/>
  <c r="AK12" i="8"/>
  <c r="AJ12" i="8"/>
  <c r="S81" i="18"/>
  <c r="R91" i="18"/>
  <c r="S86" i="18"/>
  <c r="R101" i="18"/>
  <c r="V19" i="18"/>
  <c r="U30" i="18"/>
  <c r="Y20" i="18"/>
  <c r="X29" i="18"/>
  <c r="P28" i="30"/>
  <c r="E16" i="34"/>
  <c r="U74" i="30"/>
  <c r="I21" i="33"/>
  <c r="AG82" i="28"/>
  <c r="Z9" i="27"/>
  <c r="Y13" i="27"/>
  <c r="S153" i="20"/>
  <c r="R157" i="20"/>
  <c r="R59" i="30"/>
  <c r="H18" i="33"/>
  <c r="Q159" i="20"/>
  <c r="T44" i="20"/>
  <c r="X47" i="30"/>
  <c r="G24" i="32"/>
  <c r="AE45" i="26"/>
  <c r="AF28" i="26"/>
  <c r="AE35" i="26"/>
  <c r="AE42" i="26"/>
  <c r="AG27" i="26"/>
  <c r="AF34" i="26"/>
  <c r="AF41" i="26"/>
  <c r="AF29" i="26"/>
  <c r="AE36" i="26"/>
  <c r="AE43" i="26"/>
  <c r="AG26" i="26"/>
  <c r="AF33" i="26"/>
  <c r="AF40" i="26"/>
  <c r="AF45" i="26"/>
  <c r="V14" i="25"/>
  <c r="V72" i="30"/>
  <c r="I22" i="34"/>
  <c r="V15" i="25"/>
  <c r="V7" i="25"/>
  <c r="Y3" i="24"/>
  <c r="Y4" i="24"/>
  <c r="Y18" i="23"/>
  <c r="X73" i="30"/>
  <c r="I24" i="31"/>
  <c r="Z17" i="28"/>
  <c r="Z22" i="28"/>
  <c r="X46" i="28"/>
  <c r="W50" i="28"/>
  <c r="W46" i="30"/>
  <c r="G23" i="33"/>
  <c r="AG82" i="8"/>
  <c r="AF76" i="8"/>
  <c r="AF75" i="8"/>
  <c r="AF74" i="8"/>
  <c r="T86" i="18"/>
  <c r="S101" i="18"/>
  <c r="T81" i="18"/>
  <c r="S91" i="18"/>
  <c r="Z20" i="18"/>
  <c r="Y29" i="18"/>
  <c r="W19" i="18"/>
  <c r="V30" i="18"/>
  <c r="Q28" i="30"/>
  <c r="E17" i="34"/>
  <c r="R159" i="20"/>
  <c r="V74" i="30"/>
  <c r="I22" i="33"/>
  <c r="AH82" i="28"/>
  <c r="AA9" i="27"/>
  <c r="Z13" i="27"/>
  <c r="U44" i="20"/>
  <c r="S157" i="20"/>
  <c r="S59" i="30"/>
  <c r="H19" i="33"/>
  <c r="T153" i="20"/>
  <c r="AH26" i="26"/>
  <c r="AG33" i="26"/>
  <c r="AG40" i="26"/>
  <c r="AH27" i="26"/>
  <c r="AG34" i="26"/>
  <c r="AG41" i="26"/>
  <c r="AG29" i="26"/>
  <c r="AF36" i="26"/>
  <c r="AF43" i="26"/>
  <c r="AG28" i="26"/>
  <c r="AF35" i="26"/>
  <c r="AF42" i="26"/>
  <c r="W15" i="25"/>
  <c r="W14" i="25"/>
  <c r="W7" i="25"/>
  <c r="W72" i="30"/>
  <c r="I23" i="34"/>
  <c r="Z4" i="24"/>
  <c r="Z3" i="24"/>
  <c r="Z18" i="23"/>
  <c r="Y73" i="30"/>
  <c r="I25" i="31"/>
  <c r="Y47" i="30"/>
  <c r="G25" i="32"/>
  <c r="AA22" i="28"/>
  <c r="Y46" i="28"/>
  <c r="X50" i="28"/>
  <c r="X46" i="30"/>
  <c r="G24" i="33"/>
  <c r="AA17" i="28"/>
  <c r="AH82" i="8"/>
  <c r="AG76" i="8"/>
  <c r="AG75" i="8"/>
  <c r="AG74" i="8"/>
  <c r="U81" i="18"/>
  <c r="T91" i="18"/>
  <c r="U86" i="18"/>
  <c r="T101" i="18"/>
  <c r="X19" i="18"/>
  <c r="W30" i="18"/>
  <c r="AA20" i="18"/>
  <c r="Z29" i="18"/>
  <c r="R28" i="30"/>
  <c r="E18" i="34"/>
  <c r="W74" i="30"/>
  <c r="I23" i="33"/>
  <c r="Z47" i="30"/>
  <c r="G26" i="32"/>
  <c r="AI82" i="28"/>
  <c r="AB9" i="27"/>
  <c r="AA13" i="27"/>
  <c r="S159" i="20"/>
  <c r="T157" i="20"/>
  <c r="T59" i="30"/>
  <c r="H20" i="33"/>
  <c r="U153" i="20"/>
  <c r="V44" i="20"/>
  <c r="AG45" i="26"/>
  <c r="AH28" i="26"/>
  <c r="AG35" i="26"/>
  <c r="AG42" i="26"/>
  <c r="AI27" i="26"/>
  <c r="AH34" i="26"/>
  <c r="AH41" i="26"/>
  <c r="AH29" i="26"/>
  <c r="AG36" i="26"/>
  <c r="AG43" i="26"/>
  <c r="AI26" i="26"/>
  <c r="AH33" i="26"/>
  <c r="AH40" i="26"/>
  <c r="AH45" i="26"/>
  <c r="X15" i="25"/>
  <c r="X14" i="25"/>
  <c r="X72" i="30"/>
  <c r="I24" i="34"/>
  <c r="X7" i="25"/>
  <c r="AA3" i="24"/>
  <c r="AA4" i="24"/>
  <c r="AA18" i="23"/>
  <c r="Z73" i="30"/>
  <c r="I26" i="31"/>
  <c r="Z46" i="28"/>
  <c r="Y50" i="28"/>
  <c r="Y46" i="30"/>
  <c r="G25" i="33"/>
  <c r="AB17" i="28"/>
  <c r="AB22" i="28"/>
  <c r="AI82" i="8"/>
  <c r="AH76" i="8"/>
  <c r="AH75" i="8"/>
  <c r="AH74" i="8"/>
  <c r="V86" i="18"/>
  <c r="U101" i="18"/>
  <c r="V81" i="18"/>
  <c r="U91" i="18"/>
  <c r="AB20" i="18"/>
  <c r="AA29" i="18"/>
  <c r="Y19" i="18"/>
  <c r="X30" i="18"/>
  <c r="S28" i="30"/>
  <c r="E19" i="34"/>
  <c r="X74" i="30"/>
  <c r="I24" i="33"/>
  <c r="AJ82" i="28"/>
  <c r="AC9" i="27"/>
  <c r="AB13" i="27"/>
  <c r="V153" i="20"/>
  <c r="W44" i="20"/>
  <c r="T159" i="20"/>
  <c r="U157" i="20"/>
  <c r="U59" i="30"/>
  <c r="H21" i="33"/>
  <c r="AA47" i="30"/>
  <c r="G27" i="32"/>
  <c r="AJ26" i="26"/>
  <c r="AI33" i="26"/>
  <c r="AI40" i="26"/>
  <c r="AJ27" i="26"/>
  <c r="AI34" i="26"/>
  <c r="AI41" i="26"/>
  <c r="AI29" i="26"/>
  <c r="AH36" i="26"/>
  <c r="AH43" i="26"/>
  <c r="AI28" i="26"/>
  <c r="AH35" i="26"/>
  <c r="AH42" i="26"/>
  <c r="Y14" i="25"/>
  <c r="Y15" i="25"/>
  <c r="Y7" i="25"/>
  <c r="Y72" i="30"/>
  <c r="I25" i="34"/>
  <c r="AB4" i="24"/>
  <c r="AB3" i="24"/>
  <c r="AB18" i="23"/>
  <c r="AA73" i="30"/>
  <c r="I27" i="31"/>
  <c r="AC17" i="28"/>
  <c r="AC22" i="28"/>
  <c r="AA46" i="28"/>
  <c r="Z50" i="28"/>
  <c r="Z46" i="30"/>
  <c r="G26" i="33"/>
  <c r="AJ82" i="8"/>
  <c r="AI76" i="8"/>
  <c r="AI75" i="8"/>
  <c r="AI74" i="8"/>
  <c r="W81" i="18"/>
  <c r="V91" i="18"/>
  <c r="W86" i="18"/>
  <c r="V101" i="18"/>
  <c r="AC20" i="18"/>
  <c r="AB29" i="18"/>
  <c r="Z19" i="18"/>
  <c r="Y30" i="18"/>
  <c r="T28" i="30"/>
  <c r="E20" i="34"/>
  <c r="Y74" i="30"/>
  <c r="I25" i="33"/>
  <c r="AK82" i="28"/>
  <c r="AD9" i="27"/>
  <c r="AC13" i="27"/>
  <c r="U159" i="20"/>
  <c r="V157" i="20"/>
  <c r="V59" i="30"/>
  <c r="H22" i="33"/>
  <c r="X44" i="20"/>
  <c r="W153" i="20"/>
  <c r="AI45" i="26"/>
  <c r="AJ28" i="26"/>
  <c r="AI35" i="26"/>
  <c r="AI42" i="26"/>
  <c r="AK27" i="26"/>
  <c r="AK34" i="26"/>
  <c r="AK41" i="26"/>
  <c r="AJ34" i="26"/>
  <c r="AJ41" i="26"/>
  <c r="AJ29" i="26"/>
  <c r="AI36" i="26"/>
  <c r="AI43" i="26"/>
  <c r="AK26" i="26"/>
  <c r="AK33" i="26"/>
  <c r="AK40" i="26"/>
  <c r="AJ33" i="26"/>
  <c r="AJ40" i="26"/>
  <c r="AJ45" i="26"/>
  <c r="Z14" i="25"/>
  <c r="Z15" i="25"/>
  <c r="Z7" i="25"/>
  <c r="Z72" i="30"/>
  <c r="I26" i="34"/>
  <c r="AC3" i="24"/>
  <c r="AC4" i="24"/>
  <c r="AC18" i="23"/>
  <c r="AB73" i="30"/>
  <c r="I28" i="31"/>
  <c r="AB47" i="30"/>
  <c r="G28" i="32"/>
  <c r="AD22" i="28"/>
  <c r="AB46" i="28"/>
  <c r="AA50" i="28"/>
  <c r="AA46" i="30"/>
  <c r="G27" i="33"/>
  <c r="AD17" i="28"/>
  <c r="AK82" i="8"/>
  <c r="AK76" i="8"/>
  <c r="AK75" i="8"/>
  <c r="AK74" i="8"/>
  <c r="AJ76" i="8"/>
  <c r="AJ75" i="8"/>
  <c r="AJ74" i="8"/>
  <c r="X86" i="18"/>
  <c r="W101" i="18"/>
  <c r="X81" i="18"/>
  <c r="W91" i="18"/>
  <c r="AA19" i="18"/>
  <c r="Z30" i="18"/>
  <c r="AD20" i="18"/>
  <c r="AC29" i="18"/>
  <c r="U28" i="30"/>
  <c r="E21" i="34"/>
  <c r="Z74" i="30"/>
  <c r="I26" i="33"/>
  <c r="AC47" i="30"/>
  <c r="G29" i="32"/>
  <c r="AE9" i="27"/>
  <c r="AD13" i="27"/>
  <c r="V159" i="20"/>
  <c r="Y44" i="20"/>
  <c r="W157" i="20"/>
  <c r="W59" i="30"/>
  <c r="H23" i="33"/>
  <c r="X153" i="20"/>
  <c r="AK45" i="26"/>
  <c r="AK29" i="26"/>
  <c r="AK36" i="26"/>
  <c r="AK43" i="26"/>
  <c r="AJ36" i="26"/>
  <c r="AJ43" i="26"/>
  <c r="AK28" i="26"/>
  <c r="AK35" i="26"/>
  <c r="AK42" i="26"/>
  <c r="AJ35" i="26"/>
  <c r="AJ42" i="26"/>
  <c r="AA15" i="25"/>
  <c r="AA14" i="25"/>
  <c r="AA72" i="30"/>
  <c r="I27" i="34"/>
  <c r="AA7" i="25"/>
  <c r="AD4" i="24"/>
  <c r="AD3" i="24"/>
  <c r="AD18" i="23"/>
  <c r="AC73" i="30"/>
  <c r="I29" i="31"/>
  <c r="AC46" i="28"/>
  <c r="AB50" i="28"/>
  <c r="AB46" i="30"/>
  <c r="G28" i="33"/>
  <c r="AE17" i="28"/>
  <c r="AE22" i="28"/>
  <c r="Y81" i="18"/>
  <c r="X91" i="18"/>
  <c r="Y86" i="18"/>
  <c r="X101" i="18"/>
  <c r="AE20" i="18"/>
  <c r="AD29" i="18"/>
  <c r="AB19" i="18"/>
  <c r="AA30" i="18"/>
  <c r="V28" i="30"/>
  <c r="E22" i="34"/>
  <c r="AA74" i="30"/>
  <c r="I27" i="33"/>
  <c r="AF9" i="27"/>
  <c r="AE13" i="27"/>
  <c r="W159" i="20"/>
  <c r="Y153" i="20"/>
  <c r="X157" i="20"/>
  <c r="X59" i="30"/>
  <c r="H24" i="33"/>
  <c r="Z44" i="20"/>
  <c r="AD47" i="30"/>
  <c r="G30" i="32"/>
  <c r="AB14" i="25"/>
  <c r="AB72" i="30"/>
  <c r="I28" i="34"/>
  <c r="AB15" i="25"/>
  <c r="AB7" i="25"/>
  <c r="AE3" i="24"/>
  <c r="AE4" i="24"/>
  <c r="AE18" i="23"/>
  <c r="AD73" i="30"/>
  <c r="I30" i="31"/>
  <c r="AF17" i="28"/>
  <c r="AF22" i="28"/>
  <c r="AD46" i="28"/>
  <c r="AC50" i="28"/>
  <c r="AC46" i="30"/>
  <c r="G29" i="33"/>
  <c r="Z86" i="18"/>
  <c r="Y101" i="18"/>
  <c r="Z81" i="18"/>
  <c r="Y91" i="18"/>
  <c r="AC19" i="18"/>
  <c r="AB30" i="18"/>
  <c r="AF20" i="18"/>
  <c r="AE29" i="18"/>
  <c r="W28" i="30"/>
  <c r="E23" i="34"/>
  <c r="AB74" i="30"/>
  <c r="I28" i="33"/>
  <c r="AG9" i="27"/>
  <c r="AF13" i="27"/>
  <c r="Y157" i="20"/>
  <c r="Y59" i="30"/>
  <c r="H25" i="33"/>
  <c r="AA44" i="20"/>
  <c r="X159" i="20"/>
  <c r="Z153" i="20"/>
  <c r="AC14" i="25"/>
  <c r="AC72" i="30"/>
  <c r="I29" i="34"/>
  <c r="AC15" i="25"/>
  <c r="AC7" i="25"/>
  <c r="AF4" i="24"/>
  <c r="AF3" i="24"/>
  <c r="AF18" i="23"/>
  <c r="AE73" i="30"/>
  <c r="I31" i="31"/>
  <c r="AE47" i="30"/>
  <c r="G31" i="32"/>
  <c r="AG22" i="28"/>
  <c r="AE46" i="28"/>
  <c r="AD50" i="28"/>
  <c r="AD46" i="30"/>
  <c r="G30" i="33"/>
  <c r="AG17" i="28"/>
  <c r="AA81" i="18"/>
  <c r="Z91" i="18"/>
  <c r="AA86" i="18"/>
  <c r="Z101" i="18"/>
  <c r="AG20" i="18"/>
  <c r="AF29" i="18"/>
  <c r="AD19" i="18"/>
  <c r="AC30" i="18"/>
  <c r="X28" i="30"/>
  <c r="E24" i="34"/>
  <c r="AC74" i="30"/>
  <c r="I29" i="33"/>
  <c r="AF47" i="30"/>
  <c r="G32" i="32"/>
  <c r="AH9" i="27"/>
  <c r="AG13" i="27"/>
  <c r="AB44" i="20"/>
  <c r="Z157" i="20"/>
  <c r="Z59" i="30"/>
  <c r="H26" i="33"/>
  <c r="Y159" i="20"/>
  <c r="AA153" i="20"/>
  <c r="AD15" i="25"/>
  <c r="AD14" i="25"/>
  <c r="AD7" i="25"/>
  <c r="AD72" i="30"/>
  <c r="I30" i="34"/>
  <c r="AG3" i="24"/>
  <c r="AG4" i="24"/>
  <c r="AG18" i="23"/>
  <c r="AF73" i="30"/>
  <c r="I32" i="31"/>
  <c r="AF46" i="28"/>
  <c r="AE50" i="28"/>
  <c r="AE46" i="30"/>
  <c r="G31" i="33"/>
  <c r="AH17" i="28"/>
  <c r="AH22" i="28"/>
  <c r="AB86" i="18"/>
  <c r="AA101" i="18"/>
  <c r="AB81" i="18"/>
  <c r="AA91" i="18"/>
  <c r="AE19" i="18"/>
  <c r="AD30" i="18"/>
  <c r="AH20" i="18"/>
  <c r="AG29" i="18"/>
  <c r="Y28" i="30"/>
  <c r="E25" i="34"/>
  <c r="AD74" i="30"/>
  <c r="I30" i="33"/>
  <c r="AI9" i="27"/>
  <c r="AH13" i="27"/>
  <c r="AA157" i="20"/>
  <c r="AA59" i="30"/>
  <c r="H27" i="33"/>
  <c r="AB153" i="20"/>
  <c r="AC44" i="20"/>
  <c r="Z159" i="20"/>
  <c r="AG47" i="30"/>
  <c r="G33" i="32"/>
  <c r="AE15" i="25"/>
  <c r="AE14" i="25"/>
  <c r="AE72" i="30"/>
  <c r="I31" i="34"/>
  <c r="AE7" i="25"/>
  <c r="AH4" i="24"/>
  <c r="AH3" i="24"/>
  <c r="AH18" i="23"/>
  <c r="AG73" i="30"/>
  <c r="I33" i="31"/>
  <c r="AI17" i="28"/>
  <c r="AI22" i="28"/>
  <c r="AG46" i="28"/>
  <c r="AF50" i="28"/>
  <c r="AF46" i="30"/>
  <c r="G32" i="33"/>
  <c r="AC81" i="18"/>
  <c r="AB91" i="18"/>
  <c r="AC86" i="18"/>
  <c r="AB101" i="18"/>
  <c r="AI20" i="18"/>
  <c r="AH29" i="18"/>
  <c r="AF19" i="18"/>
  <c r="AE30" i="18"/>
  <c r="Z28" i="30"/>
  <c r="E26" i="34"/>
  <c r="AE74" i="30"/>
  <c r="I31" i="33"/>
  <c r="AJ9" i="27"/>
  <c r="AI13" i="27"/>
  <c r="AB157" i="20"/>
  <c r="AB59" i="30"/>
  <c r="H28" i="33"/>
  <c r="AC153" i="20"/>
  <c r="AD44" i="20"/>
  <c r="AA159" i="20"/>
  <c r="AI3" i="24"/>
  <c r="AI4" i="24"/>
  <c r="AF14" i="25"/>
  <c r="AF72" i="30"/>
  <c r="I32" i="34"/>
  <c r="AF15" i="25"/>
  <c r="AF7" i="25"/>
  <c r="AI18" i="23"/>
  <c r="AH73" i="30"/>
  <c r="I34" i="31"/>
  <c r="AH47" i="30"/>
  <c r="G34" i="32"/>
  <c r="AJ22" i="28"/>
  <c r="AH46" i="28"/>
  <c r="AG50" i="28"/>
  <c r="AG46" i="30"/>
  <c r="G33" i="33"/>
  <c r="AJ17" i="28"/>
  <c r="AD86" i="18"/>
  <c r="AC101" i="18"/>
  <c r="AD81" i="18"/>
  <c r="AC91" i="18"/>
  <c r="AG19" i="18"/>
  <c r="AF30" i="18"/>
  <c r="AJ20" i="18"/>
  <c r="AI29" i="18"/>
  <c r="AA28" i="30"/>
  <c r="E27" i="34"/>
  <c r="AF74" i="30"/>
  <c r="I32" i="33"/>
  <c r="AI47" i="30"/>
  <c r="G35" i="32"/>
  <c r="AK9" i="27"/>
  <c r="AK13" i="27"/>
  <c r="AJ13" i="27"/>
  <c r="AE44" i="20"/>
  <c r="AB159" i="20"/>
  <c r="AC157" i="20"/>
  <c r="AC59" i="30"/>
  <c r="H29" i="33"/>
  <c r="AD153" i="20"/>
  <c r="AJ4" i="24"/>
  <c r="AJ3" i="24"/>
  <c r="AG15" i="25"/>
  <c r="AG14" i="25"/>
  <c r="AG72" i="30"/>
  <c r="I33" i="34"/>
  <c r="AG7" i="25"/>
  <c r="AJ18" i="23"/>
  <c r="AK17" i="28"/>
  <c r="AK22" i="28"/>
  <c r="AI46" i="28"/>
  <c r="AH50" i="28"/>
  <c r="AH46" i="30"/>
  <c r="G34" i="33"/>
  <c r="AE81" i="18"/>
  <c r="AD91" i="18"/>
  <c r="AE86" i="18"/>
  <c r="AD101" i="18"/>
  <c r="AK20" i="18"/>
  <c r="AJ29" i="18"/>
  <c r="AH19" i="18"/>
  <c r="AG30" i="18"/>
  <c r="AB28" i="30"/>
  <c r="E28" i="34"/>
  <c r="AG74" i="30"/>
  <c r="I33" i="33"/>
  <c r="AC159" i="20"/>
  <c r="AD157" i="20"/>
  <c r="AD59" i="30"/>
  <c r="H30" i="33"/>
  <c r="AE153" i="20"/>
  <c r="AF44" i="20"/>
  <c r="AI73" i="30"/>
  <c r="I35" i="31"/>
  <c r="AK3" i="24"/>
  <c r="AK4" i="24"/>
  <c r="AH15" i="25"/>
  <c r="AH14" i="25"/>
  <c r="AH72" i="30"/>
  <c r="I34" i="34"/>
  <c r="AH7" i="25"/>
  <c r="AK18" i="23"/>
  <c r="AK73" i="30"/>
  <c r="I37" i="31"/>
  <c r="AJ47" i="30"/>
  <c r="G36" i="32"/>
  <c r="AK47" i="30"/>
  <c r="G37" i="32"/>
  <c r="AJ46" i="28"/>
  <c r="AI50" i="28"/>
  <c r="AI46" i="30"/>
  <c r="G35" i="33"/>
  <c r="AF86" i="18"/>
  <c r="AE101" i="18"/>
  <c r="AF81" i="18"/>
  <c r="AE91" i="18"/>
  <c r="AI19" i="18"/>
  <c r="AH30" i="18"/>
  <c r="AL20" i="18"/>
  <c r="AM20" i="18"/>
  <c r="AN20" i="18"/>
  <c r="AO20" i="18"/>
  <c r="AK29" i="18"/>
  <c r="AC28" i="30"/>
  <c r="E29" i="34"/>
  <c r="AH74" i="30"/>
  <c r="I34" i="33"/>
  <c r="AJ73" i="30"/>
  <c r="I36" i="31"/>
  <c r="AF153" i="20"/>
  <c r="AD159" i="20"/>
  <c r="AE157" i="20"/>
  <c r="AE59" i="30"/>
  <c r="H31" i="33"/>
  <c r="AG44" i="20"/>
  <c r="AI15" i="25"/>
  <c r="AI14" i="25"/>
  <c r="AI72" i="30"/>
  <c r="I35" i="34"/>
  <c r="AI7" i="25"/>
  <c r="AK46" i="28"/>
  <c r="AK50" i="28"/>
  <c r="AK46" i="30"/>
  <c r="G37" i="33"/>
  <c r="AJ50" i="28"/>
  <c r="AJ46" i="30"/>
  <c r="G36" i="33"/>
  <c r="AG81" i="18"/>
  <c r="AF91" i="18"/>
  <c r="AG86" i="18"/>
  <c r="AF101" i="18"/>
  <c r="AJ19" i="18"/>
  <c r="AI30" i="18"/>
  <c r="AD28" i="30"/>
  <c r="E30" i="34"/>
  <c r="AI74" i="30"/>
  <c r="I35" i="33"/>
  <c r="AE159" i="20"/>
  <c r="AF157" i="20"/>
  <c r="AF59" i="30"/>
  <c r="H32" i="33"/>
  <c r="AG153" i="20"/>
  <c r="AH44" i="20"/>
  <c r="AJ15" i="25"/>
  <c r="AJ14" i="25"/>
  <c r="AJ72" i="30"/>
  <c r="I36" i="34"/>
  <c r="AJ7" i="25"/>
  <c r="AH86" i="18"/>
  <c r="AG101" i="18"/>
  <c r="AH81" i="18"/>
  <c r="AG91" i="18"/>
  <c r="AK19" i="18"/>
  <c r="AJ30" i="18"/>
  <c r="AE28" i="30"/>
  <c r="E31" i="34"/>
  <c r="AJ74" i="30"/>
  <c r="I36" i="33"/>
  <c r="AH153" i="20"/>
  <c r="AF159" i="20"/>
  <c r="AG157" i="20"/>
  <c r="AG59" i="30"/>
  <c r="H33" i="33"/>
  <c r="AI44" i="20"/>
  <c r="AK15" i="25"/>
  <c r="AK14" i="25"/>
  <c r="AK72" i="30"/>
  <c r="I37" i="34"/>
  <c r="AI81" i="18"/>
  <c r="AH91" i="18"/>
  <c r="AI86" i="18"/>
  <c r="AH101" i="18"/>
  <c r="AL19" i="18"/>
  <c r="AM19" i="18"/>
  <c r="AN19" i="18"/>
  <c r="AO19" i="18"/>
  <c r="AK30" i="18"/>
  <c r="AF28" i="30"/>
  <c r="E32" i="34"/>
  <c r="AK74" i="30"/>
  <c r="I37" i="33"/>
  <c r="AI153" i="20"/>
  <c r="AK44" i="20"/>
  <c r="AJ44" i="20"/>
  <c r="AH157" i="20"/>
  <c r="AH59" i="30"/>
  <c r="H34" i="33"/>
  <c r="AG159" i="20"/>
  <c r="AJ86" i="18"/>
  <c r="AI101" i="18"/>
  <c r="AJ81" i="18"/>
  <c r="AI91" i="18"/>
  <c r="AG28" i="30"/>
  <c r="E33" i="34"/>
  <c r="AH159" i="20"/>
  <c r="AI157" i="20"/>
  <c r="AI59" i="30"/>
  <c r="H35" i="33"/>
  <c r="AJ153" i="20"/>
  <c r="AK153" i="20"/>
  <c r="AK81" i="18"/>
  <c r="AK91" i="18"/>
  <c r="AJ91" i="18"/>
  <c r="AK86" i="18"/>
  <c r="AK101" i="18"/>
  <c r="AJ101" i="18"/>
  <c r="AH28" i="30"/>
  <c r="E34" i="34"/>
  <c r="AJ157" i="20"/>
  <c r="AJ59" i="30"/>
  <c r="H36" i="33"/>
  <c r="AK157" i="20"/>
  <c r="AK59" i="30"/>
  <c r="H37" i="33"/>
  <c r="AI159" i="20"/>
  <c r="AI28" i="30"/>
  <c r="E35" i="34"/>
  <c r="AJ159" i="20"/>
  <c r="AK159" i="20"/>
  <c r="AJ28" i="30"/>
  <c r="E36" i="34"/>
  <c r="AK28" i="30"/>
  <c r="E37" i="34"/>
</calcChain>
</file>

<file path=xl/sharedStrings.xml><?xml version="1.0" encoding="utf-8"?>
<sst xmlns="http://schemas.openxmlformats.org/spreadsheetml/2006/main" count="7258" uniqueCount="1997">
  <si>
    <t>full name</t>
  </si>
  <si>
    <t>api key</t>
  </si>
  <si>
    <t>units</t>
  </si>
  <si>
    <t>Value of Shipments (billion 2009 dollars)</t>
  </si>
  <si>
    <t>Emissions factor (clinker) (tons CO2/ton clinker)</t>
  </si>
  <si>
    <t>Aggregate Emissions Factor</t>
  </si>
  <si>
    <t>Future CO2 Emissions (tons CO2)</t>
  </si>
  <si>
    <t>Future CO2 Emissions (MMT CO2)</t>
  </si>
  <si>
    <t>https://unfccc.int/files/national_reports/biennial_reports_and_iar/submitted_biennial_reports/application/pdf/methodologies_for_u_s__greenhouse_gas_emissions_projections.pdf</t>
  </si>
  <si>
    <t>Source: U.S. Energy Information Administration</t>
  </si>
  <si>
    <t>Value of Shipments</t>
  </si>
  <si>
    <t>(billion 2009 dollars)</t>
  </si>
  <si>
    <t>Energy Prices</t>
  </si>
  <si>
    <t>- -</t>
  </si>
  <si>
    <t>(thousand Btu per 2009 dollar)</t>
  </si>
  <si>
    <t>ref_no_cpp.d120816a</t>
  </si>
  <si>
    <t>Report</t>
  </si>
  <si>
    <t>Annual Energy Outlook 2017</t>
  </si>
  <si>
    <t>Scenario</t>
  </si>
  <si>
    <t>ref_no_cpp</t>
  </si>
  <si>
    <t>Reference case without Clean Power Plan</t>
  </si>
  <si>
    <t>Datekey</t>
  </si>
  <si>
    <t>d120816a</t>
  </si>
  <si>
    <t>Release Date</t>
  </si>
  <si>
    <t xml:space="preserve"> January 2017</t>
  </si>
  <si>
    <t>IKI000</t>
  </si>
  <si>
    <t>6. Industrial Sector Key Indicators and Consumption</t>
  </si>
  <si>
    <t/>
  </si>
  <si>
    <t>2016-</t>
  </si>
  <si>
    <t xml:space="preserve"> Shipments, Prices, and Consumption</t>
  </si>
  <si>
    <t>IKI000:ba_Manufacturing</t>
  </si>
  <si>
    <t xml:space="preserve">   Manufacturing</t>
  </si>
  <si>
    <t>IKI000:ba_Nonmanufactur</t>
  </si>
  <si>
    <t xml:space="preserve">   Agriculture, Mining, and Construction</t>
  </si>
  <si>
    <t>IKI000:ba_Total</t>
  </si>
  <si>
    <t xml:space="preserve">     Total</t>
  </si>
  <si>
    <t xml:space="preserve">  (2016 dollars per million Btu)</t>
  </si>
  <si>
    <t>IKI000:ca_LiquefiedPetr</t>
  </si>
  <si>
    <t xml:space="preserve">   Propane</t>
  </si>
  <si>
    <t>IKI000:ca_MotorGasoline</t>
  </si>
  <si>
    <t xml:space="preserve">   Motor Gasoline</t>
  </si>
  <si>
    <t>IKI000:ca_DistillateOil</t>
  </si>
  <si>
    <t xml:space="preserve">   Distillate Fuel Oil</t>
  </si>
  <si>
    <t>IKI000:ca_ResidualOil</t>
  </si>
  <si>
    <t xml:space="preserve">   Residual Fuel Oil</t>
  </si>
  <si>
    <t>IKI000:ca_Asphalt</t>
  </si>
  <si>
    <t xml:space="preserve">   Asphalt and Road Oil</t>
  </si>
  <si>
    <t>IKI000:ca_NaturalGasHP</t>
  </si>
  <si>
    <t xml:space="preserve">   Natural Gas Heat and Power</t>
  </si>
  <si>
    <t>IKI000:ca_NaturalGasFd</t>
  </si>
  <si>
    <t xml:space="preserve">   Natural Gas Feedstocks</t>
  </si>
  <si>
    <t>IKI000:ca_Metallurgical</t>
  </si>
  <si>
    <t xml:space="preserve">   Metallurgical Coal</t>
  </si>
  <si>
    <t>IKI000:ca_SteamCoal</t>
  </si>
  <si>
    <t xml:space="preserve">   Other Industrial Coal</t>
  </si>
  <si>
    <t>IKI000:ca_CoaltoLiquids</t>
  </si>
  <si>
    <t xml:space="preserve">   Coal to Liquids</t>
  </si>
  <si>
    <t>IKI000:ca_Electricity</t>
  </si>
  <si>
    <t xml:space="preserve">   Electricity</t>
  </si>
  <si>
    <t xml:space="preserve">  (nominal dollars per million Btu)</t>
  </si>
  <si>
    <t>IKI000:nom_LiquefiedPet</t>
  </si>
  <si>
    <t>IKI000:nom_MotorGasolin</t>
  </si>
  <si>
    <t>IKI000:nom_DistillateOi</t>
  </si>
  <si>
    <t>IKI000:nom_ResidualOil</t>
  </si>
  <si>
    <t>IKI000:nom_Asphalt</t>
  </si>
  <si>
    <t>IKI000:nom_NaturalGasHP</t>
  </si>
  <si>
    <t>IKI000:nom_NaturalGasFd</t>
  </si>
  <si>
    <t>IKI000:nom_Metallurgica</t>
  </si>
  <si>
    <t>IKI000:nom_SteamCoal</t>
  </si>
  <si>
    <t>IKI000:nom_CoaltoLiquid</t>
  </si>
  <si>
    <t>IKI000:nom_Electricity</t>
  </si>
  <si>
    <t>Energy Consumption 1/ (quadrillion Btu)</t>
  </si>
  <si>
    <t xml:space="preserve"> Industrial Consumption Excluding Refining</t>
  </si>
  <si>
    <t>IKI000:ia_LiqPetGasHeat</t>
  </si>
  <si>
    <t xml:space="preserve">   Propane Heat and Power</t>
  </si>
  <si>
    <t>IKI000:ia_LiqPetGasFeed</t>
  </si>
  <si>
    <t xml:space="preserve">   Liquefied Petroleum Gas and Other Feedstocks</t>
  </si>
  <si>
    <t>IKI000:ia_MotorGasoline</t>
  </si>
  <si>
    <t>IKI000:ia_Distillate</t>
  </si>
  <si>
    <t>IKI000:ia_ResidualFuel</t>
  </si>
  <si>
    <t>IKI000:ia_Petrochemical</t>
  </si>
  <si>
    <t xml:space="preserve">   Petrochemical Feedstocks</t>
  </si>
  <si>
    <t>IKI000:ia_PetroleumCoke</t>
  </si>
  <si>
    <t xml:space="preserve">   Petroleum Coke</t>
  </si>
  <si>
    <t>IKI000:ia_Asphalt</t>
  </si>
  <si>
    <t>IKI000:ia_Miscellaneous</t>
  </si>
  <si>
    <t xml:space="preserve">   Miscellaneous Petroleum 3/</t>
  </si>
  <si>
    <t>IKI000:ia_PetroleumSubt</t>
  </si>
  <si>
    <t xml:space="preserve">     Petroleum and Other Liquids Subtotal</t>
  </si>
  <si>
    <t>IKI000:ia_NatralGasHeat</t>
  </si>
  <si>
    <t>IKI000:ia_NatralGasFeed</t>
  </si>
  <si>
    <t>IKI000:ia_LeaseandPlant</t>
  </si>
  <si>
    <t xml:space="preserve">   Lease and Plant Fuel 4/</t>
  </si>
  <si>
    <t>IKI000:ia_liquefactexp</t>
  </si>
  <si>
    <t xml:space="preserve">   Natural Gas Liquefaction for Export 5/</t>
  </si>
  <si>
    <t>IKI000:ia_NaturalGasSub</t>
  </si>
  <si>
    <t xml:space="preserve">     Natural Gas Subtotal</t>
  </si>
  <si>
    <t>IKI000:ia_Metallurgical</t>
  </si>
  <si>
    <t xml:space="preserve">   Metallurgical Coal and Coke 6/</t>
  </si>
  <si>
    <t>IKI000:ia_SteamCoal</t>
  </si>
  <si>
    <t>IKI000:ia_CoalSubtotal</t>
  </si>
  <si>
    <t xml:space="preserve">     Coal Subtotal</t>
  </si>
  <si>
    <t>IKI000:ia_Renewables</t>
  </si>
  <si>
    <t xml:space="preserve">   Renewables 7/</t>
  </si>
  <si>
    <t>IKI000:ia_PurchasedElec</t>
  </si>
  <si>
    <t xml:space="preserve">   Purchased Electricity</t>
  </si>
  <si>
    <t>IKI000:ia_DeliveredEner</t>
  </si>
  <si>
    <t xml:space="preserve">     Delivered Energy</t>
  </si>
  <si>
    <t>IKI000:ia_ElectricityRe</t>
  </si>
  <si>
    <t xml:space="preserve">   Electricity Related Losses</t>
  </si>
  <si>
    <t>IKI000:ia_Total</t>
  </si>
  <si>
    <t xml:space="preserve"> Refining Consumption</t>
  </si>
  <si>
    <t>IKI000:ka_LiqPetGasHeat</t>
  </si>
  <si>
    <t xml:space="preserve">   Liquefied Petroleum Gas Heat and Power 2/</t>
  </si>
  <si>
    <t>IKI000:ka_Distillate</t>
  </si>
  <si>
    <t>IKI000:ka_ResidualFuel</t>
  </si>
  <si>
    <t>IKI000:ka_PetroleumCoke</t>
  </si>
  <si>
    <t>IKI000:ka_StillGasAll</t>
  </si>
  <si>
    <t xml:space="preserve">   Still Gas</t>
  </si>
  <si>
    <t>IKI000:ka_Miscellaneous</t>
  </si>
  <si>
    <t>IKI000:ka_PetroleumSubt</t>
  </si>
  <si>
    <t>IKI000:ka_NatralGasHeat</t>
  </si>
  <si>
    <t>IKI000:ka_NaturalFeedst</t>
  </si>
  <si>
    <t>IKI000:ka_NatGas2LiqH&amp;P</t>
  </si>
  <si>
    <t xml:space="preserve">   Natural-Gas-to-Liquids Heat and Power</t>
  </si>
  <si>
    <t>IKI000:ka_NaturalGasSub</t>
  </si>
  <si>
    <t>IKI000:ka_SteamCoal</t>
  </si>
  <si>
    <t>IKI000:ka_CoaltoLiquids</t>
  </si>
  <si>
    <t xml:space="preserve">   Coal-to-Liquids Heat and Power</t>
  </si>
  <si>
    <t>IKI000:ka_CoalSubtotal</t>
  </si>
  <si>
    <t>IKI000:ka_BiofuelHeatCo</t>
  </si>
  <si>
    <t xml:space="preserve">   Biofuels Heat and Coproducts</t>
  </si>
  <si>
    <t>IKI000:ka_PurchasedElec</t>
  </si>
  <si>
    <t>IKI000:ka_DeliveredEner</t>
  </si>
  <si>
    <t>IKI000:ka_ElectricityRe</t>
  </si>
  <si>
    <t>IKI000:ka_Total</t>
  </si>
  <si>
    <t xml:space="preserve"> Total Industrial Sector Consumption</t>
  </si>
  <si>
    <t>IKI000:da_LiqPetGasHeat</t>
  </si>
  <si>
    <t>IKI000:da_LiqPetGasFeed</t>
  </si>
  <si>
    <t>IKI000:da_MotorGasoline</t>
  </si>
  <si>
    <t>IKI000:da_Distillate</t>
  </si>
  <si>
    <t>IKI000:da_ResidualFuel</t>
  </si>
  <si>
    <t>IKI000:da_Petrochemical</t>
  </si>
  <si>
    <t>IKI000:da_PetroleumCoke</t>
  </si>
  <si>
    <t>IKI000:da_Asphalt</t>
  </si>
  <si>
    <t>IKI000:da_StillGas</t>
  </si>
  <si>
    <t>IKI000:da_Miscellaneous</t>
  </si>
  <si>
    <t>IKI000:da_PetroleumSubt</t>
  </si>
  <si>
    <t>IKI000:da_NatralGasHeat</t>
  </si>
  <si>
    <t>IKI000:da_NatralGasFeed</t>
  </si>
  <si>
    <t>IKI000:da_NatGas2LiqH&amp;P</t>
  </si>
  <si>
    <t>IKI000:da_LeaseandPlant</t>
  </si>
  <si>
    <t>IKI000:da_liquefactexp</t>
  </si>
  <si>
    <t>IKI000:da_NaturalGasSub</t>
  </si>
  <si>
    <t>IKI000:da_Metallurgical</t>
  </si>
  <si>
    <t>IKI000:da_SteamCoal</t>
  </si>
  <si>
    <t>IKI000:da_CoaltoLiquids</t>
  </si>
  <si>
    <t>IKI000:da_CoalSubtotal</t>
  </si>
  <si>
    <t>IKI000:da_BiofuelHeatCo</t>
  </si>
  <si>
    <t>IKI000:da_Renewables</t>
  </si>
  <si>
    <t>IKI000:da_PurchasedElec</t>
  </si>
  <si>
    <t>IKI000:da_DeliveredEner</t>
  </si>
  <si>
    <t>IKI000:da_ElectricityRe</t>
  </si>
  <si>
    <t>IKI000:da_Total</t>
  </si>
  <si>
    <t>Energy Consumption per dollar of Shipments 1/</t>
  </si>
  <si>
    <t>IKI000:ea_LiqPetGasHeat</t>
  </si>
  <si>
    <t>IKI000:ea_LiqPetGasFeed</t>
  </si>
  <si>
    <t>IKI000:ea_MotorGasoline</t>
  </si>
  <si>
    <t>IKI000:ea_Distillate</t>
  </si>
  <si>
    <t>IKI000:ea_ResidualFuel</t>
  </si>
  <si>
    <t>IKI000:ea_Petrochemical</t>
  </si>
  <si>
    <t>IKI000:ea_PetroleumCoke</t>
  </si>
  <si>
    <t>IKI000:ea_Asphalt</t>
  </si>
  <si>
    <t>IKI000:ea_StillGas</t>
  </si>
  <si>
    <t>IKI000:ea_Miscellaneous</t>
  </si>
  <si>
    <t>IKI000:ea_PetroleumSubt</t>
  </si>
  <si>
    <t>IKI000:ea_NatralGasHeat</t>
  </si>
  <si>
    <t>IKI000:ea_NatralGasFeed</t>
  </si>
  <si>
    <t xml:space="preserve">   Natural Gas Feedstock</t>
  </si>
  <si>
    <t>IKI000:ea_NatGas2LiqH&amp;P</t>
  </si>
  <si>
    <t>IKI000:ea_LeaseandPlant</t>
  </si>
  <si>
    <t>IKI000:ea_liquefactexp</t>
  </si>
  <si>
    <t>IKI000:ea_NaturalGasSub</t>
  </si>
  <si>
    <t>IKI000:ea_Metallurgical</t>
  </si>
  <si>
    <t>IKI000:ea_SteamCoal</t>
  </si>
  <si>
    <t>IKI000:ea_CoaltoLiquids</t>
  </si>
  <si>
    <t>IKI000:ea_CoalSubtotal</t>
  </si>
  <si>
    <t>IKI000:ea_BiofuelHeatCo</t>
  </si>
  <si>
    <t>IKI000:ea_Renewables</t>
  </si>
  <si>
    <t>IKI000:ea_PurchasedElec</t>
  </si>
  <si>
    <t>IKI000:ea_DeliveredEner</t>
  </si>
  <si>
    <t>IKI000:ea_ElectricityRe</t>
  </si>
  <si>
    <t>IKI000:ea_Total</t>
  </si>
  <si>
    <t>Total Industrial Combined Heat and Power 1/</t>
  </si>
  <si>
    <t>IKI000:ha_Capacity(giga</t>
  </si>
  <si>
    <t xml:space="preserve">  Capacity (gigawatts)</t>
  </si>
  <si>
    <t>IKI000:ha_Generation(bi</t>
  </si>
  <si>
    <t xml:space="preserve">  Generation (billion kilowatthours)</t>
  </si>
  <si>
    <t xml:space="preserve">   1/ Includes combined heat and power plants that have a non-regulatory status, and small on-site generating systems.</t>
  </si>
  <si>
    <t xml:space="preserve">   2/ Includes ethane, natural gasoline, and refinery olefins.</t>
  </si>
  <si>
    <t xml:space="preserve">   3/ Includes lubricants and miscellaneous petroleum products.</t>
  </si>
  <si>
    <t xml:space="preserve">   4/ Represents natural gas used in well, field, and lease operations, and in natural gas processing plant machinery.</t>
  </si>
  <si>
    <t xml:space="preserve">   5/ Fuel used in facilities that liquefy natural gas for export.</t>
  </si>
  <si>
    <t xml:space="preserve">   6/ Includes net coal coke imports.</t>
  </si>
  <si>
    <t xml:space="preserve">   7/ Includes consumption of energy produced from hydroelectric, wood and wood waste, municipal waste, and other biomass sources.</t>
  </si>
  <si>
    <t xml:space="preserve">   Btu = British thermal unit.</t>
  </si>
  <si>
    <t xml:space="preserve">   - - = Not applicable.</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</si>
  <si>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</si>
  <si>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</si>
  <si>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prices for motor gasoline and distillate fuel oil are based on:  U.S. Energy Information</t>
  </si>
  <si>
    <t>Administration (EIA), Petroleum Marketing Monthly, October 2016.  2015 petrochemical feedstock and asphalt and</t>
  </si>
  <si>
    <t>road oil prices are based on:  EIA, State Energy Data System 2014.  2015 coal prices are based on:  EIA,</t>
  </si>
  <si>
    <t>Quarterly Coal Report, October-December 2015, and EIA, AEO2017 National Energy Modeling System run ref_no_cpp.d120816a.</t>
  </si>
  <si>
    <t>2015 electricity prices:  Monthly Energy Review, October 2016.  2015 natural gas</t>
  </si>
  <si>
    <t>prices:  EIA, Natural Gas Monthly, July 2016.  2015 refining consumption based on:  Petroleum</t>
  </si>
  <si>
    <t>Supply Annual 2015.  Other 2015 consumption values are based on:  EIA, Monthly Energy Review,</t>
  </si>
  <si>
    <t>October 2016.  2015 shipments:  IHS Markit, Industry model, August 2016.</t>
  </si>
  <si>
    <t>2016:  EIA, Short-Term Energy Outlook, October 2016 and EIA, AEO2017 National Energy Modeling System run ref_no_cpp.d120816a.</t>
  </si>
  <si>
    <t>Projections:  EIA, AEO2017 National Energy Modeling System run ref_no_cpp.d120816a.</t>
  </si>
  <si>
    <t>ref_no_cpp.d032316a</t>
  </si>
  <si>
    <t>Annual Energy Outlook 2016</t>
  </si>
  <si>
    <t>Reference case, no Clean Power Plan</t>
  </si>
  <si>
    <t>d032316a</t>
  </si>
  <si>
    <t xml:space="preserve"> May 2016</t>
  </si>
  <si>
    <t>2015-</t>
  </si>
  <si>
    <t xml:space="preserve">  (2015 dollars per million Btu)</t>
  </si>
  <si>
    <t>Data for 2014 are model results and may differ from official EIA data reports.</t>
  </si>
  <si>
    <t xml:space="preserve">   Sources:  2014 prices for motor gasoline and distillate fuel oil are based on:  U.S. Energy Information</t>
  </si>
  <si>
    <t>Administration (EIA), Petroleum Marketing Monthly, .  2014 petrochemical feedstock and asphalt and</t>
  </si>
  <si>
    <t>road oil prices are based on:  EIA, State Energy Data System 2013.  2014 coal prices are based on:  EIA,</t>
  </si>
  <si>
    <t>Quarterly Coal Report, October-December 2014, and EIA, AEO2016 National Energy Modeling System run ref_no_cpp.d032316a.</t>
  </si>
  <si>
    <t>2014 electricity prices:  Monthly Energy Review, February 2016.  2014 natural gas</t>
  </si>
  <si>
    <t>prices:  EIA, Natural Gas Monthly, December 2015.  2014 refining consumption based on:  Petroleum</t>
  </si>
  <si>
    <t>Supply Annual 2014.  Other 2014 consumption values are based on:  EIA, Monthly Energy Review,</t>
  </si>
  <si>
    <t>February 2016.  2014 shipments:  IHS Economics, Industry model, November 2015.</t>
  </si>
  <si>
    <t>2015:  EIA, Short-Term Energy Outlook, February 2016 and EIA, AEO2016 National Energy Modeling System run ref_no_cpp.d032316a.</t>
  </si>
  <si>
    <t>Projections:  EIA, AEO2016 National Energy Modeling System run ref_no_cpp.d032316a.</t>
  </si>
  <si>
    <r>
      <rPr>
        <b/>
        <sz val="9"/>
        <rFont val="Times New Roman"/>
        <family val="1"/>
      </rPr>
      <t xml:space="preserve">Adjusted Non-Energy
</t>
    </r>
    <r>
      <rPr>
        <b/>
        <sz val="9"/>
        <rFont val="Times New Roman"/>
        <family val="1"/>
      </rPr>
      <t>Use</t>
    </r>
    <r>
      <rPr>
        <b/>
        <sz val="6"/>
        <rFont val="Times New Roman"/>
        <family val="1"/>
      </rPr>
      <t>a</t>
    </r>
  </si>
  <si>
    <r>
      <rPr>
        <b/>
        <sz val="9"/>
        <rFont val="Times New Roman"/>
        <family val="1"/>
      </rPr>
      <t>Carbon Content Coefficient</t>
    </r>
  </si>
  <si>
    <r>
      <rPr>
        <b/>
        <sz val="9"/>
        <rFont val="Times New Roman"/>
        <family val="1"/>
      </rPr>
      <t>Potential Carbon</t>
    </r>
  </si>
  <si>
    <r>
      <rPr>
        <b/>
        <sz val="9"/>
        <rFont val="Times New Roman"/>
        <family val="1"/>
      </rPr>
      <t>Storage Factor</t>
    </r>
  </si>
  <si>
    <r>
      <rPr>
        <b/>
        <sz val="9"/>
        <rFont val="Times New Roman"/>
        <family val="1"/>
      </rPr>
      <t>Carbon Stored</t>
    </r>
  </si>
  <si>
    <r>
      <rPr>
        <b/>
        <sz val="9"/>
        <rFont val="Times New Roman"/>
        <family val="1"/>
      </rPr>
      <t>Carbon Emissions</t>
    </r>
  </si>
  <si>
    <r>
      <rPr>
        <b/>
        <sz val="9"/>
        <rFont val="Times New Roman"/>
        <family val="1"/>
      </rPr>
      <t>Sector/Fuel Type</t>
    </r>
  </si>
  <si>
    <r>
      <rPr>
        <b/>
        <sz val="9"/>
        <rFont val="Times New Roman"/>
        <family val="1"/>
      </rPr>
      <t>(TBtu)</t>
    </r>
  </si>
  <si>
    <r>
      <rPr>
        <b/>
        <sz val="9"/>
        <rFont val="Times New Roman"/>
        <family val="1"/>
      </rPr>
      <t xml:space="preserve">(MMT
</t>
    </r>
    <r>
      <rPr>
        <b/>
        <sz val="9"/>
        <rFont val="Times New Roman"/>
        <family val="1"/>
      </rPr>
      <t>C/QBtu)</t>
    </r>
  </si>
  <si>
    <r>
      <rPr>
        <b/>
        <sz val="9"/>
        <rFont val="Times New Roman"/>
        <family val="1"/>
      </rPr>
      <t>(MMT C)</t>
    </r>
  </si>
  <si>
    <r>
      <rPr>
        <b/>
        <sz val="9"/>
        <rFont val="Times New Roman"/>
        <family val="1"/>
      </rPr>
      <t>(MMT CO</t>
    </r>
    <r>
      <rPr>
        <b/>
        <sz val="6"/>
        <rFont val="Times New Roman"/>
        <family val="1"/>
      </rPr>
      <t xml:space="preserve">2 </t>
    </r>
    <r>
      <rPr>
        <b/>
        <sz val="9"/>
        <rFont val="Times New Roman"/>
        <family val="1"/>
      </rPr>
      <t>Eq.)</t>
    </r>
  </si>
  <si>
    <r>
      <rPr>
        <b/>
        <sz val="9"/>
        <rFont val="Times New Roman"/>
        <family val="1"/>
      </rPr>
      <t>Industry</t>
    </r>
  </si>
  <si>
    <r>
      <rPr>
        <b/>
        <sz val="9"/>
        <rFont val="Times New Roman"/>
        <family val="1"/>
      </rPr>
      <t>NA</t>
    </r>
  </si>
  <si>
    <r>
      <rPr>
        <sz val="9"/>
        <rFont val="Times New Roman"/>
        <family val="1"/>
      </rPr>
      <t>Industrial Coking Coal</t>
    </r>
  </si>
  <si>
    <r>
      <rPr>
        <sz val="9"/>
        <rFont val="Times New Roman"/>
        <family val="1"/>
      </rPr>
      <t>Industrial Other Coal</t>
    </r>
  </si>
  <si>
    <r>
      <rPr>
        <sz val="9"/>
        <rFont val="Times New Roman"/>
        <family val="1"/>
      </rPr>
      <t>Natural Gas to Chemical Plants</t>
    </r>
  </si>
  <si>
    <r>
      <rPr>
        <sz val="9"/>
        <rFont val="Times New Roman"/>
        <family val="1"/>
      </rPr>
      <t>Asphalt &amp; Road Oil</t>
    </r>
  </si>
  <si>
    <r>
      <rPr>
        <sz val="9"/>
        <rFont val="Times New Roman"/>
        <family val="1"/>
      </rPr>
      <t>LPG</t>
    </r>
  </si>
  <si>
    <r>
      <rPr>
        <sz val="9"/>
        <rFont val="Times New Roman"/>
        <family val="1"/>
      </rPr>
      <t>Lubricants</t>
    </r>
  </si>
  <si>
    <r>
      <rPr>
        <sz val="9"/>
        <rFont val="Times New Roman"/>
        <family val="1"/>
      </rPr>
      <t>Pentanes Plus</t>
    </r>
  </si>
  <si>
    <r>
      <rPr>
        <sz val="9"/>
        <rFont val="Times New Roman"/>
        <family val="1"/>
      </rPr>
      <t>Naphtha (&lt;401° F)</t>
    </r>
  </si>
  <si>
    <r>
      <rPr>
        <sz val="9"/>
        <rFont val="Times New Roman"/>
        <family val="1"/>
      </rPr>
      <t>Other Oil (&gt;401° F)</t>
    </r>
  </si>
  <si>
    <r>
      <rPr>
        <sz val="9"/>
        <rFont val="Times New Roman"/>
        <family val="1"/>
      </rPr>
      <t>Still Gas</t>
    </r>
  </si>
  <si>
    <r>
      <rPr>
        <sz val="9"/>
        <rFont val="Times New Roman"/>
        <family val="1"/>
      </rPr>
      <t>Petroleum Coke</t>
    </r>
  </si>
  <si>
    <r>
      <rPr>
        <sz val="9"/>
        <rFont val="Times New Roman"/>
        <family val="1"/>
      </rPr>
      <t>+</t>
    </r>
  </si>
  <si>
    <r>
      <rPr>
        <sz val="9"/>
        <rFont val="Times New Roman"/>
        <family val="1"/>
      </rPr>
      <t>Special Naphtha</t>
    </r>
  </si>
  <si>
    <r>
      <rPr>
        <sz val="9"/>
        <rFont val="Times New Roman"/>
        <family val="1"/>
      </rPr>
      <t>Distillate Fuel Oil</t>
    </r>
  </si>
  <si>
    <r>
      <rPr>
        <sz val="9"/>
        <rFont val="Times New Roman"/>
        <family val="1"/>
      </rPr>
      <t>Waxes</t>
    </r>
  </si>
  <si>
    <r>
      <rPr>
        <sz val="9"/>
        <rFont val="Times New Roman"/>
        <family val="1"/>
      </rPr>
      <t>Miscellaneous Products</t>
    </r>
  </si>
  <si>
    <r>
      <rPr>
        <b/>
        <sz val="9"/>
        <rFont val="Times New Roman"/>
        <family val="1"/>
      </rPr>
      <t>Transportation</t>
    </r>
  </si>
  <si>
    <r>
      <rPr>
        <b/>
        <sz val="9"/>
        <rFont val="Times New Roman"/>
        <family val="1"/>
      </rPr>
      <t>U.S. Territories</t>
    </r>
  </si>
  <si>
    <r>
      <rPr>
        <sz val="9"/>
        <rFont val="Times New Roman"/>
        <family val="1"/>
      </rPr>
      <t>Other Petroleum (Misc. Prod.)</t>
    </r>
  </si>
  <si>
    <r>
      <rPr>
        <b/>
        <sz val="9"/>
        <rFont val="Times New Roman"/>
        <family val="1"/>
      </rPr>
      <t>Total</t>
    </r>
  </si>
  <si>
    <r>
      <rPr>
        <sz val="9"/>
        <rFont val="Times New Roman"/>
        <family val="1"/>
      </rPr>
      <t>+ Does not exceed 0.05 TBtu, MMT C, MMT CO</t>
    </r>
    <r>
      <rPr>
        <sz val="6"/>
        <rFont val="Times New Roman"/>
        <family val="1"/>
      </rPr>
      <t xml:space="preserve">2 </t>
    </r>
    <r>
      <rPr>
        <sz val="9"/>
        <rFont val="Times New Roman"/>
        <family val="1"/>
      </rPr>
      <t xml:space="preserve">Eq. NA (Not Applicable)
</t>
    </r>
    <r>
      <rPr>
        <sz val="6"/>
        <rFont val="Times New Roman"/>
        <family val="1"/>
      </rPr>
      <t xml:space="preserve">a </t>
    </r>
    <r>
      <rPr>
        <sz val="9"/>
        <rFont val="Times New Roman"/>
        <family val="1"/>
      </rPr>
      <t>To avoid double counting, net exports have been deducted. Note: Totals may not sum due to independent rounding.</t>
    </r>
  </si>
  <si>
    <t>Iron and Steel</t>
  </si>
  <si>
    <t>Natural Gas and Petroleum Systems</t>
  </si>
  <si>
    <t>Chemicals</t>
  </si>
  <si>
    <r>
      <rPr>
        <b/>
        <sz val="10"/>
        <rFont val="Tahoma"/>
        <family val="2"/>
      </rPr>
      <t>Table 3-28: Coal Production (kt)</t>
    </r>
  </si>
  <si>
    <r>
      <rPr>
        <b/>
        <sz val="10"/>
        <rFont val="Tahoma"/>
        <family val="2"/>
      </rPr>
      <t>Table 3-30: CH</t>
    </r>
    <r>
      <rPr>
        <b/>
        <sz val="7"/>
        <rFont val="Tahoma"/>
        <family val="2"/>
      </rPr>
      <t xml:space="preserve">4 </t>
    </r>
    <r>
      <rPr>
        <b/>
        <sz val="10"/>
        <rFont val="Tahoma"/>
        <family val="2"/>
      </rPr>
      <t>Emissions from Coal Mining (kt)</t>
    </r>
  </si>
  <si>
    <r>
      <rPr>
        <b/>
        <sz val="9"/>
        <rFont val="Times New Roman"/>
        <family val="1"/>
      </rPr>
      <t>Activity</t>
    </r>
  </si>
  <si>
    <r>
      <rPr>
        <sz val="9"/>
        <rFont val="Times New Roman"/>
        <family val="1"/>
      </rPr>
      <t>UG Mining</t>
    </r>
  </si>
  <si>
    <r>
      <rPr>
        <sz val="9"/>
        <rFont val="Times New Roman"/>
        <family val="1"/>
      </rPr>
      <t>Liberated</t>
    </r>
  </si>
  <si>
    <r>
      <rPr>
        <sz val="9"/>
        <rFont val="Times New Roman"/>
        <family val="1"/>
      </rPr>
      <t>Recovered &amp; Used</t>
    </r>
  </si>
  <si>
    <r>
      <rPr>
        <sz val="9"/>
        <rFont val="Times New Roman"/>
        <family val="1"/>
      </rPr>
      <t>Surface Mining</t>
    </r>
  </si>
  <si>
    <r>
      <rPr>
        <sz val="9"/>
        <rFont val="Times New Roman"/>
        <family val="1"/>
      </rPr>
      <t>Post-Mining (UG)</t>
    </r>
  </si>
  <si>
    <r>
      <rPr>
        <sz val="9"/>
        <rFont val="Times New Roman"/>
        <family val="1"/>
      </rPr>
      <t>Post-Mining (Surface)</t>
    </r>
  </si>
  <si>
    <r>
      <rPr>
        <sz val="9"/>
        <rFont val="Times New Roman"/>
        <family val="1"/>
      </rPr>
      <t>Notes: Totals may not sum due to independent rounding. Parentheses indicate negative values.</t>
    </r>
  </si>
  <si>
    <t>Year</t>
  </si>
  <si>
    <t>Underground number of mines</t>
  </si>
  <si>
    <t>underground production</t>
  </si>
  <si>
    <t>surface number of mines</t>
  </si>
  <si>
    <t>surface production</t>
  </si>
  <si>
    <t>total number of mines</t>
  </si>
  <si>
    <t>total production</t>
  </si>
  <si>
    <t>Underground Mining</t>
  </si>
  <si>
    <t>Surface Mining</t>
  </si>
  <si>
    <t>Calculated Emissions Factors (kt CH4 emissions/kt coal production)</t>
  </si>
  <si>
    <t>2011-2015 Average</t>
  </si>
  <si>
    <t>Coal Production by Region and Type</t>
  </si>
  <si>
    <t>https://www.eia.gov/outlooks/aeo/data/browser/#/?id=95-AEO2017&amp;region=0-0&amp;cases=ref_no_cpp&amp;start=2015&amp;end=2050&amp;f=A&amp;sourcekey=0</t>
  </si>
  <si>
    <t>Fri Apr 14 2017 12:31:46 GMT-0700 (Pacific Daylight Time)</t>
  </si>
  <si>
    <t>Growth (2016-2050)</t>
  </si>
  <si>
    <t>Northern Appalachia</t>
  </si>
  <si>
    <t>Coal Production: Northern Appalachia: Reference case without Clean Power Plan</t>
  </si>
  <si>
    <t>95-AEO2017.2.ref_no_cpp-d120816a</t>
  </si>
  <si>
    <t>MMst</t>
  </si>
  <si>
    <t>Medium Sulfur (Premium)</t>
  </si>
  <si>
    <t>Coal Production: Northern Appalachia: Medium Sulfur Premium: Reference case without Clean Power Plan</t>
  </si>
  <si>
    <t>95-AEO2017.3.ref_no_cpp-d120816a</t>
  </si>
  <si>
    <t>Medium Sulfur (Bituminous)</t>
  </si>
  <si>
    <t>Coal Production: Northern Appalachia: Medium Sulfur Bituminous: Reference case without Clean Power Plan</t>
  </si>
  <si>
    <t>95-AEO2017.4.ref_no_cpp-d120816a</t>
  </si>
  <si>
    <t>High Sulfur (Bituminous)</t>
  </si>
  <si>
    <t>Coal Production: Northern Appalachia: High Sulfur Bituminous: Reference case without Clean Power Plan</t>
  </si>
  <si>
    <t>95-AEO2017.5.ref_no_cpp-d120816a</t>
  </si>
  <si>
    <t>Central Appalachia</t>
  </si>
  <si>
    <t>Coal Production: Central Appalachia: Reference case without Clean Power Plan</t>
  </si>
  <si>
    <t>95-AEO2017.7.ref_no_cpp-d120816a</t>
  </si>
  <si>
    <t>Coal Production: Central Appalachia: Medium Sulfur Premium: Reference case without Clean Power Plan</t>
  </si>
  <si>
    <t>95-AEO2017.8.ref_no_cpp-d120816a</t>
  </si>
  <si>
    <t>Low Sulfur (Bituminous)</t>
  </si>
  <si>
    <t>Coal Production: Central Appalachia: Low Sulfur Bituminous: Reference case without Clean Power Plan</t>
  </si>
  <si>
    <t>95-AEO2017.9.ref_no_cpp-d120816a</t>
  </si>
  <si>
    <t>Coal Production: Central Appalachia: Medium Sulfur Bituminous: Reference case without Clean Power Plan</t>
  </si>
  <si>
    <t>95-AEO2017.10.ref_no_cpp-d120816a</t>
  </si>
  <si>
    <t>Southern Appalachia</t>
  </si>
  <si>
    <t>Coal Production: Southern Appalachia: Reference case without Clean Power Plan</t>
  </si>
  <si>
    <t>95-AEO2017.12.ref_no_cpp-d120816a</t>
  </si>
  <si>
    <t>Low Sulfur (Premium)</t>
  </si>
  <si>
    <t>Coal Production: Southern Appalachia: Low Sulfur Premium: Reference case without Clean Power Plan</t>
  </si>
  <si>
    <t>95-AEO2017.13.ref_no_cpp-d120816a</t>
  </si>
  <si>
    <t>Coal Production: Southern Appalachia: Low Sulfur Bituminous: Reference case without Clean Power Plan</t>
  </si>
  <si>
    <t>95-AEO2017.14.ref_no_cpp-d120816a</t>
  </si>
  <si>
    <t>Coal Production: Southern Appalachia: Medium Sulfur Bituminous: Reference case without Clean Power Plan</t>
  </si>
  <si>
    <t>95-AEO2017.15.ref_no_cpp-d120816a</t>
  </si>
  <si>
    <t>Eastern Interior</t>
  </si>
  <si>
    <t>Coal Production: Eastern Interior: Reference case without Clean Power Plan</t>
  </si>
  <si>
    <t>95-AEO2017.17.ref_no_cpp-d120816a</t>
  </si>
  <si>
    <t>Coal Production: Eastern Interior: Medium Sulfur Bituminous: Reference case without Clean Power Plan</t>
  </si>
  <si>
    <t>95-AEO2017.18.ref_no_cpp-d120816a</t>
  </si>
  <si>
    <t>Coal Production: Eastern Interior: High Sulfur Bituminous: Reference case without Clean Power Plan</t>
  </si>
  <si>
    <t>95-AEO2017.19.ref_no_cpp-d120816a</t>
  </si>
  <si>
    <t>Medium Sulfur (Lignite)</t>
  </si>
  <si>
    <t>Coal Production: Eastern Interior: Medium Sulfur Lignite: Reference case without Clean Power Plan</t>
  </si>
  <si>
    <t>95-AEO2017.20.ref_no_cpp-d120816a</t>
  </si>
  <si>
    <t>Western Interior High Sulfur (Bituminous)</t>
  </si>
  <si>
    <t>Coal Production: Western Interior High Sulfur Bituminous: Reference case without Clean Power Plan</t>
  </si>
  <si>
    <t>95-AEO2017.22.ref_no_cpp-d120816a</t>
  </si>
  <si>
    <t>Gulf</t>
  </si>
  <si>
    <t>Coal Production: Gulf: Reference case without Clean Power Plan</t>
  </si>
  <si>
    <t>95-AEO2017.24.ref_no_cpp-d120816a</t>
  </si>
  <si>
    <t>Coal Production: Gulf: Medium Sulfur Lignite: Reference case without Clean Power Plan</t>
  </si>
  <si>
    <t>95-AEO2017.25.ref_no_cpp-d120816a</t>
  </si>
  <si>
    <t>High Sulfur (Lignite)</t>
  </si>
  <si>
    <t>Coal Production: Gulf: High Sulfur Lignite: Reference case without Clean Power Plan</t>
  </si>
  <si>
    <t>95-AEO2017.26.ref_no_cpp-d120816a</t>
  </si>
  <si>
    <t>Dakota Medium Sulfur (Lignite)</t>
  </si>
  <si>
    <t>Coal Production: Dakota Medium Sulfur Lignite: Reference case without Clean Power Plan</t>
  </si>
  <si>
    <t>95-AEO2017.28.ref_no_cpp-d120816a</t>
  </si>
  <si>
    <t>Western Montana</t>
  </si>
  <si>
    <t>Coal Production: Western Montana: Reference case without Clean Power Plan</t>
  </si>
  <si>
    <t>95-AEO2017.30.ref_no_cpp-d120816a</t>
  </si>
  <si>
    <t>Coal Production: Western Montana: Low Sulfur Bituminous: Reference case without Clean Power Plan</t>
  </si>
  <si>
    <t>95-AEO2017.31.ref_no_cpp-d120816a</t>
  </si>
  <si>
    <t>Low Sulfur (Sub-Bituminous)</t>
  </si>
  <si>
    <t>Coal Production: Western Montana: Low Sulfur Sub-Bituminous: Reference case without Clean Power Plan</t>
  </si>
  <si>
    <t>95-AEO2017.32.ref_no_cpp-d120816a</t>
  </si>
  <si>
    <t>Medium Sulfur (Sub-Bituminous)</t>
  </si>
  <si>
    <t>Coal Production: Western Montana: Medium Sulfur Sub-Bituminous: Reference case without Clean Power Plan</t>
  </si>
  <si>
    <t>95-AEO2017.33.ref_no_cpp-d120816a</t>
  </si>
  <si>
    <t>Wyoming</t>
  </si>
  <si>
    <t xml:space="preserve"> Powder River Basin</t>
  </si>
  <si>
    <t>Coal Production: Wyoming, Powder River Basin: Reference case without Clean Power Plan</t>
  </si>
  <si>
    <t>95-AEO2017.35.ref_no_cpp-d120816a</t>
  </si>
  <si>
    <t>Coal Production: Wyoming, Powder River Basin: Low Sulfur Sub-Bituminous: Reference case without Clean Power Plan</t>
  </si>
  <si>
    <t>95-AEO2017.36.ref_no_cpp-d120816a</t>
  </si>
  <si>
    <t>Coal Production: Wyoming, Powder River Basin: Medium Sulfur Sub-Bituminous: Reference case without Clean Power Plan</t>
  </si>
  <si>
    <t>95-AEO2017.37.ref_no_cpp-d120816a</t>
  </si>
  <si>
    <t>Western Wyoming</t>
  </si>
  <si>
    <t>Coal Production: Western Wyoming: Reference case without Clean Power Plan</t>
  </si>
  <si>
    <t>95-AEO2017.39.ref_no_cpp-d120816a</t>
  </si>
  <si>
    <t>Coal Production: Western Wyoming: Low Sulfur Sub-Bituminous: Reference case without Clean Power Plan</t>
  </si>
  <si>
    <t>95-AEO2017.40.ref_no_cpp-d120816a</t>
  </si>
  <si>
    <t>Coal Production: Western Wyoming: Medium Sulfur Sub-Bituminous: Reference case without Clean Power Plan</t>
  </si>
  <si>
    <t>95-AEO2017.41.ref_no_cpp-d120816a</t>
  </si>
  <si>
    <t>Rocky Mountain</t>
  </si>
  <si>
    <t>Coal Production: Rocky Mountain: Reference case without Clean Power Plan</t>
  </si>
  <si>
    <t>95-AEO2017.44.ref_no_cpp-d120816a</t>
  </si>
  <si>
    <t>Coal Production: Rocky Mountain: Low Sulfur Premium: Reference case without Clean Power Plan</t>
  </si>
  <si>
    <t>95-AEO2017.45.ref_no_cpp-d120816a</t>
  </si>
  <si>
    <t>Coal Production: Rocky Mountain: Low Sulfur Bituminous: Reference case without Clean Power Plan</t>
  </si>
  <si>
    <t>95-AEO2017.46.ref_no_cpp-d120816a</t>
  </si>
  <si>
    <t>Coal Production: Rocky Mountain: Low Sulfur Sub-Bituminous: Reference case without Clean Power Plan</t>
  </si>
  <si>
    <t>95-AEO2017.47.ref_no_cpp-d120816a</t>
  </si>
  <si>
    <t>Arizona/New Mexico</t>
  </si>
  <si>
    <t>Coal Production: Arizona/New Mexico: Reference case without Clean Power Plan</t>
  </si>
  <si>
    <t>95-AEO2017.49.ref_no_cpp-d120816a</t>
  </si>
  <si>
    <t>Coal Production: Arizona/New Mexico: Low Sulfur Bituminous: Reference case without Clean Power Plan</t>
  </si>
  <si>
    <t>95-AEO2017.50.ref_no_cpp-d120816a</t>
  </si>
  <si>
    <t>Coal Production: Arizona/New Mexico: Medium Sulfur Bituminous: Reference case without Clean Power Plan</t>
  </si>
  <si>
    <t>95-AEO2017.51.ref_no_cpp-d120816a</t>
  </si>
  <si>
    <t>Coal Production: Arizona/New Mexico: Medium Sulfur Sub-Bituminous: Reference case without Clean Power Plan</t>
  </si>
  <si>
    <t>95-AEO2017.52.ref_no_cpp-d120816a</t>
  </si>
  <si>
    <t>Washington/Alaska</t>
  </si>
  <si>
    <t>95-AEO2017.54.</t>
  </si>
  <si>
    <t>Coal Production: Washington/Alaska: Low Sulfur Sub-Bituminous: Reference case without Clean Power Plan</t>
  </si>
  <si>
    <t>95-AEO2017.55.ref_no_cpp-d120816a</t>
  </si>
  <si>
    <t>Subtotals:  All Regions</t>
  </si>
  <si>
    <t>95-AEO2017.57.</t>
  </si>
  <si>
    <t>Premium Metallurgical</t>
  </si>
  <si>
    <t>Coal Production: All Regions: Premium Metallurgical: Reference case without Clean Power Plan</t>
  </si>
  <si>
    <t>95-AEO2017.59.ref_no_cpp-d120816a</t>
  </si>
  <si>
    <t>Bituminous</t>
  </si>
  <si>
    <t>Coal Production: All Regions: Bituminous: Reference case without Clean Power Plan</t>
  </si>
  <si>
    <t>95-AEO2017.60.ref_no_cpp-d120816a</t>
  </si>
  <si>
    <t>Sub-Bituminous</t>
  </si>
  <si>
    <t>Coal Production: All Regions: Sub-Bituminous: Reference case without Clean Power Plan</t>
  </si>
  <si>
    <t>95-AEO2017.61.ref_no_cpp-d120816a</t>
  </si>
  <si>
    <t>Lignite</t>
  </si>
  <si>
    <t>Coal Production: All Regions: Lignite: Reference case without Clean Power Plan</t>
  </si>
  <si>
    <t>95-AEO2017.62.ref_no_cpp-d120816a</t>
  </si>
  <si>
    <t>Low Sulfur</t>
  </si>
  <si>
    <t>Coal Production: All Regions: Low Sulfur: Reference case without Clean Power Plan</t>
  </si>
  <si>
    <t>95-AEO2017.64.ref_no_cpp-d120816a</t>
  </si>
  <si>
    <t>Medium Sulfur</t>
  </si>
  <si>
    <t>Coal Production: All Regions: Medium Sulfur: Reference case without Clean Power Plan</t>
  </si>
  <si>
    <t>95-AEO2017.65.ref_no_cpp-d120816a</t>
  </si>
  <si>
    <t>High Sulfur</t>
  </si>
  <si>
    <t>Coal Production: All Regions: High Sulfur: Reference case without Clean Power Plan</t>
  </si>
  <si>
    <t>95-AEO2017.66.ref_no_cpp-d120816a</t>
  </si>
  <si>
    <t>Underground</t>
  </si>
  <si>
    <t>Coal Production: All Regions: Underground: Reference case without Clean Power Plan</t>
  </si>
  <si>
    <t>95-AEO2017.68.ref_no_cpp-d120816a</t>
  </si>
  <si>
    <t>Surface</t>
  </si>
  <si>
    <t>Coal Production: All Regions: Surface: Reference case without Clean Power Plan</t>
  </si>
  <si>
    <t>95-AEO2017.69.ref_no_cpp-d120816a</t>
  </si>
  <si>
    <t>United States Total</t>
  </si>
  <si>
    <t>Coal Production: United States Total: Reference case without Clean Power Plan</t>
  </si>
  <si>
    <t>95-AEO2017.71.ref_no_cpp-d120816a</t>
  </si>
  <si>
    <t>Waste Coal</t>
  </si>
  <si>
    <t>Coal Production: Waste Coal: Reference case without Clean Power Plan</t>
  </si>
  <si>
    <t>95-AEO2017.73.ref_no_cpp-d120816a</t>
  </si>
  <si>
    <t>CH4 Recovery from UM</t>
  </si>
  <si>
    <t>Calculated Methane Recovery Use Fraction</t>
  </si>
  <si>
    <t>Underground Production</t>
  </si>
  <si>
    <t>Surface Production</t>
  </si>
  <si>
    <t>Forecasted Production</t>
  </si>
  <si>
    <t>Output (Million tons)</t>
  </si>
  <si>
    <t>Forecasted Emissions</t>
  </si>
  <si>
    <t>Emissions (kt CH4)</t>
  </si>
  <si>
    <t>Sources:</t>
  </si>
  <si>
    <t>Source</t>
  </si>
  <si>
    <t>Source Category</t>
  </si>
  <si>
    <t>Energy</t>
  </si>
  <si>
    <t>Stationary Source Combustion</t>
  </si>
  <si>
    <t>Mobile Source Combustion</t>
  </si>
  <si>
    <t>Industrial Processes</t>
  </si>
  <si>
    <t>Magnesium Production and Processing</t>
  </si>
  <si>
    <t>HCFC-22 Production</t>
  </si>
  <si>
    <t>Subsitution of Ozone Depleting Substances</t>
  </si>
  <si>
    <t>Semiconductor Manufacturing</t>
  </si>
  <si>
    <t>Electrical Transmission and Distribution</t>
  </si>
  <si>
    <t>Agriculture</t>
  </si>
  <si>
    <t>Enteric Fermentation</t>
  </si>
  <si>
    <t>Manure Management</t>
  </si>
  <si>
    <t>Agricultural Soil Management</t>
  </si>
  <si>
    <t>Waste</t>
  </si>
  <si>
    <t>Landfills</t>
  </si>
  <si>
    <t>Model Category</t>
  </si>
  <si>
    <t>Mining</t>
  </si>
  <si>
    <t>Production</t>
  </si>
  <si>
    <t>Cement</t>
  </si>
  <si>
    <t>Other</t>
  </si>
  <si>
    <t>Transportation</t>
  </si>
  <si>
    <t>Refining</t>
  </si>
  <si>
    <t>Crude Refining</t>
  </si>
  <si>
    <t>Historical US Crude Oil Production</t>
  </si>
  <si>
    <t>https://www.epa.gov/sites/production/files/2017-02/documents/2017_complete_report.pdf</t>
  </si>
  <si>
    <t>https://www.eia.gov/dnav/pet/pet_crd_crpdn_adc_mbbl_a.htm</t>
  </si>
  <si>
    <t>Annual-Thousand Barrels</t>
  </si>
  <si>
    <t>Field Production (Commercial)</t>
  </si>
  <si>
    <t>Alaskan</t>
  </si>
  <si>
    <t>Lower 48 States</t>
  </si>
  <si>
    <t>Imports</t>
  </si>
  <si>
    <t>Commercial</t>
  </si>
  <si>
    <t>Strategic Petroleum Reserve (SPR)</t>
  </si>
  <si>
    <t>Adjustments (Commercial)</t>
  </si>
  <si>
    <t>Historical US Crude Oil Supply</t>
  </si>
  <si>
    <t>https://www.eia.gov/dnav/pet/pet_sum_crdsnd_k_a.htm</t>
  </si>
  <si>
    <t>Total</t>
  </si>
  <si>
    <t>Emissions Factors Calculation</t>
  </si>
  <si>
    <t>Total (thousand barrels)</t>
  </si>
  <si>
    <t>Production - CH4</t>
  </si>
  <si>
    <t>Production - CO2</t>
  </si>
  <si>
    <t>Transportation (quantity not EF) - CH4</t>
  </si>
  <si>
    <t>Refining - CH4</t>
  </si>
  <si>
    <t>Refining CO2</t>
  </si>
  <si>
    <t>Emissions Factors (kt/1000 barrels)</t>
  </si>
  <si>
    <t>5 year Average</t>
  </si>
  <si>
    <t>Base Year Emissions</t>
  </si>
  <si>
    <t>Emissions Projections</t>
  </si>
  <si>
    <t>Base Year Inventory Production</t>
  </si>
  <si>
    <t>Base Year Inventory Refining</t>
  </si>
  <si>
    <t>Net Import Share of Product Supplied (percent)</t>
  </si>
  <si>
    <t>Expenditures for Imported Crude Oil and</t>
  </si>
  <si>
    <t>ref2017.d120816a</t>
  </si>
  <si>
    <t>ref2017</t>
  </si>
  <si>
    <t>Reference case</t>
  </si>
  <si>
    <t>PSD000</t>
  </si>
  <si>
    <t>11. Petroleum and Other Liquids Supply and Disposition</t>
  </si>
  <si>
    <t>(million barrels per day, unless otherwise noted)</t>
  </si>
  <si>
    <t xml:space="preserve"> Supply and Disposition</t>
  </si>
  <si>
    <t xml:space="preserve"> Crude Oil</t>
  </si>
  <si>
    <t>PSD000:ba_DomesticCrude</t>
  </si>
  <si>
    <t xml:space="preserve">   Domestic Crude Production 1/</t>
  </si>
  <si>
    <t>PSD000:ba_Alaska</t>
  </si>
  <si>
    <t xml:space="preserve">     Alaska</t>
  </si>
  <si>
    <t>PSD000:ba_Lower48States</t>
  </si>
  <si>
    <t xml:space="preserve">     Lower 48 States</t>
  </si>
  <si>
    <t>PSD000:ba_NetImports</t>
  </si>
  <si>
    <t xml:space="preserve">   Net Imports</t>
  </si>
  <si>
    <t>PSD000:ba_GrossImports</t>
  </si>
  <si>
    <t xml:space="preserve">     Gross Imports</t>
  </si>
  <si>
    <t>PSD000:ba_Exports</t>
  </si>
  <si>
    <t xml:space="preserve">     Exports</t>
  </si>
  <si>
    <t>PSD000:ba_OtherCrudeSup</t>
  </si>
  <si>
    <t xml:space="preserve">   Other Crude Supply 2/</t>
  </si>
  <si>
    <t>PSD000:ba_TotalCrudeSup</t>
  </si>
  <si>
    <t xml:space="preserve">     Total Crude Supply</t>
  </si>
  <si>
    <t>PSD000:ca_NetProductImp</t>
  </si>
  <si>
    <t xml:space="preserve"> Net Product Imports</t>
  </si>
  <si>
    <t>PSD000:ca_GrossRefinedP</t>
  </si>
  <si>
    <t xml:space="preserve">   Gross Refined Product Imports 3/</t>
  </si>
  <si>
    <t>PSD000:ca_UnfinishedOil</t>
  </si>
  <si>
    <t xml:space="preserve">   Unfinished Oil Imports</t>
  </si>
  <si>
    <t>PSD000:ca_BlendingCompo</t>
  </si>
  <si>
    <t xml:space="preserve">   Blending Component Imports</t>
  </si>
  <si>
    <t>PSD000:ca_Exports</t>
  </si>
  <si>
    <t xml:space="preserve">   Exports</t>
  </si>
  <si>
    <t>PSD000:ca_RefineryProce</t>
  </si>
  <si>
    <t xml:space="preserve"> Refinery Processing Gain 4/</t>
  </si>
  <si>
    <t>PSD000:ProductStockDraw</t>
  </si>
  <si>
    <t xml:space="preserve"> Product Stock Withdrawal</t>
  </si>
  <si>
    <t>PSD000:ca_NaturalGasPla</t>
  </si>
  <si>
    <t xml:space="preserve"> Natural Gas Plant Liquids</t>
  </si>
  <si>
    <t>PSD000:from_Renewables</t>
  </si>
  <si>
    <t xml:space="preserve"> Supply from Renewable Sources</t>
  </si>
  <si>
    <t>PSD000:cb_TotalEthanol</t>
  </si>
  <si>
    <t xml:space="preserve">   Ethanol</t>
  </si>
  <si>
    <t>PSD000:ca_DomesticEthan</t>
  </si>
  <si>
    <t xml:space="preserve">     Domestic Production</t>
  </si>
  <si>
    <t>PSD000:ca_EthanolImport</t>
  </si>
  <si>
    <t xml:space="preserve">     Net Imports</t>
  </si>
  <si>
    <t>PSD000:ca_EthanolWithdr</t>
  </si>
  <si>
    <t xml:space="preserve">     Stock Withdrawal</t>
  </si>
  <si>
    <t>PSD000:cb_TotalBiodiesl</t>
  </si>
  <si>
    <t xml:space="preserve">   Biodiesel</t>
  </si>
  <si>
    <t>PSD000:cb_DomesticBiodi</t>
  </si>
  <si>
    <t>PSD000:cb_BiodieselImpo</t>
  </si>
  <si>
    <t>PSD000:cb_BiodieselWith</t>
  </si>
  <si>
    <t>PSD000:Other_BM-derived</t>
  </si>
  <si>
    <t xml:space="preserve">   Other Biomass-derived Liquids 5/</t>
  </si>
  <si>
    <t>PSD000:Other_BM_Dome</t>
  </si>
  <si>
    <t>PSD000:Other_BM_NetImp</t>
  </si>
  <si>
    <t>PSD000:Other_BM_Stock</t>
  </si>
  <si>
    <t>PSD000:AllLiquidsfromGa</t>
  </si>
  <si>
    <t xml:space="preserve"> Liquids from Gas</t>
  </si>
  <si>
    <t>PSD000:ca_LiquidsfromCo</t>
  </si>
  <si>
    <t xml:space="preserve"> Liquids from Coal</t>
  </si>
  <si>
    <t>PSD000:ca_OtherOther</t>
  </si>
  <si>
    <t xml:space="preserve"> Other 6/</t>
  </si>
  <si>
    <t>PSD000:da_TotalPrimaryS</t>
  </si>
  <si>
    <t xml:space="preserve"> Total Primary Supply 7/</t>
  </si>
  <si>
    <t xml:space="preserve"> Product Supplied</t>
  </si>
  <si>
    <t xml:space="preserve">   by Fuel</t>
  </si>
  <si>
    <t>PSD000:ea_LiqPetGas</t>
  </si>
  <si>
    <t xml:space="preserve">     Liquefied Petroleum Gases and Other 8/</t>
  </si>
  <si>
    <t>PSD000:ea_MotorGasoline</t>
  </si>
  <si>
    <t xml:space="preserve">     Motor Gasoline 9/</t>
  </si>
  <si>
    <t>PSD000:ea_E85E85E85E85</t>
  </si>
  <si>
    <t xml:space="preserve">        of which:  E85 10/</t>
  </si>
  <si>
    <t>PSD000:ea_JetFuel</t>
  </si>
  <si>
    <t xml:space="preserve">     Jet Fuel 11/</t>
  </si>
  <si>
    <t>PSD000:ea_DistillateFue</t>
  </si>
  <si>
    <t xml:space="preserve">     Distillate Fuel Oil 12/</t>
  </si>
  <si>
    <t>PSD000:eb_DieselAllSect</t>
  </si>
  <si>
    <t xml:space="preserve">       of which:  Diesel</t>
  </si>
  <si>
    <t>PSD000:ea_ResidualFuel</t>
  </si>
  <si>
    <t xml:space="preserve">     Residual Fuel Oil</t>
  </si>
  <si>
    <t>PSD000:ea_Other</t>
  </si>
  <si>
    <t xml:space="preserve">     Other 13/</t>
  </si>
  <si>
    <t xml:space="preserve">   by Sector</t>
  </si>
  <si>
    <t>PSD000:fa_Residentialan</t>
  </si>
  <si>
    <t xml:space="preserve">     Residential and Commercial</t>
  </si>
  <si>
    <t>PSD000:fa_Industrial</t>
  </si>
  <si>
    <t xml:space="preserve">     Industrial 14/</t>
  </si>
  <si>
    <t>PSD000:fa_Transportatio</t>
  </si>
  <si>
    <t xml:space="preserve">     Transportation</t>
  </si>
  <si>
    <t>PSD000:fa_ElectricPower</t>
  </si>
  <si>
    <t xml:space="preserve">     Electric Power 15/</t>
  </si>
  <si>
    <t>PSD000:fa_balancesector</t>
  </si>
  <si>
    <t xml:space="preserve">     Unspecified Sector 16/</t>
  </si>
  <si>
    <t>PSD000:fa_Total</t>
  </si>
  <si>
    <t xml:space="preserve">   Total</t>
  </si>
  <si>
    <t>PSD000:ga_Discrepancy</t>
  </si>
  <si>
    <t xml:space="preserve"> Discrepancy 17/</t>
  </si>
  <si>
    <t>PSD000:ha_DomesticRefin</t>
  </si>
  <si>
    <t>Domestic Refinery Distillation Capacity 18/</t>
  </si>
  <si>
    <t>PSD000:ha_CapacityUtili</t>
  </si>
  <si>
    <t>Capacity Utilization Rate (percent) 19/</t>
  </si>
  <si>
    <t>PSD000:ha_ImportShareof</t>
  </si>
  <si>
    <t>PSD000:ha_PetroleumProd</t>
  </si>
  <si>
    <t xml:space="preserve"> Petroleum Products (billion 2016 dollars)</t>
  </si>
  <si>
    <t xml:space="preserve">   1/ Includes lease condensate.</t>
  </si>
  <si>
    <t xml:space="preserve">   2/ Strategic petroleum reserve stock additions plus unaccounted for crude oil and crude oil stock withdrawals.</t>
  </si>
  <si>
    <t xml:space="preserve">   3/ Includes other hydrocarbons and alcohols.</t>
  </si>
  <si>
    <t xml:space="preserve">   4/ The volumetric amount by which total output is greater than input due to the processing of crude oil into products which, in total,</t>
  </si>
  <si>
    <t>have a lower specific gravity than the crude oil processed.</t>
  </si>
  <si>
    <t xml:space="preserve">   5/ Includes pyrolysis oils, biomass-derived Fischer-Tropsch liquids, biobutanol, and renewable feedstocks used for the</t>
  </si>
  <si>
    <t>on-site production of diesel and gasoline.</t>
  </si>
  <si>
    <t xml:space="preserve">   6/ Includes domestic sources of other blending components, other hydrocarbons, and ethers.</t>
  </si>
  <si>
    <t xml:space="preserve">   7/ Total crude supply, net product imports, refinery processing gain, product stock withdrawal, natural gas plant liquids, supply from</t>
  </si>
  <si>
    <t>renewable sources, liquids from gas, liquids from coal, and other supply.</t>
  </si>
  <si>
    <t xml:space="preserve">   8/ Includes ethane, natural gasoline, and refinery olefins.</t>
  </si>
  <si>
    <t xml:space="preserve">   9/ Includes ethanol and ethers blended into gasoline.</t>
  </si>
  <si>
    <t xml:space="preserve">   10/ E85 refers to a blend of 85 percent ethanol (renewable) and 15 percent motor gasoline (nonrenewable).  To address cold starting</t>
  </si>
  <si>
    <t>issues, the percentage of ethanol varies seasonally.  The annual average ethanol content of 74 percent is used for these projections.</t>
  </si>
  <si>
    <t xml:space="preserve">   11/ Includes only kerosene type.</t>
  </si>
  <si>
    <t xml:space="preserve">   12/ Includes distillate fuel oil from petroleum and biomass feedstocks.</t>
  </si>
  <si>
    <t xml:space="preserve">   13/ Includes kerosene, aviation gasoline, petrochemical feedstocks, lubricants, waxes, asphalt, road oil, still gas,</t>
  </si>
  <si>
    <t>special naphthas, petroleum coke, crude oil product supplied, methanol, and miscellaneous petroleum products.</t>
  </si>
  <si>
    <t xml:space="preserve">   14/ Includes energy for combined heat and power plants that have a non-regulatory status, and small on-site generating systems.</t>
  </si>
  <si>
    <t xml:space="preserve">   15/ Includes consumption of energy by electricity-only and combined heat and power plants that have a regulatory status.</t>
  </si>
  <si>
    <t xml:space="preserve">   16/ Represents consumption unattributed to the sectors above.</t>
  </si>
  <si>
    <t xml:space="preserve">   17/ Balancing item. Includes unaccounted for supply, losses, and gains.</t>
  </si>
  <si>
    <t xml:space="preserve">   18/ End-of-year operable capacity.</t>
  </si>
  <si>
    <t xml:space="preserve">   19/ Rate is calculated by dividing the gross annual input to atmospheric crude oil distillation units by their</t>
  </si>
  <si>
    <t>operable refining capacity in barrels per calendar day.</t>
  </si>
  <si>
    <t xml:space="preserve">   Note:  Totals may not equal sum of components due to independent rounding.  Data for 2015</t>
  </si>
  <si>
    <t>are model results and may differ from official EIA data reports.</t>
  </si>
  <si>
    <t xml:space="preserve">   Sources:  2015 product supplied based on:  U.S. Energy Information Administration (EIA), Monthly Energy</t>
  </si>
  <si>
    <t>Review, October 2016.  Other 2015 data:  EIA, Petroleum Supply Annual 2015.</t>
  </si>
  <si>
    <t>Future Projections (Thousand Barrels/Year)</t>
  </si>
  <si>
    <t xml:space="preserve">     Crude Oil Production</t>
  </si>
  <si>
    <t xml:space="preserve">     Crude Oil Refining</t>
  </si>
  <si>
    <t>CH4 (kt)</t>
  </si>
  <si>
    <t>CO2 (MMT)</t>
  </si>
  <si>
    <t>CH4 (kt) - Production</t>
  </si>
  <si>
    <t>CH4 (kt) - Transportation</t>
  </si>
  <si>
    <t>CH4 (kt) - Refining</t>
  </si>
  <si>
    <t>CO2 (MMt) - Refining</t>
  </si>
  <si>
    <t>CO2 (MMt) - Production</t>
  </si>
  <si>
    <t>Pollutant &amp; Process</t>
  </si>
  <si>
    <t>Metallurgical Coke Production - CO2 (kt)</t>
  </si>
  <si>
    <t>Iron and Steel Production - CO2 (kt)</t>
  </si>
  <si>
    <t>Iron and Steel Production - CH4 (kt)</t>
  </si>
  <si>
    <t>ISM000</t>
  </si>
  <si>
    <t>24. Industrial Sector Macroeconomic Indicators</t>
  </si>
  <si>
    <t xml:space="preserve"> Indicators</t>
  </si>
  <si>
    <t>ISM000:ba_GDP(billionm_</t>
  </si>
  <si>
    <t>Gross Domestic Product (billion 2009 dollars)</t>
  </si>
  <si>
    <t>ISM000:ca_NonfarmEmploy</t>
  </si>
  <si>
    <t>Nonfarm Employment (millions)</t>
  </si>
  <si>
    <t>Nonmanufacturing Sector</t>
  </si>
  <si>
    <t>ISM000:ea_Agricultural</t>
  </si>
  <si>
    <t xml:space="preserve">  Agriculture/Forestry/Fishing/Hunting</t>
  </si>
  <si>
    <t>ISM000:ea_Mining</t>
  </si>
  <si>
    <t xml:space="preserve">  Mining</t>
  </si>
  <si>
    <t>ISM000:ea_Construction</t>
  </si>
  <si>
    <t xml:space="preserve">  Construction</t>
  </si>
  <si>
    <t>Manufacturing Sector</t>
  </si>
  <si>
    <t>ISM000:fa_FoodandKindre</t>
  </si>
  <si>
    <t xml:space="preserve">  Food Products</t>
  </si>
  <si>
    <t>ISM000:fa_BeveragesandT</t>
  </si>
  <si>
    <t xml:space="preserve">  Beverages and Tobacco Products</t>
  </si>
  <si>
    <t>ISM000:fa_TextileMillPr</t>
  </si>
  <si>
    <t xml:space="preserve">  Textile Mills and Products</t>
  </si>
  <si>
    <t>ISM000:fa_LumberandWood</t>
  </si>
  <si>
    <t xml:space="preserve">  Wood Products</t>
  </si>
  <si>
    <t>ISM000:fa_FurnitureandF</t>
  </si>
  <si>
    <t xml:space="preserve">  Furniture and Related Products</t>
  </si>
  <si>
    <t>ISM000:fa_PaperandAllie</t>
  </si>
  <si>
    <t xml:space="preserve">  Paper Products</t>
  </si>
  <si>
    <t>ISM000:fa_PrintingandPu</t>
  </si>
  <si>
    <t xml:space="preserve">  Printing</t>
  </si>
  <si>
    <t>ISM000:fa_ChemicalandAl</t>
  </si>
  <si>
    <t xml:space="preserve">  Chemical Manufacturing</t>
  </si>
  <si>
    <t>ISM000:fa_BulkChemicals</t>
  </si>
  <si>
    <t xml:space="preserve">    Bulk Chemicals</t>
  </si>
  <si>
    <t>ISM000:fa_Inorganic</t>
  </si>
  <si>
    <t xml:space="preserve">      Inorganic</t>
  </si>
  <si>
    <t>ISM000:fa_Organic</t>
  </si>
  <si>
    <t xml:space="preserve">      Organic</t>
  </si>
  <si>
    <t>ISM000:fa_Resins</t>
  </si>
  <si>
    <t xml:space="preserve">      Resin, Synthetic Rubber, and Fibers</t>
  </si>
  <si>
    <t>ISM000:fa_AgriculturalC</t>
  </si>
  <si>
    <t xml:space="preserve">      Agricultural Chemicals</t>
  </si>
  <si>
    <t>ISM000:fa_OtherChemical</t>
  </si>
  <si>
    <t xml:space="preserve">    Other Chemical Products</t>
  </si>
  <si>
    <t>ISM000:fa_PetroleumandC</t>
  </si>
  <si>
    <t xml:space="preserve">  Petroleum and Coal Products</t>
  </si>
  <si>
    <t>ISM000:fa_PetroleumRefi</t>
  </si>
  <si>
    <t xml:space="preserve">    Petroleum Refineries</t>
  </si>
  <si>
    <t>ISM000:fa_OtherPetroleu</t>
  </si>
  <si>
    <t xml:space="preserve">    Other Petroleum and Coal Products</t>
  </si>
  <si>
    <t>ISM000:fa_RubberandMisc</t>
  </si>
  <si>
    <t xml:space="preserve">  Plastics and Rubber Products</t>
  </si>
  <si>
    <t>ISM000:fa_Stone,Clay,an</t>
  </si>
  <si>
    <t xml:space="preserve">  Stone, Clay, and Glass Products</t>
  </si>
  <si>
    <t>ISM000:fa_GlassandGlass</t>
  </si>
  <si>
    <t xml:space="preserve">    Glass and Glass Products</t>
  </si>
  <si>
    <t>ISM000:fa_CementandHydr</t>
  </si>
  <si>
    <t xml:space="preserve">    Cement and Lime</t>
  </si>
  <si>
    <t>ISM000:fa_OtherStone,Cl</t>
  </si>
  <si>
    <t xml:space="preserve">    Other Nonmetallic Mineral Products</t>
  </si>
  <si>
    <t>ISM000:ga_PrimaryMetals</t>
  </si>
  <si>
    <t xml:space="preserve">  Primary Metals Industry</t>
  </si>
  <si>
    <t>ISM000:ga_BlastFurnacea</t>
  </si>
  <si>
    <t xml:space="preserve">    Iron and Steel Mills and Products</t>
  </si>
  <si>
    <t>ISM000:ga_Aluminum</t>
  </si>
  <si>
    <t xml:space="preserve">    Alumina and Aluminum Products</t>
  </si>
  <si>
    <t>ISM000:ga_OtherPrimaryM</t>
  </si>
  <si>
    <t xml:space="preserve">    Other Primary Metal Products</t>
  </si>
  <si>
    <t>ISM000:ga_FabricatedMet</t>
  </si>
  <si>
    <t xml:space="preserve">  Fabricated Metal Products</t>
  </si>
  <si>
    <t>ISM000:ga_IndustrialMac</t>
  </si>
  <si>
    <t xml:space="preserve">  Machinery</t>
  </si>
  <si>
    <t>ISM000:ga_Electronicand</t>
  </si>
  <si>
    <t xml:space="preserve">  Computers and Electronics</t>
  </si>
  <si>
    <t>ISM000:ga_Transportatio</t>
  </si>
  <si>
    <t xml:space="preserve">  Transportation Equipment</t>
  </si>
  <si>
    <t>ISM000:ga_Instrumentsan</t>
  </si>
  <si>
    <t xml:space="preserve">  Electrical Equipment</t>
  </si>
  <si>
    <t>ISM000:ga_Miscellaneous</t>
  </si>
  <si>
    <t xml:space="preserve">  Miscellaneous Manufacturing</t>
  </si>
  <si>
    <t>ISM000:ha_TotalIndustri</t>
  </si>
  <si>
    <t>Total Industrial Value of Shipments</t>
  </si>
  <si>
    <t xml:space="preserve">   Note:  Totals may not equal sum of components due to independent rounding.</t>
  </si>
  <si>
    <t xml:space="preserve">   Source:  2015 and 2016:  IHS Markit, Macroeconomic, Industry, and Employment models, August 2016.</t>
  </si>
  <si>
    <t>Projections:  U.S. Energy Information Administration, AEO2017 National Energy Modeling System run ref2017.d120816a.</t>
  </si>
  <si>
    <t>Projected Emissions</t>
  </si>
  <si>
    <t>Non-Feedstock</t>
  </si>
  <si>
    <t>Historical HCFC-22 Production (kt)</t>
  </si>
  <si>
    <t>Feedstock</t>
  </si>
  <si>
    <t>Emissions Factor</t>
  </si>
  <si>
    <t>kg HFC23/kg HCFC22</t>
  </si>
  <si>
    <t>Production Estimates</t>
  </si>
  <si>
    <t>Emissions Estimates</t>
  </si>
  <si>
    <t>Total (kt)</t>
  </si>
  <si>
    <t>Total (MMT CO2e)</t>
  </si>
  <si>
    <t>Dairy Cattle</t>
  </si>
  <si>
    <t>Beef Cattle</t>
  </si>
  <si>
    <t>Swine</t>
  </si>
  <si>
    <t>Sheep</t>
  </si>
  <si>
    <t>Goats</t>
  </si>
  <si>
    <t>Horses</t>
  </si>
  <si>
    <t>American bison</t>
  </si>
  <si>
    <t>Mules, burros, and donkeys</t>
  </si>
  <si>
    <t>https://www.usda.gov/oce/commodity/projections/USDA_Agricultural_Projections_to_2026.pdf</t>
  </si>
  <si>
    <t>Thousand Head</t>
  </si>
  <si>
    <t>http://usda.mannlib.cornell.edu/MannUsda/viewDocumentInfo.do?documentID=1145</t>
  </si>
  <si>
    <t>2015 emissions data used</t>
  </si>
  <si>
    <t>extrapolation</t>
  </si>
  <si>
    <t>Animal Inventory and Projections</t>
  </si>
  <si>
    <t>Dairy Cows*</t>
  </si>
  <si>
    <t>Beef Cows*</t>
  </si>
  <si>
    <t>Average</t>
  </si>
  <si>
    <t>Dairy Cows</t>
  </si>
  <si>
    <t>Beef Cows</t>
  </si>
  <si>
    <t>Animal</t>
  </si>
  <si>
    <t>Assumed Emissions Factors for Enteric Fermentation (kg CH4/head/year)</t>
  </si>
  <si>
    <t>Historical Emissions from Enteric Fermentation - CH4 (kt)</t>
  </si>
  <si>
    <t>Historical and Projected Emissions Factors for Enteric Fermentation- CH4 (kt/thousand head)</t>
  </si>
  <si>
    <t>Poultry</t>
  </si>
  <si>
    <t>Poultry (million lbs)*</t>
  </si>
  <si>
    <t>Projected Enteric Fermentation Emissions (kt CH4)</t>
  </si>
  <si>
    <t>Historical CH4 Emissions from Manure Management (kt)</t>
  </si>
  <si>
    <t>Historical N2O Emissions from Manure Management (kt)</t>
  </si>
  <si>
    <t>n/a</t>
  </si>
  <si>
    <t>Emissions Factors for CH4 (kt/thousand head or kt/million pounds)</t>
  </si>
  <si>
    <t>Historical Emissions Factors for N2O (kt/thousand head or kt/million pounds)</t>
  </si>
  <si>
    <t>Emissions Factors for CH4 (kt/thousand head)</t>
  </si>
  <si>
    <t>Emissions Factors for N2O (kt/thousand head)</t>
  </si>
  <si>
    <t>Projected Manure Management CH4 Emissions (kt)</t>
  </si>
  <si>
    <t>&lt;-adjusted for data</t>
  </si>
  <si>
    <t>Projected Manure Management N2O Emissions (kt)</t>
  </si>
  <si>
    <t>Projected Harvested Area</t>
  </si>
  <si>
    <t>Million acres</t>
  </si>
  <si>
    <t>1000 Hectares</t>
  </si>
  <si>
    <t>Historical Rice Area Harvested and Emissions</t>
  </si>
  <si>
    <t>CH4 Emissions (kt)</t>
  </si>
  <si>
    <t>Average Emissions Factor</t>
  </si>
  <si>
    <t>CH4 (kt/1000 acres)</t>
  </si>
  <si>
    <r>
      <rPr>
        <b/>
        <sz val="10"/>
        <rFont val="Tahoma"/>
        <family val="2"/>
      </rPr>
      <t>Table 5-17: Direct N</t>
    </r>
    <r>
      <rPr>
        <b/>
        <sz val="7"/>
        <rFont val="Tahoma"/>
        <family val="2"/>
      </rPr>
      <t>2</t>
    </r>
    <r>
      <rPr>
        <b/>
        <sz val="10"/>
        <rFont val="Tahoma"/>
        <family val="2"/>
      </rPr>
      <t>O Emissions from Agricultural Soils by Land Use Type and N Input Type</t>
    </r>
  </si>
  <si>
    <r>
      <rPr>
        <b/>
        <sz val="10"/>
        <rFont val="Tahoma"/>
        <family val="2"/>
      </rPr>
      <t>(MMT CO</t>
    </r>
    <r>
      <rPr>
        <b/>
        <sz val="7"/>
        <rFont val="Tahoma"/>
        <family val="2"/>
      </rPr>
      <t xml:space="preserve">2 </t>
    </r>
    <r>
      <rPr>
        <b/>
        <sz val="10"/>
        <rFont val="Tahoma"/>
        <family val="2"/>
      </rPr>
      <t>Eq.)</t>
    </r>
  </si>
  <si>
    <r>
      <rPr>
        <b/>
        <sz val="9"/>
        <rFont val="Times New Roman"/>
        <family val="1"/>
      </rPr>
      <t>Cropland</t>
    </r>
  </si>
  <si>
    <r>
      <rPr>
        <b/>
        <sz val="9"/>
        <rFont val="Times New Roman"/>
        <family val="1"/>
      </rPr>
      <t>Mineral Soils</t>
    </r>
  </si>
  <si>
    <r>
      <rPr>
        <sz val="9"/>
        <rFont val="Times New Roman"/>
        <family val="1"/>
      </rPr>
      <t>Synthetic Fertilizer</t>
    </r>
  </si>
  <si>
    <r>
      <rPr>
        <sz val="9"/>
        <rFont val="Times New Roman"/>
        <family val="1"/>
      </rPr>
      <t>Organic Amendment</t>
    </r>
    <r>
      <rPr>
        <sz val="6"/>
        <rFont val="Times New Roman"/>
        <family val="1"/>
      </rPr>
      <t>a</t>
    </r>
  </si>
  <si>
    <r>
      <rPr>
        <sz val="9"/>
        <rFont val="Times New Roman"/>
        <family val="1"/>
      </rPr>
      <t>Residue N</t>
    </r>
    <r>
      <rPr>
        <sz val="6"/>
        <rFont val="Times New Roman"/>
        <family val="1"/>
      </rPr>
      <t>b</t>
    </r>
  </si>
  <si>
    <r>
      <rPr>
        <sz val="9"/>
        <rFont val="Times New Roman"/>
        <family val="1"/>
      </rPr>
      <t>Mineralization and Asymbiotic Fixation</t>
    </r>
  </si>
  <si>
    <r>
      <rPr>
        <b/>
        <sz val="9"/>
        <rFont val="Times New Roman"/>
        <family val="1"/>
      </rPr>
      <t>Drained Organic Soils</t>
    </r>
  </si>
  <si>
    <r>
      <rPr>
        <b/>
        <sz val="9"/>
        <rFont val="Times New Roman"/>
        <family val="1"/>
      </rPr>
      <t>Grassland</t>
    </r>
  </si>
  <si>
    <r>
      <rPr>
        <sz val="9"/>
        <rFont val="Times New Roman"/>
        <family val="1"/>
      </rPr>
      <t>PRP Manure</t>
    </r>
  </si>
  <si>
    <r>
      <rPr>
        <sz val="9"/>
        <rFont val="Times New Roman"/>
        <family val="1"/>
      </rPr>
      <t>Managed Manure</t>
    </r>
    <r>
      <rPr>
        <sz val="6"/>
        <rFont val="Times New Roman"/>
        <family val="1"/>
      </rPr>
      <t>c</t>
    </r>
  </si>
  <si>
    <r>
      <rPr>
        <sz val="9"/>
        <rFont val="Times New Roman"/>
        <family val="1"/>
      </rPr>
      <t>Biosolids (i.e., Sewage Sludge)</t>
    </r>
  </si>
  <si>
    <r>
      <rPr>
        <sz val="9"/>
        <rFont val="Times New Roman"/>
        <family val="1"/>
      </rPr>
      <t>Residue N</t>
    </r>
    <r>
      <rPr>
        <sz val="6"/>
        <rFont val="Times New Roman"/>
        <family val="1"/>
      </rPr>
      <t>d</t>
    </r>
  </si>
  <si>
    <r>
      <rPr>
        <sz val="6"/>
        <rFont val="Times New Roman"/>
        <family val="1"/>
      </rPr>
      <t xml:space="preserve">a </t>
    </r>
    <r>
      <rPr>
        <sz val="9"/>
        <rFont val="Times New Roman"/>
        <family val="1"/>
      </rPr>
      <t>Organic amendment inputs include managed manure, daily spread manure, and commercial organic fertilizers (i.e., dried blood, dried manure, tankage, compost, and other).</t>
    </r>
  </si>
  <si>
    <r>
      <rPr>
        <b/>
        <sz val="10"/>
        <rFont val="Tahoma"/>
        <family val="2"/>
      </rPr>
      <t>Table 5-18: Indirect N</t>
    </r>
    <r>
      <rPr>
        <b/>
        <sz val="7"/>
        <rFont val="Tahoma"/>
        <family val="2"/>
      </rPr>
      <t>2</t>
    </r>
    <r>
      <rPr>
        <b/>
        <sz val="10"/>
        <rFont val="Tahoma"/>
        <family val="2"/>
      </rPr>
      <t>O Emissions from Agricultural Soils (MMT CO</t>
    </r>
    <r>
      <rPr>
        <b/>
        <sz val="7"/>
        <rFont val="Tahoma"/>
        <family val="2"/>
      </rPr>
      <t xml:space="preserve">2 </t>
    </r>
    <r>
      <rPr>
        <b/>
        <sz val="10"/>
        <rFont val="Tahoma"/>
        <family val="2"/>
      </rPr>
      <t>Eq.)</t>
    </r>
  </si>
  <si>
    <r>
      <rPr>
        <sz val="9"/>
        <rFont val="Times New Roman"/>
        <family val="1"/>
      </rPr>
      <t>Volatilization &amp; Atm. Deposition</t>
    </r>
  </si>
  <si>
    <r>
      <rPr>
        <sz val="9"/>
        <rFont val="Times New Roman"/>
        <family val="1"/>
      </rPr>
      <t>Surface Leaching &amp; Run-Off</t>
    </r>
  </si>
  <si>
    <r>
      <rPr>
        <sz val="9"/>
        <rFont val="Times New Roman"/>
        <family val="1"/>
      </rPr>
      <t xml:space="preserve">Volatilization &amp; Atm.
</t>
    </r>
    <r>
      <rPr>
        <sz val="9"/>
        <rFont val="Times New Roman"/>
        <family val="1"/>
      </rPr>
      <t>Deposition</t>
    </r>
  </si>
  <si>
    <r>
      <rPr>
        <sz val="9"/>
        <rFont val="Times New Roman"/>
        <family val="1"/>
      </rPr>
      <t>Note: Totals may not sum due to independent rounding.</t>
    </r>
  </si>
  <si>
    <t>EPA GHG Grouping</t>
  </si>
  <si>
    <t>Fertilizer Use</t>
  </si>
  <si>
    <t>Livestock Production</t>
  </si>
  <si>
    <t>Crop Production</t>
  </si>
  <si>
    <t>None; held constant</t>
  </si>
  <si>
    <t>Scaled to Direct Emissions Value</t>
  </si>
  <si>
    <t>Historic Emissions</t>
  </si>
  <si>
    <t>Tier 3 Crops</t>
  </si>
  <si>
    <t>Historic Synthetic Fertilizer Use (kt N)</t>
  </si>
  <si>
    <t>Tier 1 Crops</t>
  </si>
  <si>
    <t>Total (**projections held constant)</t>
  </si>
  <si>
    <t>HFC-23</t>
  </si>
  <si>
    <t>MEI000</t>
  </si>
  <si>
    <t>20. Macroeconomic Indicators</t>
  </si>
  <si>
    <t>(billion 2009 chain-weighted dollars, unless otherwise noted)</t>
  </si>
  <si>
    <t>MEI000:ba_RealGrossDome</t>
  </si>
  <si>
    <t>Real Gross Domestic Product</t>
  </si>
  <si>
    <t>Components of Real Gross Domestic Product</t>
  </si>
  <si>
    <t>MEI000:ba_RealConsumpti</t>
  </si>
  <si>
    <t xml:space="preserve">  Real Consumption</t>
  </si>
  <si>
    <t>MEI000:ba_RealInvestmen</t>
  </si>
  <si>
    <t xml:space="preserve">  Real Investment</t>
  </si>
  <si>
    <t>MEI000:ba_RealGovernmen</t>
  </si>
  <si>
    <t xml:space="preserve">  Real Government Spending</t>
  </si>
  <si>
    <t>MEI000:ba_RealExports</t>
  </si>
  <si>
    <t xml:space="preserve">  Real Exports</t>
  </si>
  <si>
    <t>MEI000:ba_RealImports</t>
  </si>
  <si>
    <t xml:space="preserve">  Real Imports</t>
  </si>
  <si>
    <t>Energy Intensity</t>
  </si>
  <si>
    <t xml:space="preserve"> (thousand Btu per 2009 dollar of GDP)</t>
  </si>
  <si>
    <t>MEI000:ca_DeliveredEner</t>
  </si>
  <si>
    <t xml:space="preserve">  Delivered Energy</t>
  </si>
  <si>
    <t>MEI000:ca_TotalEnergy</t>
  </si>
  <si>
    <t xml:space="preserve">  Total Energy</t>
  </si>
  <si>
    <t>Price Indices</t>
  </si>
  <si>
    <t>MEI000:da_GDPChain-Type</t>
  </si>
  <si>
    <t xml:space="preserve">  GDP Chain-type Price Index (2009=1.000)</t>
  </si>
  <si>
    <t xml:space="preserve">  Consumer Price Index (1982-84=1.00)</t>
  </si>
  <si>
    <t>MEI000:da_ConsumerPrice</t>
  </si>
  <si>
    <t xml:space="preserve">    All-urban</t>
  </si>
  <si>
    <t>MEI000:da_ConEnCom&amp;Serv</t>
  </si>
  <si>
    <t xml:space="preserve">    Energy Commodities and Services</t>
  </si>
  <si>
    <t xml:space="preserve">  Wholesale Price Index (1982=1.00)</t>
  </si>
  <si>
    <t>MEI000:da_AllCommoditie</t>
  </si>
  <si>
    <t xml:space="preserve">    All Commodities</t>
  </si>
  <si>
    <t>MEI000:da_FuelandPower</t>
  </si>
  <si>
    <t xml:space="preserve">    Fuel and Power</t>
  </si>
  <si>
    <t>MEI000:da_MetalProduct</t>
  </si>
  <si>
    <t xml:space="preserve">    Metals and Metal Products</t>
  </si>
  <si>
    <t>MEI000:da_IndComExEnrgy</t>
  </si>
  <si>
    <t xml:space="preserve">    Industrial Commodities excluding Energy</t>
  </si>
  <si>
    <t>Interest Rates (percent, nominal)</t>
  </si>
  <si>
    <t>MEI000:ea_FederalFundsR</t>
  </si>
  <si>
    <t xml:space="preserve">  Federal Funds Rate</t>
  </si>
  <si>
    <t>MEI000:ea_10-YearTreasu</t>
  </si>
  <si>
    <t xml:space="preserve">  10-Year Treasury Note</t>
  </si>
  <si>
    <t>MEI000:ea_AAUtilityBond</t>
  </si>
  <si>
    <t xml:space="preserve">  AA Utility Bond Rate</t>
  </si>
  <si>
    <t>MEI000:ja_ServiceSector</t>
  </si>
  <si>
    <t xml:space="preserve">  Non-Industrial and Service Sectors</t>
  </si>
  <si>
    <t>MEI000:ja_TotalIndustri</t>
  </si>
  <si>
    <t xml:space="preserve">  Total Industrial</t>
  </si>
  <si>
    <t>MEI000:ja_Non-Manufactu</t>
  </si>
  <si>
    <t xml:space="preserve">    Agriculture, Mining, and Construction</t>
  </si>
  <si>
    <t>MEI000:ja_Manufacturing</t>
  </si>
  <si>
    <t xml:space="preserve">    Manufacturing</t>
  </si>
  <si>
    <t>MEI000:ja_EnergyIntensi</t>
  </si>
  <si>
    <t xml:space="preserve">      Energy-Intensive</t>
  </si>
  <si>
    <t>MEI000:ja_Non-EnergyInt</t>
  </si>
  <si>
    <t xml:space="preserve">      Non-Energy-Intensive</t>
  </si>
  <si>
    <t>MEI000:ja_TotalRevenue</t>
  </si>
  <si>
    <t>Total Shipments</t>
  </si>
  <si>
    <t>Population and Employment (millions)</t>
  </si>
  <si>
    <t>MEI000:ka_Populationwit</t>
  </si>
  <si>
    <t xml:space="preserve">  Population, with Armed Forces Overseas</t>
  </si>
  <si>
    <t>MEI000:ka_Populationage</t>
  </si>
  <si>
    <t xml:space="preserve">  Population, aged 16 and over</t>
  </si>
  <si>
    <t>MEI000:ka_Populationold</t>
  </si>
  <si>
    <t xml:space="preserve">  Population, aged 65 and over</t>
  </si>
  <si>
    <t>MEI000:ka_Employment,No</t>
  </si>
  <si>
    <t xml:space="preserve">  Employment, Nonfarm</t>
  </si>
  <si>
    <t>MEI000:ka_Employment,Ma</t>
  </si>
  <si>
    <t xml:space="preserve">  Employment, Manufacturing</t>
  </si>
  <si>
    <t>Key Labor Indicators</t>
  </si>
  <si>
    <t>MEI000:ka_LaborForce</t>
  </si>
  <si>
    <t xml:space="preserve">  Labor Force (millions)</t>
  </si>
  <si>
    <t>MEI000:ka_NonFarmLabPrd</t>
  </si>
  <si>
    <t xml:space="preserve">  Nonfarm Labor Productivity (2009=1.00)</t>
  </si>
  <si>
    <t>MEI000:fa_UnemploymentR</t>
  </si>
  <si>
    <t xml:space="preserve">  Unemployment Rate (percent)</t>
  </si>
  <si>
    <t>Key Indicators for Energy Demand</t>
  </si>
  <si>
    <t>MEI000:ba_RealDisposabl</t>
  </si>
  <si>
    <t xml:space="preserve">  Real Disposable Personal Income</t>
  </si>
  <si>
    <t>MEI000:ga_HousingStarts</t>
  </si>
  <si>
    <t xml:space="preserve">  Housing Starts (millions)</t>
  </si>
  <si>
    <t>MEI000:ha_(billionsquar</t>
  </si>
  <si>
    <t xml:space="preserve">  Commercial Floorspace (billion square feet)</t>
  </si>
  <si>
    <t>MEI000:ia_UnitSalesofLi</t>
  </si>
  <si>
    <t xml:space="preserve">  Unit Sales of Light-Duty Vehicles (millions)</t>
  </si>
  <si>
    <t xml:space="preserve">   GDP = Gross domestic product.</t>
  </si>
  <si>
    <t xml:space="preserve">   Sources:  2015 and 2016:  IHS Markit, Macroeconomic, Industry, and Employment models, August 2016.</t>
  </si>
  <si>
    <t>Projections:  U.S. Energy Information Administration, AEO2017 National Energy Modeling System run ref_no_cpp.d120816a.</t>
  </si>
  <si>
    <t>Global Warming Potentials</t>
  </si>
  <si>
    <t>Corn</t>
  </si>
  <si>
    <t>Sorghum</t>
  </si>
  <si>
    <t>Barley</t>
  </si>
  <si>
    <t>Oats</t>
  </si>
  <si>
    <t>Wheat</t>
  </si>
  <si>
    <t>Rice</t>
  </si>
  <si>
    <t>Upland cotton</t>
  </si>
  <si>
    <t>Soybeans</t>
  </si>
  <si>
    <t>Sugarbeets</t>
  </si>
  <si>
    <t>Sugarcane</t>
  </si>
  <si>
    <t>Million Acres</t>
  </si>
  <si>
    <t>Dry Matter Fraction</t>
  </si>
  <si>
    <t>Projected Emissions from Synthetic Fertilizer Use (kt N2O)</t>
  </si>
  <si>
    <t>Nitrogen from Crop Residues</t>
  </si>
  <si>
    <t>&lt;- assumed 0.89</t>
  </si>
  <si>
    <t>N Content of Above Ground Dry Matter Resdiues to Harvested Crop</t>
  </si>
  <si>
    <t>&lt;- assumed 0.007</t>
  </si>
  <si>
    <t>Ratio of Below-Ground Dry Matter Residues to Harvested Yield</t>
  </si>
  <si>
    <t>&lt;- assumed 0.2</t>
  </si>
  <si>
    <t>N Content of Below Ground Residue</t>
  </si>
  <si>
    <t>&lt;0- assumed 0.01</t>
  </si>
  <si>
    <t>Estimated Nitrogen Crop Residues</t>
  </si>
  <si>
    <t>Estimated Emissions</t>
  </si>
  <si>
    <t>kt N2O</t>
  </si>
  <si>
    <t>Nitrogen Excretion Rate (kg N/1000 kg animal mass/day)</t>
  </si>
  <si>
    <t>Average Weight (kg)</t>
  </si>
  <si>
    <t>Nitrogen (kt N)</t>
  </si>
  <si>
    <t>Estimated Nitrogen Deposition</t>
  </si>
  <si>
    <t>N2O (kt)</t>
  </si>
  <si>
    <t>http://www.ipcc-nggip.iges.or.jp/public/2006gl/pdf/4_Volume4/V4_10_Ch10_Livestock.pdf</t>
  </si>
  <si>
    <t>Total Emissions</t>
  </si>
  <si>
    <t>"None"</t>
  </si>
  <si>
    <t>Indirect Emissions</t>
  </si>
  <si>
    <t>Total (kt N2O)</t>
  </si>
  <si>
    <t>n/a (covered in model)</t>
  </si>
  <si>
    <t>Non-Energy Use of Fossil Fuels (CO2)</t>
  </si>
  <si>
    <t>Coal Mining (CH4)</t>
  </si>
  <si>
    <t>Natural Gas System (CH4 and CO2)</t>
  </si>
  <si>
    <t>Petroleum Systems (CH4 and CO2)</t>
  </si>
  <si>
    <t>Cement Production (CO2)</t>
  </si>
  <si>
    <t>Adipic Acid Production (N2O)</t>
  </si>
  <si>
    <t>Iron and Steel Production and Metallurgical Coke Production (CO2 and CH4)</t>
  </si>
  <si>
    <t>Aluminum Production (CO2 and PFCs)</t>
  </si>
  <si>
    <t>Historical Primary Production</t>
  </si>
  <si>
    <t>kt Aluminum</t>
  </si>
  <si>
    <t>Historical Emissions</t>
  </si>
  <si>
    <t>PFCs (MMT CO2e)</t>
  </si>
  <si>
    <t>Historical Emissions Factors</t>
  </si>
  <si>
    <t>CO2 (MMT/kt production)</t>
  </si>
  <si>
    <t>PFCs (MMT CO2e/kt production)</t>
  </si>
  <si>
    <t>2020 Emissions Target</t>
  </si>
  <si>
    <t>CO2 (MMT CO2e)</t>
  </si>
  <si>
    <t>F-Gases (MMT CO2e)</t>
  </si>
  <si>
    <t>Historical and Projected Emissions</t>
  </si>
  <si>
    <t>Annual Manufacturing Growth Rate</t>
  </si>
  <si>
    <t>F gases (MMT CO2e)</t>
  </si>
  <si>
    <t>Percent Improvement in Emissions Intensity for New Facilities</t>
  </si>
  <si>
    <t>&lt;assumption due to limited data availability</t>
  </si>
  <si>
    <t>https://www.epa.gov/sites/production/files/2017-02/documents/2017_annex_3-_part_b.pdf</t>
  </si>
  <si>
    <t>MSW Landfills</t>
  </si>
  <si>
    <t>Industrial Landfills</t>
  </si>
  <si>
    <t>Industrial CH4 Oxidized</t>
  </si>
  <si>
    <t>CH4 from MSW Landfills (kt)</t>
  </si>
  <si>
    <t>kt CH4</t>
  </si>
  <si>
    <t>CH4 from Industiral Landfills (kt)</t>
  </si>
  <si>
    <t>Total (kt CH4)</t>
  </si>
  <si>
    <t>Population Projection</t>
  </si>
  <si>
    <t>Persons</t>
  </si>
  <si>
    <t>On-site Treatment</t>
  </si>
  <si>
    <t>Inputs</t>
  </si>
  <si>
    <t>Emissions Factor (g CH4/capita/day)</t>
  </si>
  <si>
    <t>Population</t>
  </si>
  <si>
    <t>Population (million)</t>
  </si>
  <si>
    <t>On-site Septic Systems (CH4)</t>
  </si>
  <si>
    <t>Centrally Treated Aerobic and Anaerobic Systems (CH4)</t>
  </si>
  <si>
    <t>Anaerobic Digesters (CH4)</t>
  </si>
  <si>
    <t>Effluent Discharge (N2O)</t>
  </si>
  <si>
    <t>Historical Data</t>
  </si>
  <si>
    <t>Population (ND)</t>
  </si>
  <si>
    <t>WWTP Population</t>
  </si>
  <si>
    <t>Available Protein</t>
  </si>
  <si>
    <t>Proteint Consumed</t>
  </si>
  <si>
    <t>N Removed</t>
  </si>
  <si>
    <t>Projections</t>
  </si>
  <si>
    <t>Percent of US pop using central treament plants</t>
  </si>
  <si>
    <t>Per capita protein consumption</t>
  </si>
  <si>
    <t>Fraction of N in protein</t>
  </si>
  <si>
    <t>Factor for non-consumed protein added to wastewater</t>
  </si>
  <si>
    <t>Factor for industrial and commercial co-discharged protein into sewer system</t>
  </si>
  <si>
    <t>Population served by biological denitrificaiton</t>
  </si>
  <si>
    <t>Emissions factor for effluent</t>
  </si>
  <si>
    <t>Central Treatment Systems/Plants</t>
  </si>
  <si>
    <t>Protein Consumed</t>
  </si>
  <si>
    <t>Amount of N removed with sludge</t>
  </si>
  <si>
    <t>Emissions factor for plant with biological denitrification</t>
  </si>
  <si>
    <t>Emissions factor for plant without biological denitrification</t>
  </si>
  <si>
    <t>All values are given in Tg CO2e (equivalent to million metric tons).</t>
  </si>
  <si>
    <t>Cement and other carbonates</t>
  </si>
  <si>
    <t>Cement and other carbonates, process CO2</t>
  </si>
  <si>
    <t>Natural gas and petroleum systems</t>
  </si>
  <si>
    <t>Natural gas and petroleum systems, CH4</t>
  </si>
  <si>
    <t>Natural gas and petroleum systems, process CO2</t>
  </si>
  <si>
    <t>Iron and steel</t>
  </si>
  <si>
    <t>Iron and steel, process CO2</t>
  </si>
  <si>
    <t>Chemicals, N2O</t>
  </si>
  <si>
    <t>Chemicals, F-gases</t>
  </si>
  <si>
    <t>Chemicals, process CO2</t>
  </si>
  <si>
    <t>High GWP emissions from the production of HCFC-22</t>
  </si>
  <si>
    <t>High GWP emissions from ODS substitutes</t>
  </si>
  <si>
    <t>Coal mining</t>
  </si>
  <si>
    <t>Coal mining, CH4</t>
  </si>
  <si>
    <t>Waste management, N2O</t>
  </si>
  <si>
    <t>Waste management, CH4</t>
  </si>
  <si>
    <t>N2O emissions from human sewage - domestic wastewater</t>
  </si>
  <si>
    <t>Agriculture, N2O</t>
  </si>
  <si>
    <t>Agriculture, CH4</t>
  </si>
  <si>
    <t>N2O emissions from manure management</t>
  </si>
  <si>
    <t>CH4 emissions from rice cultivation</t>
  </si>
  <si>
    <t>CH4 emissions from enteric fermentation</t>
  </si>
  <si>
    <t>CH4 emissions from manure management</t>
  </si>
  <si>
    <t>Other industries</t>
  </si>
  <si>
    <t>Other industries, F-gases</t>
  </si>
  <si>
    <t>Other industries, process CO2</t>
  </si>
  <si>
    <t>High GWP emissions from the manufacture of semiconductors</t>
  </si>
  <si>
    <t>High GWP emissions from aluminum</t>
  </si>
  <si>
    <t>High GWP emissions from magnesium manufacturing</t>
  </si>
  <si>
    <t>High GWP emissions from electric power systems</t>
  </si>
  <si>
    <t>Cement and other carbonates (g CO2e)</t>
  </si>
  <si>
    <t>Natural gas and petroleum systems (g CO2e)</t>
  </si>
  <si>
    <t>Iron and steel (g CO2e)</t>
  </si>
  <si>
    <t>Chemicals (g CO2e)</t>
  </si>
  <si>
    <t>Mining (g CO2e)</t>
  </si>
  <si>
    <t>Waste management (g CO2e)</t>
  </si>
  <si>
    <t>Agriculture (g CO2e)</t>
  </si>
  <si>
    <t>Other industries (g CO2e)</t>
  </si>
  <si>
    <t>CH4 emissions from petroleum systems</t>
  </si>
  <si>
    <t>CH4 emissions from natural gas systems</t>
  </si>
  <si>
    <t xml:space="preserve">   CO2 from petroleum sysems</t>
  </si>
  <si>
    <t>CO2</t>
  </si>
  <si>
    <t>VOC</t>
  </si>
  <si>
    <t>CO</t>
  </si>
  <si>
    <t>NOx</t>
  </si>
  <si>
    <t>PM10</t>
  </si>
  <si>
    <t>PM25</t>
  </si>
  <si>
    <t>SOx</t>
  </si>
  <si>
    <t>BC</t>
  </si>
  <si>
    <t>OC</t>
  </si>
  <si>
    <t>CH4</t>
  </si>
  <si>
    <t>N2O</t>
  </si>
  <si>
    <t>F gases</t>
  </si>
  <si>
    <t>Pollutant</t>
  </si>
  <si>
    <t>Iron and steel, CH4</t>
  </si>
  <si>
    <t>N2O emissions from fertilizer use</t>
  </si>
  <si>
    <t>N2O emissions from crop residues</t>
  </si>
  <si>
    <t>N2O emissions from livestock production</t>
  </si>
  <si>
    <t>N2O emissions form other soil management</t>
  </si>
  <si>
    <t>N2O emissions from the manufacture of semiconductors</t>
  </si>
  <si>
    <t>CO2 emissions from aluminum</t>
  </si>
  <si>
    <t>CO2 emissions from magnesium manufacturing</t>
  </si>
  <si>
    <t>CH4 emissions from on-site septic systems</t>
  </si>
  <si>
    <t>CH4 emissions from centrally treated aerobic and anaerobic systems</t>
  </si>
  <si>
    <t>CH4 emissions from anaerobic digesters</t>
  </si>
  <si>
    <t>N2O emissions from effluent discharge</t>
  </si>
  <si>
    <t>Other industries, N2O</t>
  </si>
  <si>
    <t>Methodology</t>
  </si>
  <si>
    <t>Historical Clinker Inventory</t>
  </si>
  <si>
    <t>US Geological Survey</t>
  </si>
  <si>
    <t>Mineral Commodity Summaries: Cement</t>
  </si>
  <si>
    <t>2015 clinker inventory (thousand metric tons)</t>
  </si>
  <si>
    <t>https://minerals.usgs.gov/minerals/pubs/commodity/cement/mcs-2017-cemen.pdf</t>
  </si>
  <si>
    <t>Projected Value of Shipments</t>
  </si>
  <si>
    <t>Multi Sector Data</t>
  </si>
  <si>
    <t>US Environmental Protection Agency</t>
  </si>
  <si>
    <t>Inventory of U.S. Greenhouse Gas Emissions and Sinks: 1990-2015</t>
  </si>
  <si>
    <t>US Energy Information Administration</t>
  </si>
  <si>
    <t>https://www.eia.gov/outlooks/archive/aeo16/supplement/excel/suptab_23.xlsx</t>
  </si>
  <si>
    <t>Methodologies for U.S. Greenhouse Gas Emissions Projections: Non-CO2 and Non-Energy CO2 Sources</t>
  </si>
  <si>
    <t>Page 44, Equation 15</t>
  </si>
  <si>
    <t>Source for Methodology</t>
  </si>
  <si>
    <t>EPA (2013) equations 13 and 15</t>
  </si>
  <si>
    <t>CEU000</t>
  </si>
  <si>
    <t>19. Energy-Related Carbon Dioxide Emissions by End Use</t>
  </si>
  <si>
    <t>(million metric tons carbon dioxide, unless otherwise noted)</t>
  </si>
  <si>
    <t xml:space="preserve"> Sector and End Use</t>
  </si>
  <si>
    <t>Residential</t>
  </si>
  <si>
    <t>CEU000:ra_SpaceHeating</t>
  </si>
  <si>
    <t xml:space="preserve">  Space Heating</t>
  </si>
  <si>
    <t>CEU000:ra_SpaceCooling</t>
  </si>
  <si>
    <t xml:space="preserve">  Space Cooling</t>
  </si>
  <si>
    <t>CEU000:ra_WaterHeating</t>
  </si>
  <si>
    <t xml:space="preserve">  Water Heating</t>
  </si>
  <si>
    <t>CEU000:ra_Refrigeration</t>
  </si>
  <si>
    <t xml:space="preserve">  Refrigeration</t>
  </si>
  <si>
    <t>CEU000:ra_Cooking</t>
  </si>
  <si>
    <t xml:space="preserve">  Cooking</t>
  </si>
  <si>
    <t>CEU000:ra_ClothesDryers</t>
  </si>
  <si>
    <t xml:space="preserve">  Clothes Dryers</t>
  </si>
  <si>
    <t>CEU000:ra_Freezers</t>
  </si>
  <si>
    <t xml:space="preserve">  Freezers</t>
  </si>
  <si>
    <t>CEU000:ra_Lighting</t>
  </si>
  <si>
    <t xml:space="preserve">  Lighting</t>
  </si>
  <si>
    <t>CEU000:ra_ClothesWasher</t>
  </si>
  <si>
    <t xml:space="preserve">  Clothes Washers 1/</t>
  </si>
  <si>
    <t>CEU000:ra_Dishwashers</t>
  </si>
  <si>
    <t xml:space="preserve">  Dishwashers 1/</t>
  </si>
  <si>
    <t>CEU000:ra_ColorTelevisi</t>
  </si>
  <si>
    <t xml:space="preserve">  Televisions and Related Equipment 2/</t>
  </si>
  <si>
    <t>CEU000:ra_PersonalCompu</t>
  </si>
  <si>
    <t xml:space="preserve">  Computers and Related Equipment 3/</t>
  </si>
  <si>
    <t>CEU000:ra_FurnaceFans</t>
  </si>
  <si>
    <t xml:space="preserve">  Furnace Fans and Boiler Circulation Pumps</t>
  </si>
  <si>
    <t>CEU000:ra_OtherUses</t>
  </si>
  <si>
    <t xml:space="preserve">  Other Uses 4/</t>
  </si>
  <si>
    <t>CEU000:ra_Discrepancy</t>
  </si>
  <si>
    <t xml:space="preserve">  Discrepancy 5/</t>
  </si>
  <si>
    <t>CEU000:ra_Total</t>
  </si>
  <si>
    <t xml:space="preserve">    Total Residential</t>
  </si>
  <si>
    <t>CEU000:ca_SpaceHeating</t>
  </si>
  <si>
    <t xml:space="preserve">  Space Heating 6/</t>
  </si>
  <si>
    <t>CEU000:ca_SpaceCooling</t>
  </si>
  <si>
    <t xml:space="preserve">  Space Cooling 6/</t>
  </si>
  <si>
    <t>CEU000:ca_WaterHeating</t>
  </si>
  <si>
    <t xml:space="preserve">  Water Heating 6/</t>
  </si>
  <si>
    <t>CEU000:ca_Ventilation</t>
  </si>
  <si>
    <t xml:space="preserve">  Ventilation</t>
  </si>
  <si>
    <t>CEU000:ca_Cooking</t>
  </si>
  <si>
    <t>CEU000:ca_Lighting</t>
  </si>
  <si>
    <t>CEU000:ca_Refrigeration</t>
  </si>
  <si>
    <t>CEU000:ca_PCOfficeEquip</t>
  </si>
  <si>
    <t xml:space="preserve">  Office Equipment (PC)</t>
  </si>
  <si>
    <t>CEU000:ca_NonPCOfficeEq</t>
  </si>
  <si>
    <t xml:space="preserve">  Office Equipment (non-PC)</t>
  </si>
  <si>
    <t>CEU000:ca_OtherUses</t>
  </si>
  <si>
    <t xml:space="preserve">  Other Uses 7/</t>
  </si>
  <si>
    <t>CEU000:ca_Total</t>
  </si>
  <si>
    <t xml:space="preserve">    Total Commercial</t>
  </si>
  <si>
    <t>Industrial 8/</t>
  </si>
  <si>
    <t xml:space="preserve">  Manufacturing</t>
  </si>
  <si>
    <t>CEU000:ia_Refine</t>
  </si>
  <si>
    <t xml:space="preserve">    Refining</t>
  </si>
  <si>
    <t>CEU000:ia_Food</t>
  </si>
  <si>
    <t xml:space="preserve">    Food Products</t>
  </si>
  <si>
    <t>CEU000:ia_Paper</t>
  </si>
  <si>
    <t xml:space="preserve">    Paper Products</t>
  </si>
  <si>
    <t>CEU000:ia_Chem</t>
  </si>
  <si>
    <t>CEU000:ia_Glass</t>
  </si>
  <si>
    <t xml:space="preserve">    Glass</t>
  </si>
  <si>
    <t>CEU000:ia_Cement</t>
  </si>
  <si>
    <t>CEU000:ia_Steel</t>
  </si>
  <si>
    <t xml:space="preserve">    Iron and Steel</t>
  </si>
  <si>
    <t>CEU000:ia_Aluminum</t>
  </si>
  <si>
    <t xml:space="preserve">    Aluminum</t>
  </si>
  <si>
    <t>CEU000:ia_fabmetal</t>
  </si>
  <si>
    <t xml:space="preserve">    Fabricated Metal Products</t>
  </si>
  <si>
    <t>CEU000:ia_machine</t>
  </si>
  <si>
    <t xml:space="preserve">    Machinery</t>
  </si>
  <si>
    <t>CEU000:ia_compute</t>
  </si>
  <si>
    <t xml:space="preserve">    Computers and Electronics</t>
  </si>
  <si>
    <t>CEU000:ia_transport</t>
  </si>
  <si>
    <t xml:space="preserve">    Transportation Equipment</t>
  </si>
  <si>
    <t>CEU000:ia_elecequip</t>
  </si>
  <si>
    <t xml:space="preserve">    Electrical Equipment</t>
  </si>
  <si>
    <t>CEU000:ia_woodprod</t>
  </si>
  <si>
    <t xml:space="preserve">    Wood Products</t>
  </si>
  <si>
    <t>CEU000:ia_plastic</t>
  </si>
  <si>
    <t xml:space="preserve">    Plastics</t>
  </si>
  <si>
    <t>CEU000:ia_BOMoth</t>
  </si>
  <si>
    <t xml:space="preserve">    Balance of Manufacturing</t>
  </si>
  <si>
    <t>CEU000:ia_TotalMan</t>
  </si>
  <si>
    <t xml:space="preserve">      Total Manufacturing</t>
  </si>
  <si>
    <t xml:space="preserve">  Nonmanufacturing</t>
  </si>
  <si>
    <t>CEU000:ia_Agriculture</t>
  </si>
  <si>
    <t xml:space="preserve">    Agriculture</t>
  </si>
  <si>
    <t>CEU000:ia_Construct</t>
  </si>
  <si>
    <t xml:space="preserve">    Construction</t>
  </si>
  <si>
    <t>CEU000:ia_Mining</t>
  </si>
  <si>
    <t xml:space="preserve">    Mining</t>
  </si>
  <si>
    <t>CEU000:ia_TotalNonMan</t>
  </si>
  <si>
    <t xml:space="preserve">      Total Nonmanufacturing</t>
  </si>
  <si>
    <t>CEU000:ia_NonClass</t>
  </si>
  <si>
    <t>CEU000:ia_Total</t>
  </si>
  <si>
    <t xml:space="preserve">    Total Industrial</t>
  </si>
  <si>
    <t>CEU000:ta_Light-DutyVeh</t>
  </si>
  <si>
    <t xml:space="preserve">  Light-Duty Vehicles</t>
  </si>
  <si>
    <t>CEU000:ta_CommercialLig</t>
  </si>
  <si>
    <t xml:space="preserve">  Commercial Light Trucks 9/</t>
  </si>
  <si>
    <t>CEU000:ta_BusTransporta</t>
  </si>
  <si>
    <t xml:space="preserve">  Bus Transportation</t>
  </si>
  <si>
    <t>CEU000:ta_FreightTrucks</t>
  </si>
  <si>
    <t xml:space="preserve">  Freight Trucks</t>
  </si>
  <si>
    <t>CEU000:ta_Rail,Passenge</t>
  </si>
  <si>
    <t xml:space="preserve">  Rail, Passenger</t>
  </si>
  <si>
    <t>CEU000:ta_Rail,Freight</t>
  </si>
  <si>
    <t xml:space="preserve">  Rail, Freight</t>
  </si>
  <si>
    <t>CEU000:ta_Shipping,Dome</t>
  </si>
  <si>
    <t xml:space="preserve">  Shipping, Domestic</t>
  </si>
  <si>
    <t>CEU000:ta_Shipping,Inte</t>
  </si>
  <si>
    <t xml:space="preserve">  Shipping, International</t>
  </si>
  <si>
    <t>CEU000:ta_RecreationalB</t>
  </si>
  <si>
    <t xml:space="preserve">  Recreational Boats</t>
  </si>
  <si>
    <t>CEU000:ta_Air</t>
  </si>
  <si>
    <t xml:space="preserve">  Air</t>
  </si>
  <si>
    <t>CEU000:ta_MilitaryUse</t>
  </si>
  <si>
    <t xml:space="preserve">  Military Use</t>
  </si>
  <si>
    <t>CEU000:ta_Lubricants</t>
  </si>
  <si>
    <t xml:space="preserve">  Lubricants</t>
  </si>
  <si>
    <t>CEU000:ta_PipelineFuel</t>
  </si>
  <si>
    <t xml:space="preserve">  Pipeline Fuel</t>
  </si>
  <si>
    <t>CEU000:ta_Discrepancy</t>
  </si>
  <si>
    <t>CEU000:ta_Total</t>
  </si>
  <si>
    <t xml:space="preserve">    Total Transportation</t>
  </si>
  <si>
    <t>Biogenic Energy Combustion 10/</t>
  </si>
  <si>
    <t>CEU000:Bioco2_biomass</t>
  </si>
  <si>
    <t xml:space="preserve">  Biomass</t>
  </si>
  <si>
    <t>CEU000:Bioco2_bm_elpow</t>
  </si>
  <si>
    <t xml:space="preserve">    Electric Power Sector</t>
  </si>
  <si>
    <t>CEU000:Bioco2_bm_other</t>
  </si>
  <si>
    <t xml:space="preserve">    Other Sectors</t>
  </si>
  <si>
    <t>CEU000:Bioco2_waste</t>
  </si>
  <si>
    <t xml:space="preserve">  Biogenic Waste</t>
  </si>
  <si>
    <t>CEU000:Bioco2_heat_cop</t>
  </si>
  <si>
    <t xml:space="preserve">  Biofuels Heat and Coproducts</t>
  </si>
  <si>
    <t>CEU000:Bioco2_ethanol</t>
  </si>
  <si>
    <t xml:space="preserve">  Ethanol</t>
  </si>
  <si>
    <t>CEU000:Bioco2_biodiesel</t>
  </si>
  <si>
    <t xml:space="preserve">  Biodiesel</t>
  </si>
  <si>
    <t>CEU000:Bioco2_btl</t>
  </si>
  <si>
    <t xml:space="preserve">  Liquids from Biomass</t>
  </si>
  <si>
    <t>CEU000:Bioco2_greenliq</t>
  </si>
  <si>
    <t xml:space="preserve">  Renewable Diesel and Gasoline</t>
  </si>
  <si>
    <t>CEU000:Bioco2_total</t>
  </si>
  <si>
    <t xml:space="preserve">    Total</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</si>
  <si>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</si>
  <si>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</si>
  <si>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</si>
  <si>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outdoor grills, exterior lights, pool heaters, spa heaters, backup electricity</t>
  </si>
  <si>
    <t>generators, and motors not listed above.  Electric vehicles are included in the transportation sector.</t>
  </si>
  <si>
    <t xml:space="preserve">   5/ Represents differences between total emissions by end-use and total emissions by fuel as</t>
  </si>
  <si>
    <t>reported in Table 18.  Emissions by fuel may reflect benchmarking and other modeling</t>
  </si>
  <si>
    <t>adjustments to energy use and the associated emissions that are not assigned to specific end uses.</t>
  </si>
  <si>
    <t xml:space="preserve">   6/ Includes emissions related to fuel consumption for district services.</t>
  </si>
  <si>
    <t xml:space="preserve">   7/ Includes emissions related to (but not limited to) miscellaneous uses such as transformers, medical imaging and other medical equipment,</t>
  </si>
  <si>
    <t>elevators, escalators, off-road electric vehicles, laboratory fume hoods, laundry equipment, coffee brewers, water services, emergency</t>
  </si>
  <si>
    <t>generators, combined heat and power in commercial buildings, manufacturing performed in commercial buildings, and cooking (distillate),</t>
  </si>
  <si>
    <t>plus residual fuel oil, propane, coal, motor gasoline, kerosene, and marketed renewable fuels (biomass).</t>
  </si>
  <si>
    <t xml:space="preserve">   8/ Includes combined heat and power plants that have a non-regulatory status, and small on-site generating systems.</t>
  </si>
  <si>
    <t xml:space="preserve">   9/ Commercial trucks 8,501 to 10,000 pounds gross vehicle weight rating.</t>
  </si>
  <si>
    <t xml:space="preserve">   10/ By convention, the direct emissions from biogenic energy sources are excluded from energy-related CO2 emissions.  The release</t>
  </si>
  <si>
    <t>of carbon from these sources is assumed to be balanced by the uptake of carbon when the feedstock is grown, resulting in zero net</t>
  </si>
  <si>
    <t>emissions over some period of time. If, however, increased use of biomass energy results in a decline in terrestrial carbon stocks, a</t>
  </si>
  <si>
    <t>net positive release of carbon may occur.  Accordingly, the emissions from biogenic energy sources are reported here as an indication</t>
  </si>
  <si>
    <t>of the potential net release of carbon dioxide in the absence of offsetting sequestration.</t>
  </si>
  <si>
    <t xml:space="preserve">   Sources:  2015 emissions and emission factors:  EIA, Monthly Energy Review, October 2016.</t>
  </si>
  <si>
    <r>
      <rPr>
        <b/>
        <sz val="10"/>
        <rFont val="Tahoma"/>
        <family val="2"/>
      </rPr>
      <t>Table 3-21: 2015 Adjusted Non-Energy Use Fossil Fuel Consumption, Storage, and Emissions</t>
    </r>
  </si>
  <si>
    <t>Industry Sector (assumptions)</t>
  </si>
  <si>
    <t xml:space="preserve">   CO2e emissions from non energy use of fossil fuels</t>
  </si>
  <si>
    <t>Non-Energy Uses of Fossil Fuels</t>
  </si>
  <si>
    <t>Projected Fossil Fuel Use for Non-Energy Purposes</t>
  </si>
  <si>
    <t>Use Energy Information Administration</t>
  </si>
  <si>
    <t>Annual Energy Outlook</t>
  </si>
  <si>
    <t>Table 6 (no CPP)</t>
  </si>
  <si>
    <t>Table 24 (no CPP)</t>
  </si>
  <si>
    <t>https://www.eia.gov/outlooks/aeo/excel/nocpp/aeotab_6.xlsx</t>
  </si>
  <si>
    <t>Iron and Steel and Chemicals</t>
  </si>
  <si>
    <t>Historical emissions from EPA's GHG inventory are scaled in future years based on the ratio of energy consumption of traditional non-energy use fuels in future years to the base year (2015) using EIA AEO 2017 (no CPP). Emissions are allocated to sectors based on typical fuel use.</t>
  </si>
  <si>
    <t>EPA (2013) equation 2</t>
  </si>
  <si>
    <t>Source Categories and Methodology</t>
  </si>
  <si>
    <t>Page 1</t>
  </si>
  <si>
    <t>EPA (2013) p. 37</t>
  </si>
  <si>
    <t>Historical emissions from EPA's GHG inventory are scaled in future years based on the ratio of energy-emissions in future years to the base year (2015) using EIA AEO 2017 (no CPP).</t>
  </si>
  <si>
    <t>EPA (2013) equations 3, 4, and 5</t>
  </si>
  <si>
    <t>Historical Coal Production</t>
  </si>
  <si>
    <r>
      <t xml:space="preserve">   </t>
    </r>
    <r>
      <rPr>
        <i/>
        <sz val="11"/>
        <color theme="1"/>
        <rFont val="Calibri"/>
        <family val="2"/>
        <scheme val="minor"/>
      </rPr>
      <t>CH4 from underground production</t>
    </r>
  </si>
  <si>
    <t xml:space="preserve">   CH4 from aboveground production</t>
  </si>
  <si>
    <t>CH4 captured through methane recovery</t>
  </si>
  <si>
    <t>Table 3-28</t>
  </si>
  <si>
    <t>Projected Underground and Surface Coal Production</t>
  </si>
  <si>
    <t>https://www.eia.gov/outlooks/aeo/excel/nocpp/aeotab_15.xlsx</t>
  </si>
  <si>
    <t>Table 15 (no CPP)</t>
  </si>
  <si>
    <t>Potential Emissions</t>
  </si>
  <si>
    <t>NGS000</t>
  </si>
  <si>
    <t>13. Natural Gas Supply, Disposition, and Prices</t>
  </si>
  <si>
    <t>(trillion cubic feet, unless otherwise noted)</t>
  </si>
  <si>
    <t xml:space="preserve"> Supply, Disposition, and Prices</t>
  </si>
  <si>
    <t xml:space="preserve"> Production</t>
  </si>
  <si>
    <t>NGS000:ba_DryGasProduct</t>
  </si>
  <si>
    <t xml:space="preserve">   Dry Gas Production 1/</t>
  </si>
  <si>
    <t>NGS000:ba_SupplementalN</t>
  </si>
  <si>
    <t xml:space="preserve">   Supplemental Natural Gas 2/</t>
  </si>
  <si>
    <t>NGS000:ca_NetImports</t>
  </si>
  <si>
    <t xml:space="preserve"> Net Imports</t>
  </si>
  <si>
    <t>NGS000:ca_PipelineImp</t>
  </si>
  <si>
    <t xml:space="preserve">   Pipeline 3/</t>
  </si>
  <si>
    <t>NGS000:ca_LiquefiedNatu</t>
  </si>
  <si>
    <t xml:space="preserve">   Liquefied Natural Gas</t>
  </si>
  <si>
    <t>NGS000:da_TotalSupply</t>
  </si>
  <si>
    <t xml:space="preserve"> Total Supply</t>
  </si>
  <si>
    <t xml:space="preserve"> Consumption by Sector</t>
  </si>
  <si>
    <t>NGS000:ea_Residential</t>
  </si>
  <si>
    <t xml:space="preserve">   Residential</t>
  </si>
  <si>
    <t>NGS000:ea_Commercial</t>
  </si>
  <si>
    <t xml:space="preserve">   Commercial</t>
  </si>
  <si>
    <t>NGS000:ea_Industrial</t>
  </si>
  <si>
    <t xml:space="preserve">   Industrial 4/</t>
  </si>
  <si>
    <t>NGS000:fa_GastoLiquids</t>
  </si>
  <si>
    <t xml:space="preserve">   Natural Gas-to-Liquids Heat and Power 5/</t>
  </si>
  <si>
    <t>NGS000:fa_Gas2LiqLiqPrd</t>
  </si>
  <si>
    <t xml:space="preserve">   Natural Gas to Liquids Production 6/</t>
  </si>
  <si>
    <t>NGS000:ea_ElectricPower</t>
  </si>
  <si>
    <t xml:space="preserve">   Electric Power 7/</t>
  </si>
  <si>
    <t>NGS000:ea_Transportatio</t>
  </si>
  <si>
    <t xml:space="preserve">   Transportation 8/</t>
  </si>
  <si>
    <t>NGS000:ea_PipelineFuel</t>
  </si>
  <si>
    <t xml:space="preserve">   Pipeline Fuel</t>
  </si>
  <si>
    <t>NGS000:ea_LeaseandPlant</t>
  </si>
  <si>
    <t xml:space="preserve">   Lease and Plant Fuel 9/</t>
  </si>
  <si>
    <t>NGS000:ea_liquefactexp</t>
  </si>
  <si>
    <t xml:space="preserve">   Liquefaction for Export 10/</t>
  </si>
  <si>
    <t>NGS000:ea_Total</t>
  </si>
  <si>
    <t>NGS000:ga_Discrepancy</t>
  </si>
  <si>
    <t xml:space="preserve"> Discrepancy 11/</t>
  </si>
  <si>
    <t>Natural Gas Prices</t>
  </si>
  <si>
    <t xml:space="preserve">  Natural Gas Spot Price at Henry Hub</t>
  </si>
  <si>
    <t>NGS000:ia_HenryHub</t>
  </si>
  <si>
    <t xml:space="preserve">  Delivered Prices</t>
  </si>
  <si>
    <t xml:space="preserve">  (2016 dollars per thousand cubic feet)</t>
  </si>
  <si>
    <t>NGS000:ja_Residential</t>
  </si>
  <si>
    <t xml:space="preserve">     Residential</t>
  </si>
  <si>
    <t>NGS000:ja_Commercial</t>
  </si>
  <si>
    <t xml:space="preserve">     Commercial</t>
  </si>
  <si>
    <t>NGS000:ja_Industrial</t>
  </si>
  <si>
    <t xml:space="preserve">     Industrial 4/</t>
  </si>
  <si>
    <t>NGS000:ja_ElectricPower</t>
  </si>
  <si>
    <t xml:space="preserve">     Electric Power 7/</t>
  </si>
  <si>
    <t>NGS000:ja_Transportatio</t>
  </si>
  <si>
    <t xml:space="preserve">     Transportation 12/</t>
  </si>
  <si>
    <t>NGS000:ja_Average</t>
  </si>
  <si>
    <t xml:space="preserve">        Average 13/</t>
  </si>
  <si>
    <t>NGS000:nom_HenryHub</t>
  </si>
  <si>
    <t xml:space="preserve">  (nominal dollars per thousand cubic feet)</t>
  </si>
  <si>
    <t>NGS000:nom_Residential</t>
  </si>
  <si>
    <t>NGS000:nom_Commercial</t>
  </si>
  <si>
    <t>NGS000:nom_Industrial</t>
  </si>
  <si>
    <t>NGS000:nom_ElectricPowr</t>
  </si>
  <si>
    <t>NGS000:nom_Transportati</t>
  </si>
  <si>
    <t>NGS000:nom_Average</t>
  </si>
  <si>
    <t xml:space="preserve">   1/ Marketed production (wet) minus extraction losses.</t>
  </si>
  <si>
    <t xml:space="preserve">   2/ Synthetic natural gas, propane air, coke oven gas, refinery gas, biomass gas, air injected for Btu stabilization, and manufactured</t>
  </si>
  <si>
    <t>gas commingled and distributed with natural gas.</t>
  </si>
  <si>
    <t xml:space="preserve">   3/ Natural gas imported from Canada and Mexico.</t>
  </si>
  <si>
    <t xml:space="preserve">   4/ Includes energy for combined heat and power plants that have a non-regulatory status, and small on-site generating systems.</t>
  </si>
  <si>
    <t>Excludes use for lease and plant fuel.</t>
  </si>
  <si>
    <t xml:space="preserve">   5/ Includes any natural gas used in the process of converting natural gas to liquid fuel that is not actually converted.</t>
  </si>
  <si>
    <t xml:space="preserve">   6/ Includes any natural gas converted into liquid fuel.</t>
  </si>
  <si>
    <t xml:space="preserve">   7/ Includes consumption of energy by electricity-only and combined heat and power plants that have a regulatory status.</t>
  </si>
  <si>
    <t xml:space="preserve">   8/ Natural gas used as fuel in motor vehicles, trains, and ships.  Price includes estimated motor vehicle fuel taxes</t>
  </si>
  <si>
    <t>and estimated dispensing costs or charges.</t>
  </si>
  <si>
    <t xml:space="preserve">   9/ Represents natural gas used in well, field, and lease operations, and in natural gas processing plant machinery.</t>
  </si>
  <si>
    <t xml:space="preserve">   10/ Fuel used in facilities that liquefy natural gas for export.</t>
  </si>
  <si>
    <t xml:space="preserve">   11/ Balancing item. Natural gas lost as a result of converting flow data measured at varying temperatures and pressures to a</t>
  </si>
  <si>
    <t>standard temperature and pressure and the merger of different data reporting systems which vary in scope, format, definition, and</t>
  </si>
  <si>
    <t>respondent type.  In addition, 2015 values include net storage injections.</t>
  </si>
  <si>
    <t xml:space="preserve">   12/ Natural gas used as fuel in motor vehicles, trains, and ships.  Price includes estimated motor vehicle fuel taxes</t>
  </si>
  <si>
    <t xml:space="preserve">   13/ Weighted average prices.  Weights used are the sectoral consumption values excluding lease, plant, and pipeline fuel.</t>
  </si>
  <si>
    <t xml:space="preserve">   Sources:  2015 supply values; lease, plant, and pipeline fuel consumption; and residential, commercial, and industrial</t>
  </si>
  <si>
    <t>industrial delivered prices:  U.S. Energy Information Administration (EIA), Natural Gas Monthly, July 2016.  Other 2015</t>
  </si>
  <si>
    <t>consumption based on:  EIA, Monthly Energy Review, October 2016.  2015 natural gas spot price at Henry Hub:  Thomson</t>
  </si>
  <si>
    <t>Reuters.  2015 electric power prices derived from:  EIA, Electric Power Monthly, February 2016, Table 4.13.B.</t>
  </si>
  <si>
    <t>2015 transportation sector delivered prices derived from:  U.S. Department of Energy, Clean Cities Alternative</t>
  </si>
  <si>
    <t>Fuel Price Report.  2016:  EIA, Short-Term Energy Outlook, October 2016 and EIA, AEO2017 National Energy Modeling</t>
  </si>
  <si>
    <t>System run ref_no_cpp.d120816a.  Projections:  EIA, AEO2017 National Energy Modeling System run ref_no_cpp.d120816a.</t>
  </si>
  <si>
    <t>Projected Production Emissions</t>
  </si>
  <si>
    <t>Table 3.6-1: CH4 Emissions (kt) for Natural Gas Systems, by Segment and Source, for All Years</t>
  </si>
  <si>
    <t>Table Footnotes:</t>
  </si>
  <si>
    <t>"NE" indicates value not estimated</t>
  </si>
  <si>
    <t>[a] Plant grouped emission sources include fugitives, compressors, dehydrators, and flares</t>
  </si>
  <si>
    <t>Segment/Source</t>
  </si>
  <si>
    <t>PRODUCTION</t>
  </si>
  <si>
    <t>Gas STAR Reductions</t>
  </si>
  <si>
    <t>Regulatory Reductions</t>
  </si>
  <si>
    <t>Net Emissions</t>
  </si>
  <si>
    <t>Normal Fugitives</t>
  </si>
  <si>
    <t>Gas Wells</t>
  </si>
  <si>
    <t>Non-associated Gas Wells (less fractured wells)</t>
  </si>
  <si>
    <t>Gas Wells with Hydraulic Fracturing</t>
  </si>
  <si>
    <t>Well Pad Equipment</t>
  </si>
  <si>
    <t>Heaters</t>
  </si>
  <si>
    <t>Separators</t>
  </si>
  <si>
    <t>Dehydrators</t>
  </si>
  <si>
    <t>Meters/Piping</t>
  </si>
  <si>
    <t>Compressors</t>
  </si>
  <si>
    <t>Gathering and Boosting</t>
  </si>
  <si>
    <t>Gathering and Boosting Stations</t>
  </si>
  <si>
    <t>Pipeline Leaks</t>
  </si>
  <si>
    <t>Vented and Combusted</t>
  </si>
  <si>
    <t>Drilling, Well Completion, and Well Workover</t>
  </si>
  <si>
    <t>Gas Well Completions without Hydraulic Fracturing</t>
  </si>
  <si>
    <t>Gas Well Workovers without Hydraulic Fracturing</t>
  </si>
  <si>
    <t>Hydraulic Fracturing Completions and Workovers that vent</t>
  </si>
  <si>
    <t>Flared Hydraulic Fracturing Completions and Workovers</t>
  </si>
  <si>
    <t>Hydraulic Fracturing Completions and Workovers with RECs</t>
  </si>
  <si>
    <t>Hydraulic Fracturing Completions and Workovers with RECs that flare</t>
  </si>
  <si>
    <t>Well Drilling</t>
  </si>
  <si>
    <t>Produced Water from Coal Bed Methane</t>
  </si>
  <si>
    <t xml:space="preserve">     Powder River</t>
  </si>
  <si>
    <t xml:space="preserve">     Black Warrior</t>
  </si>
  <si>
    <t>Normal Operations</t>
  </si>
  <si>
    <t>Pneumatic Device Vents</t>
  </si>
  <si>
    <t xml:space="preserve">             (Low Bleed)</t>
  </si>
  <si>
    <t xml:space="preserve">             (High Bleed)</t>
  </si>
  <si>
    <t xml:space="preserve">             (Intermittent Bleed)</t>
  </si>
  <si>
    <t>Chemical Injection Pumps</t>
  </si>
  <si>
    <t>Kimray Pumps</t>
  </si>
  <si>
    <t>Dehydrator Vents</t>
  </si>
  <si>
    <t>Condensate Tank Vents</t>
  </si>
  <si>
    <t>Large Tanks w/Flares</t>
  </si>
  <si>
    <t>Large Tanks w/VRU</t>
  </si>
  <si>
    <t>Large Tanks w/o Control</t>
  </si>
  <si>
    <t>Small Tanks w/Flares</t>
  </si>
  <si>
    <t>Small Tanks w/o Flares</t>
  </si>
  <si>
    <t>Malfunctioning Separator Dump Valves</t>
  </si>
  <si>
    <t>Compressor Exhaust Vented</t>
  </si>
  <si>
    <t>Gas Engines</t>
  </si>
  <si>
    <t>Well Clean Ups</t>
  </si>
  <si>
    <t>Well Clean Ups (LP Gas Wells) - Vent Using Plungers</t>
  </si>
  <si>
    <t>Well Clean Ups (LP Gas Wells) - Vent Without Using Plungers</t>
  </si>
  <si>
    <t>Blowdowns</t>
  </si>
  <si>
    <t>Vessel BD</t>
  </si>
  <si>
    <t>Pipeline BD</t>
  </si>
  <si>
    <t>Compressor BD</t>
  </si>
  <si>
    <t>Compressor Starts</t>
  </si>
  <si>
    <t>G&amp;B Station Episodic Events</t>
  </si>
  <si>
    <t>Upsets</t>
  </si>
  <si>
    <t>Pressure Relief Valves</t>
  </si>
  <si>
    <t>Mishaps</t>
  </si>
  <si>
    <t>Offshore</t>
  </si>
  <si>
    <t>Shallow water Gas Platforms (GoM and Pacific)</t>
  </si>
  <si>
    <t>Deepwater Gas Platforms (GoM and Pacific)</t>
  </si>
  <si>
    <t>GAS PROCESSING PLANTS</t>
  </si>
  <si>
    <t>Fugitives, Vented, and Combusted</t>
  </si>
  <si>
    <t>Plant Grouped Emission Sources[a]</t>
  </si>
  <si>
    <t>Plant Fugitives</t>
  </si>
  <si>
    <t>NE</t>
  </si>
  <si>
    <t>Recip. Compressors</t>
  </si>
  <si>
    <t>Centrifugal Compressors (wet seals)</t>
  </si>
  <si>
    <t>Centrifugal Compressors (dry seals)</t>
  </si>
  <si>
    <t>Flares</t>
  </si>
  <si>
    <t xml:space="preserve">    Compressor Exhaust</t>
  </si>
  <si>
    <t xml:space="preserve">        Gas Engines</t>
  </si>
  <si>
    <t xml:space="preserve">        Gas Turbines</t>
  </si>
  <si>
    <t xml:space="preserve">    AGR Vents</t>
  </si>
  <si>
    <t xml:space="preserve">    Pneumatic Devices</t>
  </si>
  <si>
    <t>Routine Maintenance</t>
  </si>
  <si>
    <t>Blowdowns/Venting</t>
  </si>
  <si>
    <t>TRANSMISSION AND STORAGE</t>
  </si>
  <si>
    <t>Fugitives</t>
  </si>
  <si>
    <t>Compressor Stations (Transmission)</t>
  </si>
  <si>
    <t xml:space="preserve">    Station Total Emissions</t>
  </si>
  <si>
    <t xml:space="preserve">    Station + Compressor Fugitive Emissions</t>
  </si>
  <si>
    <t xml:space="preserve">    Reciprocating Compressor</t>
  </si>
  <si>
    <t xml:space="preserve">    Centrifugal Compressor (wet seals)</t>
  </si>
  <si>
    <t xml:space="preserve">    Centrifugal Compressor (dry seals)</t>
  </si>
  <si>
    <t>Compressor Stations (Storage)</t>
  </si>
  <si>
    <t>Wells (Storage)</t>
  </si>
  <si>
    <t>M&amp;R (Trans. Co. Interconnect)</t>
  </si>
  <si>
    <t>M&amp;R (Farm Taps + Direct Sales)</t>
  </si>
  <si>
    <t>Normal Operation</t>
  </si>
  <si>
    <t xml:space="preserve">    Dehydrator vents (Transmission)</t>
  </si>
  <si>
    <t xml:space="preserve">    Dehydrator vents (Storage) </t>
  </si>
  <si>
    <t xml:space="preserve">        Engines (Transmission)</t>
  </si>
  <si>
    <t xml:space="preserve">        Turbines (Transmission)</t>
  </si>
  <si>
    <t xml:space="preserve">        Engines (Storage)</t>
  </si>
  <si>
    <t xml:space="preserve">        Turbines (Storage)</t>
  </si>
  <si>
    <t xml:space="preserve">        Generators (Engines)</t>
  </si>
  <si>
    <t xml:space="preserve">        Generators (Turbines)</t>
  </si>
  <si>
    <t xml:space="preserve">    Pneumatic Devices Trans + Stor</t>
  </si>
  <si>
    <t xml:space="preserve">        Pneumatic Devices Transmission</t>
  </si>
  <si>
    <t xml:space="preserve">        Pneumatic Devices Storage</t>
  </si>
  <si>
    <t>Routine Maintenance/Upsets</t>
  </si>
  <si>
    <t xml:space="preserve">    Pipeline venting</t>
  </si>
  <si>
    <t xml:space="preserve">    Station venting Trans + Storage</t>
  </si>
  <si>
    <t xml:space="preserve">        Station Venting Transmission</t>
  </si>
  <si>
    <t xml:space="preserve">        Station Venting Storage</t>
  </si>
  <si>
    <t>LNG Storage</t>
  </si>
  <si>
    <t>LNG Stations</t>
  </si>
  <si>
    <t>LNG Reciprocating Compressors</t>
  </si>
  <si>
    <t>LNG Centrifugal Compressors</t>
  </si>
  <si>
    <t>LNG Compressor Exhaust</t>
  </si>
  <si>
    <t xml:space="preserve">    LNG Engines</t>
  </si>
  <si>
    <t xml:space="preserve">    LNG Turbines</t>
  </si>
  <si>
    <t>LNG Station venting</t>
  </si>
  <si>
    <t>LNG Import Terminals</t>
  </si>
  <si>
    <t>DISTRIBUTION</t>
  </si>
  <si>
    <t xml:space="preserve">    Mains - Cast Iron</t>
  </si>
  <si>
    <t xml:space="preserve">    Mains - Unprotected steel</t>
  </si>
  <si>
    <t xml:space="preserve">    Mains - Protected steel</t>
  </si>
  <si>
    <t xml:space="preserve">    Mains - Plastic</t>
  </si>
  <si>
    <t xml:space="preserve">    Services - Unprotected steel</t>
  </si>
  <si>
    <t xml:space="preserve">    Services Protected steel</t>
  </si>
  <si>
    <t xml:space="preserve">    Services - Plastic</t>
  </si>
  <si>
    <t xml:space="preserve">    Services - Copper</t>
  </si>
  <si>
    <t>Meter/Regulator (City Gates)</t>
  </si>
  <si>
    <t xml:space="preserve">    M&amp;R &gt;300</t>
  </si>
  <si>
    <t xml:space="preserve">    M&amp;R 100-300</t>
  </si>
  <si>
    <t xml:space="preserve">    M&amp;R &lt;100</t>
  </si>
  <si>
    <t xml:space="preserve">    Reg &gt;300</t>
  </si>
  <si>
    <t xml:space="preserve">    R-Vault &gt;300</t>
  </si>
  <si>
    <t xml:space="preserve">    Reg 100-300</t>
  </si>
  <si>
    <t xml:space="preserve">    R-Vault 100-300</t>
  </si>
  <si>
    <t xml:space="preserve">    Reg 40-100</t>
  </si>
  <si>
    <t xml:space="preserve">    R-Vault 40-100</t>
  </si>
  <si>
    <t xml:space="preserve">    Reg &lt;40</t>
  </si>
  <si>
    <t>Customer Meters</t>
  </si>
  <si>
    <t xml:space="preserve">    Residential</t>
  </si>
  <si>
    <t xml:space="preserve">    Commercial/Industry</t>
  </si>
  <si>
    <t>Vented</t>
  </si>
  <si>
    <t>Rountine Maintenance</t>
  </si>
  <si>
    <t xml:space="preserve">    Pressure Relief Valve Releases</t>
  </si>
  <si>
    <t xml:space="preserve">    Pipeline Blowdown</t>
  </si>
  <si>
    <t xml:space="preserve">    Mishaps (Dig-ins)</t>
  </si>
  <si>
    <t>Additional Regulatory Reductions</t>
  </si>
  <si>
    <r>
      <t xml:space="preserve">   </t>
    </r>
    <r>
      <rPr>
        <i/>
        <sz val="9"/>
        <rFont val="Calibri"/>
        <family val="2"/>
        <scheme val="minor"/>
      </rPr>
      <t>NSPS Impact on New Hydraulically Fracked Wells with RECs &amp; Flaring</t>
    </r>
  </si>
  <si>
    <t xml:space="preserve">   NSPS Impact on New and Modified High-Bleed, Gas-Driven Pneumatic Controllers</t>
  </si>
  <si>
    <t xml:space="preserve">   NSPS Impact on New Storage Tanks</t>
  </si>
  <si>
    <t xml:space="preserve">   NSPS Impact on New and Modified Reciprocating Compressors</t>
  </si>
  <si>
    <t>Projected Processing Emissions</t>
  </si>
  <si>
    <t xml:space="preserve">   NSPS Impact on New and Modified Centrifugal Compressors (wet seals)</t>
  </si>
  <si>
    <t xml:space="preserve">   NSPS Impact on New and Modified High- Bleed, Gas-Driven Pneumatic Controllers</t>
  </si>
  <si>
    <t>Projected Transmission and Storage Emissions</t>
  </si>
  <si>
    <t>NGI000</t>
  </si>
  <si>
    <t>62. Natural Gas Imports and Exports</t>
  </si>
  <si>
    <t xml:space="preserve"> Volumes and Prices</t>
  </si>
  <si>
    <t>Volumes (trillion cubic feet)</t>
  </si>
  <si>
    <t>NGI000:ba_TotalImports</t>
  </si>
  <si>
    <t xml:space="preserve"> Imports</t>
  </si>
  <si>
    <t>NGI000:ba_PipelineImpor</t>
  </si>
  <si>
    <t xml:space="preserve">   Pipeline Imports from Canada</t>
  </si>
  <si>
    <t>NGI000:ca_PipelineImpor</t>
  </si>
  <si>
    <t xml:space="preserve">   Pipeline Imports from Mexico</t>
  </si>
  <si>
    <t>NGI000:ca_PipeImpBahama</t>
  </si>
  <si>
    <t xml:space="preserve">   Pipeline Imports from Bahamas</t>
  </si>
  <si>
    <t>NGI000:ca_LiquefiedNatu</t>
  </si>
  <si>
    <t xml:space="preserve">   Liquefied Natural Gas Imports 1/</t>
  </si>
  <si>
    <t>NGI000:ca_TotalExports</t>
  </si>
  <si>
    <t xml:space="preserve"> Exports</t>
  </si>
  <si>
    <t>NGI000:ca_PipelineExpor</t>
  </si>
  <si>
    <t xml:space="preserve">   Pipeline Exports to Canada</t>
  </si>
  <si>
    <t>NGI000:da_PipelineExpor</t>
  </si>
  <si>
    <t xml:space="preserve">   Pipeline Exports to Mexico</t>
  </si>
  <si>
    <t>NGI000:da_LiquefiedNatu</t>
  </si>
  <si>
    <t xml:space="preserve">   Liquefied Natural Gas Exports 2/</t>
  </si>
  <si>
    <t>NGI000:ba_NetImports</t>
  </si>
  <si>
    <t>NGI000:ba_PipeNetCanada</t>
  </si>
  <si>
    <t xml:space="preserve">   Canada</t>
  </si>
  <si>
    <t>NGI000:ca_PipeNetMexico</t>
  </si>
  <si>
    <t xml:space="preserve">   Mexico</t>
  </si>
  <si>
    <t>NGI000:ca_PipeNetBahama</t>
  </si>
  <si>
    <t xml:space="preserve">   Bahamas</t>
  </si>
  <si>
    <t>NGI000:NetLiquefiedNatu</t>
  </si>
  <si>
    <t>Border Prices</t>
  </si>
  <si>
    <t>(2016 dollars per thousand cubic feet)</t>
  </si>
  <si>
    <t>NGI000:ea_AverageImport</t>
  </si>
  <si>
    <t xml:space="preserve">   Average Import Price</t>
  </si>
  <si>
    <t xml:space="preserve">      Pipeline Import Prices</t>
  </si>
  <si>
    <t>NGI000:ea_FromCanada</t>
  </si>
  <si>
    <t xml:space="preserve">         From Canada</t>
  </si>
  <si>
    <t>NGI000:ea_FromMexico</t>
  </si>
  <si>
    <t xml:space="preserve">         From Mexico</t>
  </si>
  <si>
    <t>NGI000:ea_FromBahama</t>
  </si>
  <si>
    <t xml:space="preserve">         From Bahamas</t>
  </si>
  <si>
    <t>NGI000:ea_LNGPrice(incl</t>
  </si>
  <si>
    <t xml:space="preserve">      LNG Price (including regasification)</t>
  </si>
  <si>
    <t xml:space="preserve">   1/ Includes imports of liquefied natural gas that are later re-exported.</t>
  </si>
  <si>
    <t xml:space="preserve">   2/ Includes re-exported liquefied natural gas.</t>
  </si>
  <si>
    <t xml:space="preserve">   LNG = Liquefied natural gas.</t>
  </si>
  <si>
    <t xml:space="preserve">   Sources:  2015:  U.S. Energy Information Administration (EIA), Natural Gas Monthly, July 2016 and EIA, Office</t>
  </si>
  <si>
    <t>of Energy Analysis.  2016:  EIA, Short-Term Energy Outlook, October 2016 and EIA, AEO2017 National Energy Modeling System</t>
  </si>
  <si>
    <t>run ref2017.d120816a.  Projections:  EIA, AEO2017 National Energy Modeling System run ref2017.d120816a.</t>
  </si>
  <si>
    <t>Projected Distribution Emissions</t>
  </si>
  <si>
    <t>Table 3.6-7: Activity Data for Natural Gas Systems Sources, for All Years</t>
  </si>
  <si>
    <t>Units</t>
  </si>
  <si>
    <t>Total Active Gas Wells</t>
  </si>
  <si>
    <t>wells</t>
  </si>
  <si>
    <t>heaters</t>
  </si>
  <si>
    <t>separators</t>
  </si>
  <si>
    <t>dehydrators</t>
  </si>
  <si>
    <t>meters</t>
  </si>
  <si>
    <t>compressors</t>
  </si>
  <si>
    <t>stations</t>
  </si>
  <si>
    <t>miles</t>
  </si>
  <si>
    <t>completions/year</t>
  </si>
  <si>
    <t>workovers/year</t>
  </si>
  <si>
    <t>completions and workovers/year</t>
  </si>
  <si>
    <t xml:space="preserve">   Black Warrior</t>
  </si>
  <si>
    <t xml:space="preserve">   Powder River</t>
  </si>
  <si>
    <t>gal produced water</t>
  </si>
  <si>
    <t>controllers</t>
  </si>
  <si>
    <t>Pneumatic Device Vents - Low Bleed (LB)</t>
  </si>
  <si>
    <t>Pneumatic Device Vents - High Bleed (HB)</t>
  </si>
  <si>
    <t>Pneumatic Device Vents - Intermittent Bleed (IB)</t>
  </si>
  <si>
    <t>active pumps</t>
  </si>
  <si>
    <t>MMscf/yr</t>
  </si>
  <si>
    <t>bbl</t>
  </si>
  <si>
    <t>MMHPhr</t>
  </si>
  <si>
    <t>Liquids Unloading with Plunger Lifts</t>
  </si>
  <si>
    <t>venting wells</t>
  </si>
  <si>
    <t>Liquids Unloading without Plunger Lifts</t>
  </si>
  <si>
    <t>Vessel Blowdowns</t>
  </si>
  <si>
    <t>vessels</t>
  </si>
  <si>
    <t>Pipeline Blowdowns</t>
  </si>
  <si>
    <t>miles (gathering)</t>
  </si>
  <si>
    <t>Compressor Blowdowns</t>
  </si>
  <si>
    <t>PRV</t>
  </si>
  <si>
    <t>Shallow water gas platforms</t>
  </si>
  <si>
    <t>Deep water gas platforms</t>
  </si>
  <si>
    <t>plants</t>
  </si>
  <si>
    <t>Reciprocating Compressors</t>
  </si>
  <si>
    <t xml:space="preserve">Dehydrators </t>
  </si>
  <si>
    <t>Compressor Exhaust</t>
  </si>
  <si>
    <t xml:space="preserve">    Gas Engines</t>
  </si>
  <si>
    <t xml:space="preserve">    Gas Turbines</t>
  </si>
  <si>
    <t>AGR Vents</t>
  </si>
  <si>
    <t>AGR units</t>
  </si>
  <si>
    <t>Pneumatic Devices</t>
  </si>
  <si>
    <t>gas plants</t>
  </si>
  <si>
    <t xml:space="preserve">    Station</t>
  </si>
  <si>
    <t xml:space="preserve">    Centrifugal Compressor (total)</t>
  </si>
  <si>
    <t xml:space="preserve">    Pneumatic Devices Transmission and Storage</t>
  </si>
  <si>
    <t>devices</t>
  </si>
  <si>
    <t xml:space="preserve">        Pneumatic Devices Transmission (high bleed)</t>
  </si>
  <si>
    <t xml:space="preserve">        Pneumatic Devices Transmission (intermittent bleed)</t>
  </si>
  <si>
    <t xml:space="preserve">        Pneumatic Devices Transmission (low bleed)</t>
  </si>
  <si>
    <t xml:space="preserve">        Pneumatic Devices Storage (high bleed)</t>
  </si>
  <si>
    <t xml:space="preserve">        Pneumatic Devices Storage (intermittent bleed)</t>
  </si>
  <si>
    <t xml:space="preserve">        Pneumatic Devices Storage (low bleed)</t>
  </si>
  <si>
    <t xml:space="preserve">    Station venting Transmission and Storage</t>
  </si>
  <si>
    <t>compressor stations</t>
  </si>
  <si>
    <t xml:space="preserve"> stations</t>
  </si>
  <si>
    <t>Total Pipeline Miles</t>
  </si>
  <si>
    <t>services</t>
  </si>
  <si>
    <t>Total Services</t>
  </si>
  <si>
    <t>outdoor meters</t>
  </si>
  <si>
    <t>mile main</t>
  </si>
  <si>
    <t>Total Natural Gas System Emissions</t>
  </si>
  <si>
    <t>Natural Gas Systems</t>
  </si>
  <si>
    <t>Historical Emissions and Activity</t>
  </si>
  <si>
    <t>Inventory of U.S. Greenhouse Gas Emissions and Sinks: 1990-2015, Annex 3.6 Data Tables</t>
  </si>
  <si>
    <t>https://www.epa.gov/sites/production/files/2017-04/2017_ghgi_natural_gas_systems_annex_tables.xlsx</t>
  </si>
  <si>
    <t>Tables 3.6-1 and 3.6-7</t>
  </si>
  <si>
    <t>Projected Natural Gas Dry Production and Consumption</t>
  </si>
  <si>
    <t>https://www.eia.gov/outlooks/aeo/excel/nocpp/aeotab_13.xlsx</t>
  </si>
  <si>
    <t>Table 13 (no CPP)</t>
  </si>
  <si>
    <t>Projected LNG Imports</t>
  </si>
  <si>
    <t>https://www.eia.gov/outlooks/aeo/supplement/excel/suptab_62.xlsx</t>
  </si>
  <si>
    <t>Table 62 (no non CPP scenario available)</t>
  </si>
  <si>
    <t>EPA (2013) equations 6, 7, 8 and 9 and methodology for calculating and reapportioning voluntary and regulatory reductions</t>
  </si>
  <si>
    <t xml:space="preserve">   CO2 emissions from iron, steel, and metallurgical coke production</t>
  </si>
  <si>
    <t>Used EPA emissions factor for aggregate cement CO2 non-energy emissions from IPCC methodology report and multiplied by base year production scaled by the ratio of future production value to base year production value from EIA AEO 2017 (no CPP).</t>
  </si>
  <si>
    <t>Emissions factors for CH4 from underground and surface mining are calculated based on historical emissions and production, including for methane recovery. Projected emissions are calculated by scaling baseyear production up based on the growth rate for future production from EIA AEO 2017 (no CPP) and multiplied by the emissions factors.</t>
  </si>
  <si>
    <t>EPA (2013) equations 11 and 12</t>
  </si>
  <si>
    <t>Emissions are calculated separately for production field operations, transportation, and crude oil refining. Emissions factors are developed by dividing historical emissions from EPA's GHG Inventory by historical production and refining. Emissions in future years are projected by multiplying the emissions factors by the base year production and refining and scaling based based on projected production relative to base year projected production from EIA AEO 2017 (no CPP). Crude oil transportation emissions are assumed constant.</t>
  </si>
  <si>
    <t>Petroleum Systems</t>
  </si>
  <si>
    <t>Historical Crude Oil Production</t>
  </si>
  <si>
    <t>Petroleum &amp; Other Liquids: Crude Oil Production</t>
  </si>
  <si>
    <t>Historical Crude Oil Supply</t>
  </si>
  <si>
    <t>Petroleum &amp; Other Liquids: U.S. Crude Oil Supply &amp; Disposition</t>
  </si>
  <si>
    <t>Historical Emissions - CH4 (kt)</t>
  </si>
  <si>
    <t>Historical Emissions - CO2 (kt)</t>
  </si>
  <si>
    <t>kt/1000 barrels</t>
  </si>
  <si>
    <t>Scaling Factors</t>
  </si>
  <si>
    <t>2015 emissions held constant in future years</t>
  </si>
  <si>
    <t>EPA (2013), p.35</t>
  </si>
  <si>
    <t>Emissions are projected separately for feedstock and non-feedstock uses. Future emissions are forecast based on an emissions factor from EPA (2013) p. 43, feedstock production growth of 5% per year, and non-feedstock production assumptions from EPA (2013).</t>
  </si>
  <si>
    <t>EPA (2013) p. 41</t>
  </si>
  <si>
    <t>N2O emissions from the production of adipic acid</t>
  </si>
  <si>
    <t>Abandoned Underground Coal Mines</t>
  </si>
  <si>
    <t>Nitric Acid Production</t>
  </si>
  <si>
    <t>Silicon Carbide Production</t>
  </si>
  <si>
    <t>Feroalloy Production</t>
  </si>
  <si>
    <t>Lime Production</t>
  </si>
  <si>
    <t>Limestone and Dolomite Use</t>
  </si>
  <si>
    <t>Ammonia Production</t>
  </si>
  <si>
    <t>Urea Consumption for Non-Agricultural Purposes</t>
  </si>
  <si>
    <t>Soda Ash Production and Consumption</t>
  </si>
  <si>
    <t>Petrochemical Production</t>
  </si>
  <si>
    <t>Carbon Dioxide Consumption</t>
  </si>
  <si>
    <t>Titanium Dioxide Production</t>
  </si>
  <si>
    <t>Zinc Production</t>
  </si>
  <si>
    <t>Phosphoric Acid Production</t>
  </si>
  <si>
    <t>Lead Production</t>
  </si>
  <si>
    <t>Field Burning of Agricultural Residues</t>
  </si>
  <si>
    <t>Wastewater Treatment (Industrial)</t>
  </si>
  <si>
    <t>Composting</t>
  </si>
  <si>
    <t>N2O Product Usage</t>
  </si>
  <si>
    <t>Sub-Sector</t>
  </si>
  <si>
    <t>Model Sector</t>
  </si>
  <si>
    <t>Coal Mining</t>
  </si>
  <si>
    <t>Cement and Other Carbonates</t>
  </si>
  <si>
    <r>
      <rPr>
        <b/>
        <sz val="10"/>
        <rFont val="Tahoma"/>
        <family val="2"/>
      </rPr>
      <t>Table ES-2: Recent Trends in U.S. Greenhouse Gas Emissions and Sinks (MMT CO</t>
    </r>
    <r>
      <rPr>
        <b/>
        <sz val="7"/>
        <rFont val="Tahoma"/>
        <family val="2"/>
      </rPr>
      <t xml:space="preserve">2 </t>
    </r>
    <r>
      <rPr>
        <b/>
        <sz val="10"/>
        <rFont val="Tahoma"/>
        <family val="2"/>
      </rPr>
      <t>Eq.)</t>
    </r>
  </si>
  <si>
    <r>
      <rPr>
        <b/>
        <sz val="9"/>
        <rFont val="Times New Roman"/>
        <family val="1"/>
      </rPr>
      <t>Gas/Source</t>
    </r>
  </si>
  <si>
    <r>
      <rPr>
        <b/>
        <sz val="9"/>
        <rFont val="Times New Roman"/>
        <family val="1"/>
      </rPr>
      <t>CO</t>
    </r>
    <r>
      <rPr>
        <b/>
        <sz val="6"/>
        <rFont val="Cambria Math"/>
        <family val="1"/>
      </rPr>
      <t>₂</t>
    </r>
  </si>
  <si>
    <r>
      <rPr>
        <sz val="9"/>
        <rFont val="Times New Roman"/>
        <family val="1"/>
      </rPr>
      <t>Fossil Fuel Combustion</t>
    </r>
  </si>
  <si>
    <r>
      <rPr>
        <i/>
        <sz val="9"/>
        <rFont val="Times New Roman"/>
        <family val="1"/>
      </rPr>
      <t>Electricity Generation</t>
    </r>
  </si>
  <si>
    <r>
      <rPr>
        <i/>
        <sz val="9"/>
        <rFont val="Times New Roman"/>
        <family val="1"/>
      </rPr>
      <t>Transportation</t>
    </r>
    <r>
      <rPr>
        <sz val="6"/>
        <rFont val="Times New Roman"/>
        <family val="1"/>
      </rPr>
      <t>a</t>
    </r>
  </si>
  <si>
    <r>
      <rPr>
        <i/>
        <sz val="9"/>
        <rFont val="Times New Roman"/>
        <family val="1"/>
      </rPr>
      <t>Industrial</t>
    </r>
    <r>
      <rPr>
        <sz val="6"/>
        <rFont val="Times New Roman"/>
        <family val="1"/>
      </rPr>
      <t>a</t>
    </r>
  </si>
  <si>
    <r>
      <rPr>
        <i/>
        <sz val="9"/>
        <rFont val="Times New Roman"/>
        <family val="1"/>
      </rPr>
      <t>Residential</t>
    </r>
  </si>
  <si>
    <r>
      <rPr>
        <i/>
        <sz val="9"/>
        <rFont val="Times New Roman"/>
        <family val="1"/>
      </rPr>
      <t>Commercial</t>
    </r>
    <r>
      <rPr>
        <sz val="6"/>
        <rFont val="Times New Roman"/>
        <family val="1"/>
      </rPr>
      <t>a</t>
    </r>
  </si>
  <si>
    <r>
      <rPr>
        <i/>
        <sz val="9"/>
        <rFont val="Times New Roman"/>
        <family val="1"/>
      </rPr>
      <t>U.S. Territories</t>
    </r>
  </si>
  <si>
    <r>
      <rPr>
        <sz val="9"/>
        <rFont val="Times New Roman"/>
        <family val="1"/>
      </rPr>
      <t>Non-Energy Use of Fuels</t>
    </r>
  </si>
  <si>
    <r>
      <rPr>
        <sz val="9"/>
        <rFont val="Times New Roman"/>
        <family val="1"/>
      </rPr>
      <t>Iron and Steel Production &amp; Metallurgical Coke Production</t>
    </r>
  </si>
  <si>
    <r>
      <rPr>
        <sz val="9"/>
        <rFont val="Times New Roman"/>
        <family val="1"/>
      </rPr>
      <t>Natural Gas Systems</t>
    </r>
  </si>
  <si>
    <r>
      <rPr>
        <sz val="9"/>
        <rFont val="Times New Roman"/>
        <family val="1"/>
      </rPr>
      <t>Cement Production</t>
    </r>
  </si>
  <si>
    <r>
      <rPr>
        <sz val="9"/>
        <rFont val="Times New Roman"/>
        <family val="1"/>
      </rPr>
      <t>Petrochemical Production</t>
    </r>
  </si>
  <si>
    <r>
      <rPr>
        <sz val="9"/>
        <rFont val="Times New Roman"/>
        <family val="1"/>
      </rPr>
      <t>Lime Production</t>
    </r>
  </si>
  <si>
    <r>
      <rPr>
        <sz val="9"/>
        <rFont val="Times New Roman"/>
        <family val="1"/>
      </rPr>
      <t>Other Process Uses of Carbonates</t>
    </r>
  </si>
  <si>
    <r>
      <rPr>
        <sz val="9"/>
        <rFont val="Times New Roman"/>
        <family val="1"/>
      </rPr>
      <t>Ammonia Production</t>
    </r>
  </si>
  <si>
    <r>
      <rPr>
        <sz val="9"/>
        <rFont val="Times New Roman"/>
        <family val="1"/>
      </rPr>
      <t>Incineration of Waste</t>
    </r>
  </si>
  <si>
    <r>
      <rPr>
        <sz val="9"/>
        <rFont val="Times New Roman"/>
        <family val="1"/>
      </rPr>
      <t>Urea Fertilization</t>
    </r>
  </si>
  <si>
    <r>
      <rPr>
        <sz val="9"/>
        <rFont val="Times New Roman"/>
        <family val="1"/>
      </rPr>
      <t>Carbon Dioxide Consumption</t>
    </r>
  </si>
  <si>
    <r>
      <rPr>
        <sz val="9"/>
        <rFont val="Times New Roman"/>
        <family val="1"/>
      </rPr>
      <t>Liming</t>
    </r>
  </si>
  <si>
    <r>
      <rPr>
        <sz val="9"/>
        <rFont val="Times New Roman"/>
        <family val="1"/>
      </rPr>
      <t>Petroleum Systems</t>
    </r>
  </si>
  <si>
    <r>
      <rPr>
        <sz val="9"/>
        <rFont val="Times New Roman"/>
        <family val="1"/>
      </rPr>
      <t>Soda Ash Production and Consumption</t>
    </r>
  </si>
  <si>
    <r>
      <rPr>
        <sz val="9"/>
        <rFont val="Times New Roman"/>
        <family val="1"/>
      </rPr>
      <t>Aluminum Production</t>
    </r>
  </si>
  <si>
    <r>
      <rPr>
        <sz val="9"/>
        <rFont val="Times New Roman"/>
        <family val="1"/>
      </rPr>
      <t>Ferroalloy Production</t>
    </r>
  </si>
  <si>
    <r>
      <rPr>
        <sz val="9"/>
        <rFont val="Times New Roman"/>
        <family val="1"/>
      </rPr>
      <t>Titanium Dioxide Production</t>
    </r>
  </si>
  <si>
    <r>
      <rPr>
        <sz val="9"/>
        <rFont val="Times New Roman"/>
        <family val="1"/>
      </rPr>
      <t>Glass Production</t>
    </r>
  </si>
  <si>
    <r>
      <rPr>
        <sz val="9"/>
        <rFont val="Times New Roman"/>
        <family val="1"/>
      </rPr>
      <t>Urea Consumption for Non- Agricultural Purposes</t>
    </r>
  </si>
  <si>
    <r>
      <rPr>
        <sz val="9"/>
        <rFont val="Times New Roman"/>
        <family val="1"/>
      </rPr>
      <t>Phosphoric Acid Production</t>
    </r>
  </si>
  <si>
    <r>
      <rPr>
        <sz val="9"/>
        <rFont val="Times New Roman"/>
        <family val="1"/>
      </rPr>
      <t>Zinc Production</t>
    </r>
  </si>
  <si>
    <r>
      <rPr>
        <sz val="9"/>
        <rFont val="Times New Roman"/>
        <family val="1"/>
      </rPr>
      <t>Lead Production</t>
    </r>
  </si>
  <si>
    <r>
      <rPr>
        <sz val="9"/>
        <rFont val="Times New Roman"/>
        <family val="1"/>
      </rPr>
      <t>Silicon Carbide Production and Consumption</t>
    </r>
  </si>
  <si>
    <r>
      <rPr>
        <sz val="9"/>
        <rFont val="Times New Roman"/>
        <family val="1"/>
      </rPr>
      <t>Magnesium Production and Processing</t>
    </r>
  </si>
  <si>
    <r>
      <rPr>
        <i/>
        <sz val="9"/>
        <rFont val="Times New Roman"/>
        <family val="1"/>
      </rPr>
      <t>Wood Biomass, Ethanol, and Biodiesel Consumption</t>
    </r>
    <r>
      <rPr>
        <i/>
        <sz val="6"/>
        <rFont val="Times New Roman"/>
        <family val="1"/>
      </rPr>
      <t>b</t>
    </r>
  </si>
  <si>
    <r>
      <rPr>
        <i/>
        <sz val="9"/>
        <rFont val="Times New Roman"/>
        <family val="1"/>
      </rPr>
      <t>International Bunker Fuels</t>
    </r>
    <r>
      <rPr>
        <i/>
        <sz val="6"/>
        <rFont val="Times New Roman"/>
        <family val="1"/>
      </rPr>
      <t>c</t>
    </r>
  </si>
  <si>
    <r>
      <rPr>
        <b/>
        <sz val="9"/>
        <rFont val="Times New Roman"/>
        <family val="1"/>
      </rPr>
      <t>CH</t>
    </r>
    <r>
      <rPr>
        <b/>
        <sz val="6"/>
        <rFont val="Times New Roman"/>
        <family val="1"/>
      </rPr>
      <t>4</t>
    </r>
  </si>
  <si>
    <r>
      <rPr>
        <sz val="9"/>
        <rFont val="Times New Roman"/>
        <family val="1"/>
      </rPr>
      <t>Enteric Fermentation</t>
    </r>
  </si>
  <si>
    <r>
      <rPr>
        <sz val="9"/>
        <rFont val="Times New Roman"/>
        <family val="1"/>
      </rPr>
      <t>Landfills</t>
    </r>
  </si>
  <si>
    <r>
      <rPr>
        <sz val="9"/>
        <rFont val="Times New Roman"/>
        <family val="1"/>
      </rPr>
      <t>Manure Management</t>
    </r>
  </si>
  <si>
    <r>
      <rPr>
        <sz val="9"/>
        <rFont val="Times New Roman"/>
        <family val="1"/>
      </rPr>
      <t>Coal Mining</t>
    </r>
  </si>
  <si>
    <r>
      <rPr>
        <sz val="9"/>
        <rFont val="Times New Roman"/>
        <family val="1"/>
      </rPr>
      <t>Wastewater Treatment</t>
    </r>
  </si>
  <si>
    <r>
      <rPr>
        <sz val="9"/>
        <rFont val="Times New Roman"/>
        <family val="1"/>
      </rPr>
      <t>Rice Cultivation</t>
    </r>
  </si>
  <si>
    <r>
      <rPr>
        <sz val="9"/>
        <rFont val="Times New Roman"/>
        <family val="1"/>
      </rPr>
      <t>Stationary Combustion</t>
    </r>
  </si>
  <si>
    <r>
      <rPr>
        <sz val="9"/>
        <rFont val="Times New Roman"/>
        <family val="1"/>
      </rPr>
      <t>Abandoned Underground Coal Mines</t>
    </r>
  </si>
  <si>
    <r>
      <rPr>
        <sz val="9"/>
        <rFont val="Times New Roman"/>
        <family val="1"/>
      </rPr>
      <t>Composting</t>
    </r>
  </si>
  <si>
    <r>
      <rPr>
        <sz val="9"/>
        <rFont val="Times New Roman"/>
        <family val="1"/>
      </rPr>
      <t>Mobile Combustion</t>
    </r>
    <r>
      <rPr>
        <sz val="6"/>
        <rFont val="Times New Roman"/>
        <family val="1"/>
      </rPr>
      <t>a</t>
    </r>
  </si>
  <si>
    <r>
      <rPr>
        <sz val="9"/>
        <rFont val="Times New Roman"/>
        <family val="1"/>
      </rPr>
      <t>Field Burning of Agricultural Residues</t>
    </r>
  </si>
  <si>
    <r>
      <rPr>
        <b/>
        <sz val="9"/>
        <rFont val="Times New Roman"/>
        <family val="1"/>
      </rPr>
      <t>N</t>
    </r>
    <r>
      <rPr>
        <b/>
        <sz val="6"/>
        <rFont val="Times New Roman"/>
        <family val="1"/>
      </rPr>
      <t>2</t>
    </r>
    <r>
      <rPr>
        <b/>
        <sz val="9"/>
        <rFont val="Times New Roman"/>
        <family val="1"/>
      </rPr>
      <t>O</t>
    </r>
  </si>
  <si>
    <r>
      <rPr>
        <sz val="9"/>
        <rFont val="Times New Roman"/>
        <family val="1"/>
      </rPr>
      <t>Agricultural Soil Management</t>
    </r>
  </si>
  <si>
    <r>
      <rPr>
        <sz val="9"/>
        <rFont val="Times New Roman"/>
        <family val="1"/>
      </rPr>
      <t>Nitric Acid Production</t>
    </r>
  </si>
  <si>
    <r>
      <rPr>
        <sz val="9"/>
        <rFont val="Times New Roman"/>
        <family val="1"/>
      </rPr>
      <t>Adipic Acid Production</t>
    </r>
  </si>
  <si>
    <r>
      <rPr>
        <sz val="9"/>
        <rFont val="Times New Roman"/>
        <family val="1"/>
      </rPr>
      <t>N</t>
    </r>
    <r>
      <rPr>
        <sz val="6"/>
        <rFont val="Cambria Math"/>
        <family val="1"/>
      </rPr>
      <t>₂</t>
    </r>
    <r>
      <rPr>
        <sz val="9"/>
        <rFont val="Times New Roman"/>
        <family val="1"/>
      </rPr>
      <t>O from Product Uses</t>
    </r>
  </si>
  <si>
    <r>
      <rPr>
        <sz val="9"/>
        <rFont val="Times New Roman"/>
        <family val="1"/>
      </rPr>
      <t>Semiconductor Manufacture</t>
    </r>
  </si>
  <si>
    <r>
      <rPr>
        <b/>
        <sz val="9"/>
        <rFont val="Times New Roman"/>
        <family val="1"/>
      </rPr>
      <t>HFCs</t>
    </r>
  </si>
  <si>
    <r>
      <rPr>
        <sz val="9"/>
        <rFont val="Times New Roman"/>
        <family val="1"/>
      </rPr>
      <t>Substitution of Ozone Depleting Substances</t>
    </r>
    <r>
      <rPr>
        <sz val="6"/>
        <rFont val="Times New Roman"/>
        <family val="1"/>
      </rPr>
      <t>d</t>
    </r>
  </si>
  <si>
    <r>
      <rPr>
        <sz val="9"/>
        <rFont val="Times New Roman"/>
        <family val="1"/>
      </rPr>
      <t>HCFC-22 Production</t>
    </r>
  </si>
  <si>
    <r>
      <rPr>
        <b/>
        <sz val="9"/>
        <rFont val="Times New Roman"/>
        <family val="1"/>
      </rPr>
      <t>PFCs</t>
    </r>
  </si>
  <si>
    <r>
      <rPr>
        <sz val="9"/>
        <rFont val="Times New Roman"/>
        <family val="1"/>
      </rPr>
      <t>Substitution of Ozone Depleting Substances</t>
    </r>
  </si>
  <si>
    <r>
      <rPr>
        <b/>
        <sz val="9"/>
        <rFont val="Times New Roman"/>
        <family val="1"/>
      </rPr>
      <t>SF</t>
    </r>
    <r>
      <rPr>
        <b/>
        <sz val="6"/>
        <rFont val="Times New Roman"/>
        <family val="1"/>
      </rPr>
      <t>6</t>
    </r>
  </si>
  <si>
    <r>
      <rPr>
        <sz val="9"/>
        <rFont val="Times New Roman"/>
        <family val="1"/>
      </rPr>
      <t>Electrical Transmission and Distribution</t>
    </r>
  </si>
  <si>
    <r>
      <rPr>
        <b/>
        <sz val="9"/>
        <rFont val="Times New Roman"/>
        <family val="1"/>
      </rPr>
      <t>NF</t>
    </r>
    <r>
      <rPr>
        <b/>
        <sz val="6"/>
        <rFont val="Times New Roman"/>
        <family val="1"/>
      </rPr>
      <t>3</t>
    </r>
  </si>
  <si>
    <r>
      <rPr>
        <b/>
        <sz val="9"/>
        <rFont val="Times New Roman"/>
        <family val="1"/>
      </rPr>
      <t>Total Emissions</t>
    </r>
  </si>
  <si>
    <r>
      <rPr>
        <b/>
        <sz val="9"/>
        <rFont val="Times New Roman"/>
        <family val="1"/>
      </rPr>
      <t>LULUCF Emissions</t>
    </r>
    <r>
      <rPr>
        <b/>
        <sz val="6"/>
        <rFont val="Times New Roman"/>
        <family val="1"/>
      </rPr>
      <t>e</t>
    </r>
  </si>
  <si>
    <r>
      <rPr>
        <b/>
        <sz val="9"/>
        <rFont val="Times New Roman"/>
        <family val="1"/>
      </rPr>
      <t>LULUCF Carbon Stock Change</t>
    </r>
    <r>
      <rPr>
        <b/>
        <sz val="6"/>
        <rFont val="Times New Roman"/>
        <family val="1"/>
      </rPr>
      <t>f</t>
    </r>
  </si>
  <si>
    <r>
      <rPr>
        <b/>
        <sz val="9"/>
        <rFont val="Times New Roman"/>
        <family val="1"/>
      </rPr>
      <t>LULUCF Sector Net Total</t>
    </r>
    <r>
      <rPr>
        <b/>
        <sz val="6"/>
        <rFont val="Times New Roman"/>
        <family val="1"/>
      </rPr>
      <t>g</t>
    </r>
  </si>
  <si>
    <r>
      <rPr>
        <b/>
        <sz val="9"/>
        <rFont val="Times New Roman"/>
        <family val="1"/>
      </rPr>
      <t>Net Emissions (Sources and Sinks)</t>
    </r>
  </si>
  <si>
    <r>
      <rPr>
        <sz val="9"/>
        <rFont val="Times New Roman"/>
        <family val="1"/>
      </rPr>
      <t xml:space="preserve">Notes: Total emissions presented without LULUCF. Net emissions presented with LULUCF.
</t>
    </r>
    <r>
      <rPr>
        <sz val="9"/>
        <rFont val="Times New Roman"/>
        <family val="1"/>
      </rPr>
      <t>+ Does not exceed 0.05 MMT CO</t>
    </r>
    <r>
      <rPr>
        <sz val="6"/>
        <rFont val="Times New Roman"/>
        <family val="1"/>
      </rPr>
      <t xml:space="preserve">2 </t>
    </r>
    <r>
      <rPr>
        <sz val="9"/>
        <rFont val="Times New Roman"/>
        <family val="1"/>
      </rPr>
      <t xml:space="preserve">Eq.
</t>
    </r>
    <r>
      <rPr>
        <sz val="6"/>
        <rFont val="Times New Roman"/>
        <family val="1"/>
      </rPr>
      <t xml:space="preserve">a </t>
    </r>
    <r>
      <rPr>
        <sz val="9"/>
        <rFont val="Times New Roman"/>
        <family val="1"/>
      </rPr>
      <t xml:space="preserve">There was a method update in this Inventory for estimating the share of gasoline used in on-road and non-road applications. The change does not impact total U.S. gasoline consumption. It mainly results in a shift in gasoline consumption from the transportation sector to industrial and commercial sectors for 2015, creating a break in the time series. The change is discussed further in the Planned Improvements section of Chapter 3.1.
</t>
    </r>
    <r>
      <rPr>
        <sz val="6"/>
        <rFont val="Times New Roman"/>
        <family val="1"/>
      </rPr>
      <t xml:space="preserve">b </t>
    </r>
    <r>
      <rPr>
        <sz val="9"/>
        <rFont val="Times New Roman"/>
        <family val="1"/>
      </rPr>
      <t xml:space="preserve">Emissions from Wood Biomass and Biofuel Consumption are not included specifically in summing Energy sector totals. Net carbon fluxes from changes in biogenic carbon reservoirs are accounted for in the estimates for Land Use, Land-Use Change, and Forestry.
</t>
    </r>
    <r>
      <rPr>
        <sz val="6"/>
        <rFont val="Times New Roman"/>
        <family val="1"/>
      </rPr>
      <t xml:space="preserve">c </t>
    </r>
    <r>
      <rPr>
        <sz val="9"/>
        <rFont val="Times New Roman"/>
        <family val="1"/>
      </rPr>
      <t xml:space="preserve">Emissions from International Bunker Fuels are not included in totals.
</t>
    </r>
    <r>
      <rPr>
        <sz val="6"/>
        <rFont val="Times New Roman"/>
        <family val="1"/>
      </rPr>
      <t xml:space="preserve">d </t>
    </r>
    <r>
      <rPr>
        <sz val="9"/>
        <rFont val="Times New Roman"/>
        <family val="1"/>
      </rPr>
      <t>Small amounts of PFC emissions also result from this source.</t>
    </r>
  </si>
  <si>
    <t>HFCs</t>
  </si>
  <si>
    <t>PFCs</t>
  </si>
  <si>
    <t>SF6</t>
  </si>
  <si>
    <t>NF3</t>
  </si>
  <si>
    <r>
      <rPr>
        <b/>
        <sz val="10"/>
        <rFont val="Tahoma"/>
        <family val="2"/>
      </rPr>
      <t>Table 2-2: Recent Trends in U.S. Greenhouse Gas Emissions and Sinks (kt)</t>
    </r>
  </si>
  <si>
    <t>2017 GHG Inventory, Emissions in kt</t>
  </si>
  <si>
    <t>2017 GHG Inventory, Emissions in MMT CO2e</t>
  </si>
  <si>
    <t xml:space="preserve">+ </t>
  </si>
  <si>
    <t>M</t>
  </si>
  <si>
    <t>+</t>
  </si>
  <si>
    <t>Calculated Exponential Log Values</t>
  </si>
  <si>
    <t>Need Exponential Calc?</t>
  </si>
  <si>
    <t>Exp</t>
  </si>
  <si>
    <t>Constant</t>
  </si>
  <si>
    <t>Sum of 2015</t>
  </si>
  <si>
    <t>Sum of 2016</t>
  </si>
  <si>
    <t>Sum of 2017</t>
  </si>
  <si>
    <t>Sum of 2018</t>
  </si>
  <si>
    <t>Sum of 2019</t>
  </si>
  <si>
    <t>Sum of 2020</t>
  </si>
  <si>
    <t>Sum of 2021</t>
  </si>
  <si>
    <t>Sum of 2022</t>
  </si>
  <si>
    <t>Sum of 2023</t>
  </si>
  <si>
    <t>Sum of 2024</t>
  </si>
  <si>
    <t>Sum of 2025</t>
  </si>
  <si>
    <t>Sum of 2026</t>
  </si>
  <si>
    <t>Sum of 2027</t>
  </si>
  <si>
    <t>Sum of 2028</t>
  </si>
  <si>
    <t>Sum of 2029</t>
  </si>
  <si>
    <t>Sum of 2030</t>
  </si>
  <si>
    <t>Sum of 2031</t>
  </si>
  <si>
    <t>Sum of 2032</t>
  </si>
  <si>
    <t>Sum of 2033</t>
  </si>
  <si>
    <t>Sum of 2034</t>
  </si>
  <si>
    <t>Sum of 2035</t>
  </si>
  <si>
    <t>Sum of 2036</t>
  </si>
  <si>
    <t>Sum of 2037</t>
  </si>
  <si>
    <t>Sum of 2038</t>
  </si>
  <si>
    <t>Sum of 2039</t>
  </si>
  <si>
    <t>Sum of 2040</t>
  </si>
  <si>
    <t>Sum of 2041</t>
  </si>
  <si>
    <t>Sum of 2042</t>
  </si>
  <si>
    <t>Sum of 2043</t>
  </si>
  <si>
    <t>Sum of 2044</t>
  </si>
  <si>
    <t>Sum of 2045</t>
  </si>
  <si>
    <t>Sum of 2046</t>
  </si>
  <si>
    <t>Sum of 2047</t>
  </si>
  <si>
    <t>Sum of 2048</t>
  </si>
  <si>
    <t>Sum of 2049</t>
  </si>
  <si>
    <t>Sum of 2050</t>
  </si>
  <si>
    <t xml:space="preserve">   CO2 emissions from other processes</t>
  </si>
  <si>
    <t xml:space="preserve">   CO2 process emissions</t>
  </si>
  <si>
    <t>CO2 emissions from other processes</t>
  </si>
  <si>
    <t>CH4 emissions from other processes</t>
  </si>
  <si>
    <t>CO2 from other processes</t>
  </si>
  <si>
    <t>N2O from other processes</t>
  </si>
  <si>
    <t>CH4 from other processes</t>
  </si>
  <si>
    <t>N2O emissions from other processes</t>
  </si>
  <si>
    <t>Waste management (no industrial wastewater treatment)</t>
  </si>
  <si>
    <t xml:space="preserve">   CH4 emissions from other processes</t>
  </si>
  <si>
    <t>Industrial Wastewater Projections</t>
  </si>
  <si>
    <t>Activity</t>
  </si>
  <si>
    <t>Industrial</t>
  </si>
  <si>
    <t xml:space="preserve">   CH4 from industrial wastewater processing</t>
  </si>
  <si>
    <t>EPA (2013) p. 1</t>
  </si>
  <si>
    <t>These industrial processes do not have source specific methodologies. For all processes future emissions were projected based on a linear extrpoloation of historical 1990-2015 trends for increasing emissions and through exponential extrapolation for decreasing trends, in accordance with the methdology from EPA (2013). The one exception is industrial wastewater treatment, which is calculated on the Waste - Water Treatment tab and uses a 5 year history for extrapolation.</t>
  </si>
  <si>
    <t>HCFC-22 Feedstock Production Assumptions and Emission Factor</t>
  </si>
  <si>
    <t>Page 41</t>
  </si>
  <si>
    <t>HCFC-22 Manufacturing</t>
  </si>
  <si>
    <t>Velders et al (2015)</t>
  </si>
  <si>
    <t>Substitution of Ozone Depleting Substitutes</t>
  </si>
  <si>
    <t>EPA (2013) p. 38</t>
  </si>
  <si>
    <t>Aluminum Production</t>
  </si>
  <si>
    <t>Columbia Climate Center</t>
  </si>
  <si>
    <t>Mitigating Emissions from Alumnium</t>
  </si>
  <si>
    <t>http://climate.columbia.edu/files/2012/04/GNCS-Aluminum-Factsheet.pdf</t>
  </si>
  <si>
    <t>Emissions are projected based on an assumption of constant future production from 2015 values and 5 year average emissions factors. The PFC emissions factor is assumed to decline by 50% relative to 2006 levels based on an international voluntary agreement, after which the emissions factor is held constant.</t>
  </si>
  <si>
    <t>p.2 "Mitigation Options"</t>
  </si>
  <si>
    <t>50% Emissions Factor Reduction Target</t>
  </si>
  <si>
    <t>Inventory of U.S. Greenhouse Gas Emissions and Sinks: 1990-2015, 2017 Main Report Tables</t>
  </si>
  <si>
    <t>https://www.epa.gov/sites/production/files/2017-06/chapter_tables_2.zip</t>
  </si>
  <si>
    <t>Emissions are projected to be constant at 2015 levels based on the methodology in EPA (2013)</t>
  </si>
  <si>
    <t>EPA (2013) p. 40</t>
  </si>
  <si>
    <t>Manufacturing Output Growth Relative to 2015</t>
  </si>
  <si>
    <t>Emissions are calculated by estimating growth in semiconductor manucaturing and an improving emissions factor. Future semiconductor production was assumed to grow at 12% per year in 2012, declining to 5% per year in 2020 and maintaining this level in future years. New facilities are more efficient than old ones, but there is very little data available on semiconductor manufacturing and output from new and old facilities. Given data limitations, we assume new facilities are 15% more efficient than the average in 2015.</t>
  </si>
  <si>
    <t>EPA (2013) p. 46</t>
  </si>
  <si>
    <t>total miles</t>
  </si>
  <si>
    <t>https://energy.gov/sites/prod/files/2015/07/f24/ElectricityAppendix.pdf</t>
  </si>
  <si>
    <t>Total Miles</t>
  </si>
  <si>
    <t xml:space="preserve">   Partner Miles</t>
  </si>
  <si>
    <t xml:space="preserve">      Partners with &gt;10,000 miles</t>
  </si>
  <si>
    <t xml:space="preserve">      Partners with &lt;10,000 miles</t>
  </si>
  <si>
    <t xml:space="preserve">   Non Partner Miles</t>
  </si>
  <si>
    <t>https://www.epa.gov/sites/production/files/2016-02/documents/eps_rep_02.pdf</t>
  </si>
  <si>
    <t>EPA GHG Inventory</t>
  </si>
  <si>
    <t>Projected Growth in Transmission</t>
  </si>
  <si>
    <t>Partners with &gt;10,000 miles</t>
  </si>
  <si>
    <t>Partners with &lt;10,000 miles</t>
  </si>
  <si>
    <t>Non-partners with &gt;10,000 miles</t>
  </si>
  <si>
    <t>Non-partners with &lt;10,000 miles</t>
  </si>
  <si>
    <t xml:space="preserve">      Non-partners with &gt;10,000 miles</t>
  </si>
  <si>
    <t xml:space="preserve">      Non-partners with &lt;10,000 miles</t>
  </si>
  <si>
    <t>Breakdown of 2015 Transmission Miles</t>
  </si>
  <si>
    <t>Breakdown of 2015 Emissions</t>
  </si>
  <si>
    <t>Total Emissions (kt SF6)</t>
  </si>
  <si>
    <t xml:space="preserve">   Non Partner Emissions</t>
  </si>
  <si>
    <t>(kt SF6)</t>
  </si>
  <si>
    <t>(MMT CO2e)</t>
  </si>
  <si>
    <t>Transmission Mile Allocation</t>
  </si>
  <si>
    <t>Partners &gt;10,000 miles</t>
  </si>
  <si>
    <t>Partners &lt;10,000 miles</t>
  </si>
  <si>
    <t>Emissions are calculated by projecting future in growth in transmission miles and then multiplying growth by an emissions factor. Growth and emissions factors are calculated separately for EPA partner companies and non-partner companies and for companies with over 10,000 transmission miles and companies under. The data necessary to divide up companies is not readily available. Therefore, we used an average of partner to non-partner companies as a share of total transmission miles from EPA (2017) and EPA document from 2002 that has a breakdown of partner companies by transmission mileage. We assume the same ratio of companies with &gt;10,000 mileage for non-partner as with partner companies. We then use the growth and emissions factors for each sub-group as developed in EPA (2013) to forecast future emissions.</t>
  </si>
  <si>
    <t>EPA (2013) p. 50</t>
  </si>
  <si>
    <t>Share of Companies with Greater/Less than 10,000 Miles Transmission</t>
  </si>
  <si>
    <t>SF6 Emissions Reduction Partnership for Electric Power Systems</t>
  </si>
  <si>
    <t>Figure 3: Profile of Partner Utilities by Transmission Mileage</t>
  </si>
  <si>
    <t>Total High Voltage Transmission Mileage (&gt;34kV)</t>
  </si>
  <si>
    <t>US Department of Energy</t>
  </si>
  <si>
    <t>QER Report: Energy Transmission, Storage, and Distribution Infrastructure</t>
  </si>
  <si>
    <t>Appendix C, p.21</t>
  </si>
  <si>
    <t>2015 Emissions</t>
  </si>
  <si>
    <t>Table 4-102</t>
  </si>
  <si>
    <t>Emissions are calculated for specific animals based on projected growth in animal populations and historical and projected emissions factors. Future animal populations are estimated using the USDA Agricultural Projections to 2026, where available, or historical animal livestock populations where not, and linear extrpolation for later years. Specific emissions factors projecting historical emissions factors trends forward were used for dairy and beef cattle, while other animal types use static emissions factors. Some animal types (e.g. horses) were assumed to have fixed emissions going forward based on past inventories.</t>
  </si>
  <si>
    <t>EPA (2013) p. 51</t>
  </si>
  <si>
    <t>US Department of Agriculture</t>
  </si>
  <si>
    <t>USDA Agricultural Projections to 2026</t>
  </si>
  <si>
    <t>Tables 18, 19,  and 23</t>
  </si>
  <si>
    <t>Emissions Factors for Sheep, Goats, and Swine</t>
  </si>
  <si>
    <t>p. 53</t>
  </si>
  <si>
    <t>EPA (2013) p. 54</t>
  </si>
  <si>
    <t xml:space="preserve">Emissions are calculated for specific animals based on projected growth in animal populations and historical and projected emissions factors. Future animal populations are estimated using the USDA Agricultural Projections to 2026, where available, or historical animal livestock populations where not, and linear extrpolation for later years. Specific emissions factors projecting historical emissions factors trends forward were used for dairy and beef cattle, while other animal types use static average emissions factors. </t>
  </si>
  <si>
    <t>Rice Cultivation</t>
  </si>
  <si>
    <t>Emissions are calculated based on production forecasts and average historical emissions factors. Future production is estimated using the USDA Agricultural Projections to 2026 and held fixed in later years. A five year average historical emissions factor is calculated and multiplied by future prodcution to estimate emissions.</t>
  </si>
  <si>
    <t>EPA (2013), equation 20</t>
  </si>
  <si>
    <t>CH4 emissions from landfilling of solid and industrial waste</t>
  </si>
  <si>
    <t>EPA (2013) equation 28, equation 32, and equation 33</t>
  </si>
  <si>
    <t>Domestic wastewater emissions are calculated separately for on-site septic systems, centrally treated aerobic and anaerobic systems, anaeorbic digesters, effluent discharge, central treatment systems/plants, industrial wastewater (which is grouped here with domestic wastewater)
On-site septic system emissions are calculated based on population projections, the share of total domestic wastewater treatement that is on-site, and an emissions factor.
EPA (2013) has a complex calculation for centrally treated aerobic and anaerobic systems. However, since the primary driver of treatment is the amount of BOD5 generated, other relevant input data were not expected to change, and per capita BOD5 generation rates are relatively stable, future emissions estimates are scaled based on population growth. Anaerboic digester emissions were also scaled based on population growth.
Emissions from effluent discharge are calculated based on population projections, the share of population served by biological denitrification, the percent of the US population using central treatment plants, per capita protein consumption, and the amount of nitrogen removed from sludge, in accordance with  the EPA (2013) methodology. Emissions from central treatment systems/plants are calculated similarly, but also take into account the factor fof industrial and commerical co-discharged protein into the sewer system and emissions factors for plants with and without biological denitrification.
Industrial wastewater emissions are calculated by linear extrapolation of the 1990-2015 emissions trend.</t>
  </si>
  <si>
    <t>Wastewater Treatment</t>
  </si>
  <si>
    <t>EPA (2013)  equation 27</t>
  </si>
  <si>
    <t>For MSW landfills, EIA (2013) uses a landfill emissions model with proprietary data to estimate future landfill emissions. Due to data limitations and time constraints, we estimate future landfill emissions based on extrapolation of the past five years of data.
Industrial landfill emissions are estimated by scaling historical emissions in the base year by projected growth in value of shipments from EIA AEO 2017 (no CPP) for the paper and food manufacturing industries, which are resposible for the vast majority of industrial landfilling. 
The share of industrial CH4 that is oxidized is assumed to remain constant, equal to 10% of industrial landfill emissions</t>
  </si>
  <si>
    <t>EPA (2013), equation 22 and 23 and rest of chapter</t>
  </si>
  <si>
    <t>Emissions are calculated sperately for five different soil management categories: fertilizer use, livestock production, crop production, other direct emissions, and indirect emissions. For fertilizer use, historical nitrogen application rates and emissions are held constant in future years. This differs from the EPA (2013) methodology, which linearly extrpolates a 10-year trend forward. However, the past 9 years of nitrogen application have been relatively constant, and applying a future trend based on a single high year seemed erroneous. 
For nitrogen from crop residues, emissions are calculated by scaling 2015 emissions based on projected future nitrogen crop residues using the methodolgy in EPA (2013) and crop paramaters from the 2006 IPCC Guidelines for National Greenhouse Gas Inventories. Crop production forecasts are based on the USDA Agricultural Projections to 2026 and extrpolation of a five year trend in later years. Production amounts and input paramaters for specific crops are used to project future N2O emissions. Due to limited data for upland cotton, assumptions were made for this crop type.
For livestock production, average region-specific livesetock excretion rates, weight, and populations were used to forecast base year and future year nitrogen deposition. Future emissions were estimated by scaling base year emissions by the change in forecasted nitrogen deosition to base year forecasted nitrogen deposition.
Emissions with no activity driver ("none") were held constant in future years while indirect emissions were scaled based on the total projected increase in direct emissions relative to the base year.</t>
  </si>
  <si>
    <r>
      <t xml:space="preserve">In general the methodology used here follows that of the US Environmental Protection Agency in </t>
    </r>
    <r>
      <rPr>
        <i/>
        <sz val="11"/>
        <color theme="1"/>
        <rFont val="Calibri"/>
        <family val="2"/>
        <scheme val="minor"/>
      </rPr>
      <t>Methodologies for U.S. Greenhouse Gas Emissions Projections: Non-CO2 and Non-Energy CO2 Sources</t>
    </r>
    <r>
      <rPr>
        <sz val="11"/>
        <color theme="1"/>
        <rFont val="Calibri"/>
        <family val="2"/>
        <scheme val="minor"/>
      </rPr>
      <t xml:space="preserve"> with a few exceptions. </t>
    </r>
  </si>
  <si>
    <t>Notes:</t>
  </si>
  <si>
    <t>p.7-30, 7-31, and Table 7-15</t>
  </si>
  <si>
    <t>Input Data for Effluent Discharge and Central Treatment Calculations</t>
  </si>
  <si>
    <t>Page 7-22</t>
  </si>
  <si>
    <t>Share of Domestic Wastewater Treated in Septic Systems</t>
  </si>
  <si>
    <t>Page 69</t>
  </si>
  <si>
    <t>Tables 10.19,  10A-4, 10A-5, 10A-7, 10A-9, 11.2</t>
  </si>
  <si>
    <t>http://www.ipcc-nggip.iges.or.jp/public/2006gl/</t>
  </si>
  <si>
    <t>2006 IPCC Guidelines for National Greenhouse Gas Inventories</t>
  </si>
  <si>
    <t>Intergovernmental Panel on Climate Change</t>
  </si>
  <si>
    <t>Emissions Factor for Septic Systems</t>
  </si>
  <si>
    <t>Crop Residue and Livestock Production Parameters</t>
  </si>
  <si>
    <t>Table 20</t>
  </si>
  <si>
    <t>Tables A-198 and A-201</t>
  </si>
  <si>
    <t>https://www.eia.gov/outlooks/aeo/excel/aeotab_20.xlsx</t>
  </si>
  <si>
    <t>Inventory of U.S. Greenhouse Gas Emissions and Sinks: 1990-2015, Appendix 3 Part B</t>
  </si>
  <si>
    <t>Population Projections</t>
  </si>
  <si>
    <t>Nitrogen Application</t>
  </si>
  <si>
    <t>Wastewater</t>
  </si>
  <si>
    <t>Soil Management</t>
  </si>
  <si>
    <t>Projected Crop Production and Animal Populations</t>
  </si>
  <si>
    <t>Table 3-21 (non energy use of fossil fuels); Table 4-60 (iron and steel); Table 4-58 (iron and steel: metallurgical coke); Table 4-62 (iron and steel); Table 3-30 (coal mining); Table 3-37 (petroleum systems): Table 3-39 (petroleum systems);  Table 2-1 (all emissions in CO2e); Table 2-2 (all emissions in kt); Table 5-7 (manure management); Table 5-4 (enteric fermentation); Table 4-79 (aluminum); Table 7-7 (wastewater)</t>
  </si>
  <si>
    <t>Specific methodologies and sources are listed in the table below. Global warming potentials are taken from the IPCC's Fifth Assessment Report.</t>
  </si>
  <si>
    <t>Table 3.6-10: CO2 Emissions (kt) for Natural Gas Systems, by Segment and Source, for All Years</t>
  </si>
  <si>
    <t>Drilling and Well Completions</t>
  </si>
  <si>
    <t>Gas Well Completions with Hydraulic Fracturing</t>
  </si>
  <si>
    <t>Condensate Tanks without Control Devices</t>
  </si>
  <si>
    <t>Condensate Tanks with Control Devices</t>
  </si>
  <si>
    <t>Well Workovers and Clean Ups</t>
  </si>
  <si>
    <t>Gas Well Workovers with Hydraulic Fracturing</t>
  </si>
  <si>
    <t>Flaring Emissions - Onshore</t>
  </si>
  <si>
    <t>Flaring Emissions - Offshore</t>
  </si>
  <si>
    <t xml:space="preserve">Processing </t>
  </si>
  <si>
    <t>Plants - Before CO2 removal</t>
  </si>
  <si>
    <t>Plants - After CO2 removal</t>
  </si>
  <si>
    <t>Recip. Compressors  - Before CO2 removal</t>
  </si>
  <si>
    <t>Recip. Compressors  - After CO2 removal</t>
  </si>
  <si>
    <t>Centr. Compressors (wet seals) - Before CO2 removal</t>
  </si>
  <si>
    <t>Centr. Compressors (wet seals) -After CO2 removal</t>
  </si>
  <si>
    <t>Centr. Compressors (dry seals) - Before CO2 removal</t>
  </si>
  <si>
    <t>Centr. Compressors (dry seals) -After CO2 removal</t>
  </si>
  <si>
    <t xml:space="preserve">    Kimray Pumps</t>
  </si>
  <si>
    <t xml:space="preserve">    Dehydrator Vents</t>
  </si>
  <si>
    <t>Transmission and Storage</t>
  </si>
  <si>
    <t xml:space="preserve">    Recip Compressor</t>
  </si>
  <si>
    <t xml:space="preserve">        Pneumatic Devices Trans</t>
  </si>
  <si>
    <t>Distribution</t>
  </si>
  <si>
    <t>CO2 emissions from natural gas systems</t>
  </si>
  <si>
    <t>Emissions are calculated separately for production, processing, transmission and storage, and distribution. For production and processing, potential emissions are scaled forward based on projected dry production from EIA AEO 2017 (no CPP) relative to the base year. For transmission and storage and distribution, potential emissions are scaled foreward based on projected consumption (distbribution emissions use sector specific consumption forecasts). Additionally, pipeline leaks in the distibution segment are forecast based on linear extrapoloation of historical pipeline miles and services. Voluntary and regulatory reductions are also projected in accordance with the methdology in EPA (2013).
CO2 emissions are estimated by projecting baseyear emissions by the growth in dry gas production from EIA AEO 2017 (no CPP).</t>
  </si>
  <si>
    <t>Other Process Uses of Carbonates</t>
  </si>
  <si>
    <t>Urea Fertilization</t>
  </si>
  <si>
    <t>Incineration of Waste</t>
  </si>
  <si>
    <t>Liming</t>
  </si>
  <si>
    <t>Ferroalloy Production</t>
  </si>
  <si>
    <t>Glass Production</t>
  </si>
  <si>
    <r>
      <rPr>
        <sz val="11"/>
        <rFont val="Calibri"/>
        <family val="2"/>
        <scheme val="minor"/>
      </rPr>
      <t>Urea Consumption for Non- Agricultural Purposes</t>
    </r>
  </si>
  <si>
    <r>
      <rPr>
        <sz val="11"/>
        <rFont val="Calibri"/>
        <family val="2"/>
        <scheme val="minor"/>
      </rPr>
      <t>Silicon Carbide Production and Consumption</t>
    </r>
  </si>
  <si>
    <t xml:space="preserve">   N2O emissions from other processes</t>
  </si>
  <si>
    <t>Other industries, CH4</t>
  </si>
  <si>
    <t>AR5 20-Year GWP</t>
  </si>
  <si>
    <t>AR5 100-Year GWP</t>
  </si>
  <si>
    <t>EPA 100-Year GWP</t>
  </si>
  <si>
    <t>CH4 (kt CH4)</t>
  </si>
  <si>
    <r>
      <rPr>
        <sz val="11"/>
        <rFont val="Calibri"/>
        <family val="2"/>
        <scheme val="minor"/>
      </rPr>
      <t>N₂O from Product Uses</t>
    </r>
  </si>
  <si>
    <t xml:space="preserve">   CH4 from other processes</t>
  </si>
  <si>
    <t xml:space="preserve">Emissions from substitution of ODS is based on the methodology of Velders et al (2015) and requirements under the Kigali Amendment to the Montreal Protocol. Historical HFC stocks are taken from emissions filings to the UNFCCC, which include a detailed breakdown of HFC stocks, by chemical, by sector, by end-use. The annual growth in stocks in the base year is calculated as the net change in stocks inclusive of consumption and emissions. In future years, the growth of stocks is forecast based on population growth forecasts from EIA AEO 2017. Future consumption is the minimum of the allowbale amount under the Kigali Agreement or projected consumption. Emissions factors calculated in Velders et al based on the UNFCCC data are used to forecast emissions from the total stock in future years. Emissions are converted to CO2e using global warming potentials from the UNFCCC's Fifth Assessment Report. </t>
  </si>
  <si>
    <t>Exclude</t>
  </si>
  <si>
    <t>BAU</t>
  </si>
  <si>
    <t>US EPA Projected HFC Emissions</t>
  </si>
  <si>
    <t>Annualized Emissions</t>
  </si>
  <si>
    <t>SNAP</t>
  </si>
  <si>
    <t>SNAP - Most Likely Scenario</t>
  </si>
  <si>
    <t>Climate Benefits of the SNAP Program Status Rule Change</t>
  </si>
  <si>
    <t>https://www.regulations.gov/contentStreamer?documentId=EPA-HQ-OAR-2015-0663-0019&amp;contentType=pdf</t>
  </si>
  <si>
    <t>Table 2. Emissions Profile of Affected Sectors/Applications in Transition Scenarios and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</si>
</sst>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0.0%"/>
    <numFmt numFmtId="165" formatCode="#,##0.0;#,##0.0"/>
    <numFmt numFmtId="166" formatCode="###0.0;###0.0"/>
    <numFmt numFmtId="167" formatCode="###0.00;###0.00"/>
    <numFmt numFmtId="168" formatCode="#,##0;#,##0"/>
    <numFmt numFmtId="169" formatCode="###0;###0"/>
    <numFmt numFmtId="170" formatCode="###0_);\(###0\)"/>
    <numFmt numFmtId="171" formatCode="#,##0.0"/>
    <numFmt numFmtId="172" formatCode="0.0"/>
    <numFmt numFmtId="173" formatCode="0.000"/>
    <numFmt numFmtId="174" formatCode="#,##0.000"/>
    <numFmt numFmtId="175" formatCode="0.0000"/>
    <numFmt numFmtId="176" formatCode="0.0000000"/>
    <numFmt numFmtId="177" formatCode="0.0E+00"/>
  </numFmts>
  <fonts count="51" x14ac:knownFonts="1">
    <font>
      <sz val="11"/>
      <color theme="1"/>
      <name val="Calibri"/>
      <family val="2"/>
      <scheme val="minor"/>
    </font>
    <font>
      <b/>
      <sz val="11"/>
      <color theme="1"/>
      <name val="Calibri"/>
      <family val="2"/>
      <scheme val="minor"/>
    </font>
    <font>
      <u/>
      <sz val="11"/>
      <color theme="10"/>
      <name val="Calibri"/>
      <family val="2"/>
      <scheme val="minor"/>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b/>
      <sz val="9"/>
      <name val="Times New Roman"/>
      <family val="1"/>
    </font>
    <font>
      <b/>
      <sz val="6"/>
      <name val="Times New Roman"/>
      <family val="1"/>
    </font>
    <font>
      <b/>
      <sz val="9"/>
      <color rgb="FF000000"/>
      <name val="Times New Roman"/>
      <family val="2"/>
    </font>
    <font>
      <sz val="9"/>
      <name val="Times New Roman"/>
      <family val="1"/>
    </font>
    <font>
      <sz val="9"/>
      <color rgb="FF000000"/>
      <name val="Times New Roman"/>
      <family val="2"/>
    </font>
    <font>
      <sz val="6"/>
      <name val="Times New Roman"/>
      <family val="1"/>
    </font>
    <font>
      <b/>
      <sz val="10"/>
      <name val="Tahoma"/>
      <family val="2"/>
    </font>
    <font>
      <b/>
      <sz val="7"/>
      <name val="Tahoma"/>
      <family val="2"/>
    </font>
    <font>
      <sz val="11"/>
      <color theme="1"/>
      <name val="Calibri"/>
      <family val="2"/>
      <scheme val="minor"/>
    </font>
    <font>
      <i/>
      <sz val="11"/>
      <color theme="1"/>
      <name val="Calibri"/>
      <family val="2"/>
      <scheme val="minor"/>
    </font>
    <font>
      <sz val="10"/>
      <name val="Arial"/>
      <family val="2"/>
    </font>
    <font>
      <sz val="11"/>
      <color rgb="FFFF0000"/>
      <name val="Calibri"/>
      <family val="2"/>
      <scheme val="minor"/>
    </font>
    <font>
      <sz val="11"/>
      <name val="Calibri"/>
      <family val="2"/>
      <scheme val="minor"/>
    </font>
    <font>
      <sz val="12"/>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name val="Calibri"/>
      <family val="2"/>
    </font>
    <font>
      <sz val="11"/>
      <name val="Calibri"/>
      <family val="2"/>
    </font>
    <font>
      <u/>
      <sz val="11"/>
      <color theme="1"/>
      <name val="Calibri"/>
      <family val="2"/>
      <scheme val="minor"/>
    </font>
    <font>
      <b/>
      <sz val="10"/>
      <name val="Tahoma"/>
      <family val="2"/>
    </font>
    <font>
      <b/>
      <sz val="9"/>
      <name val="Times New Roman"/>
      <family val="1"/>
    </font>
    <font>
      <sz val="9"/>
      <name val="Times New Roman"/>
      <family val="1"/>
    </font>
    <font>
      <u/>
      <sz val="10"/>
      <color indexed="12"/>
      <name val="Arial"/>
      <family val="2"/>
    </font>
    <font>
      <b/>
      <sz val="10"/>
      <name val="Calibri"/>
      <family val="2"/>
      <scheme val="minor"/>
    </font>
    <font>
      <sz val="9"/>
      <name val="Calibri"/>
      <family val="2"/>
      <scheme val="minor"/>
    </font>
    <font>
      <b/>
      <sz val="12"/>
      <color theme="0"/>
      <name val="Calibri"/>
      <family val="2"/>
      <scheme val="minor"/>
    </font>
    <font>
      <sz val="10"/>
      <name val="Calibri"/>
      <family val="2"/>
      <scheme val="minor"/>
    </font>
    <font>
      <b/>
      <u/>
      <sz val="10"/>
      <name val="Calibri"/>
      <family val="2"/>
      <scheme val="minor"/>
    </font>
    <font>
      <b/>
      <sz val="9"/>
      <color theme="0"/>
      <name val="Calibri"/>
      <family val="2"/>
      <scheme val="minor"/>
    </font>
    <font>
      <b/>
      <sz val="9"/>
      <name val="Calibri"/>
      <family val="2"/>
      <scheme val="minor"/>
    </font>
    <font>
      <b/>
      <i/>
      <sz val="9"/>
      <name val="Calibri"/>
      <family val="2"/>
      <scheme val="minor"/>
    </font>
    <font>
      <i/>
      <sz val="9"/>
      <name val="Calibri"/>
      <family val="2"/>
      <scheme val="minor"/>
    </font>
    <font>
      <sz val="10"/>
      <color rgb="FFFF0000"/>
      <name val="Arial"/>
      <family val="2"/>
    </font>
    <font>
      <b/>
      <sz val="11"/>
      <name val="Calibri"/>
      <family val="2"/>
      <scheme val="minor"/>
    </font>
    <font>
      <b/>
      <sz val="6"/>
      <name val="Cambria Math"/>
      <family val="1"/>
    </font>
    <font>
      <i/>
      <sz val="9"/>
      <name val="Times New Roman"/>
      <family val="1"/>
    </font>
    <font>
      <i/>
      <sz val="6"/>
      <name val="Times New Roman"/>
      <family val="1"/>
    </font>
    <font>
      <sz val="6"/>
      <name val="Cambria Math"/>
      <family val="1"/>
    </font>
    <font>
      <b/>
      <sz val="10"/>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C0C0C0"/>
      </patternFill>
    </fill>
    <fill>
      <patternFill patternType="solid">
        <fgColor rgb="FFBEBEBE"/>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3"/>
        <bgColor indexed="64"/>
      </patternFill>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indexed="9"/>
        <bgColor indexed="64"/>
      </patternFill>
    </fill>
  </fills>
  <borders count="3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style="thin">
        <color rgb="FFBEBEBE"/>
      </right>
      <top style="thin">
        <color rgb="FF000000"/>
      </top>
      <bottom style="thin">
        <color rgb="FF000000"/>
      </bottom>
      <diagonal/>
    </border>
    <border>
      <left style="thin">
        <color rgb="FFBEBEBE"/>
      </left>
      <right/>
      <top style="thin">
        <color rgb="FF000000"/>
      </top>
      <bottom style="thin">
        <color rgb="FF000000"/>
      </bottom>
      <diagonal/>
    </border>
    <border>
      <left/>
      <right style="thin">
        <color rgb="FFBEBEBE"/>
      </right>
      <top style="thin">
        <color rgb="FF000000"/>
      </top>
      <bottom/>
      <diagonal/>
    </border>
    <border>
      <left style="thin">
        <color rgb="FFBEBEBE"/>
      </left>
      <right/>
      <top style="thin">
        <color rgb="FF000000"/>
      </top>
      <bottom/>
      <diagonal/>
    </border>
    <border>
      <left/>
      <right style="thin">
        <color rgb="FFBEBEBE"/>
      </right>
      <top/>
      <bottom/>
      <diagonal/>
    </border>
    <border>
      <left style="thin">
        <color rgb="FFBEBEBE"/>
      </left>
      <right/>
      <top/>
      <bottom/>
      <diagonal/>
    </border>
    <border>
      <left/>
      <right style="thin">
        <color rgb="FFBEBEBE"/>
      </right>
      <top/>
      <bottom style="thin">
        <color rgb="FF000000"/>
      </bottom>
      <diagonal/>
    </border>
    <border>
      <left style="thin">
        <color rgb="FFBEBEBE"/>
      </left>
      <right/>
      <top/>
      <bottom style="thin">
        <color rgb="FF000000"/>
      </bottom>
      <diagonal/>
    </border>
    <border>
      <left/>
      <right style="thin">
        <color rgb="FFC0C0C0"/>
      </right>
      <top style="thin">
        <color rgb="FF000000"/>
      </top>
      <bottom style="thin">
        <color rgb="FF000000"/>
      </bottom>
      <diagonal/>
    </border>
    <border>
      <left style="thin">
        <color rgb="FFC0C0C0"/>
      </left>
      <right/>
      <top style="thin">
        <color rgb="FF000000"/>
      </top>
      <bottom style="thin">
        <color rgb="FF000000"/>
      </bottom>
      <diagonal/>
    </border>
    <border>
      <left/>
      <right style="thin">
        <color rgb="FFC0C0C0"/>
      </right>
      <top style="thin">
        <color rgb="FF000000"/>
      </top>
      <bottom/>
      <diagonal/>
    </border>
    <border>
      <left style="thin">
        <color rgb="FFC0C0C0"/>
      </left>
      <right/>
      <top style="thin">
        <color rgb="FF000000"/>
      </top>
      <bottom/>
      <diagonal/>
    </border>
    <border>
      <left/>
      <right style="thin">
        <color rgb="FFC0C0C0"/>
      </right>
      <top/>
      <bottom style="thin">
        <color rgb="FF000000"/>
      </bottom>
      <diagonal/>
    </border>
    <border>
      <left style="thin">
        <color rgb="FFC0C0C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7"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9" fontId="17" fillId="0" borderId="0" applyFont="0" applyFill="0" applyBorder="0" applyAlignment="0" applyProtection="0"/>
    <xf numFmtId="0" fontId="19" fillId="0" borderId="0"/>
    <xf numFmtId="0" fontId="19" fillId="0" borderId="0" applyNumberFormat="0" applyFont="0" applyFill="0" applyBorder="0" applyProtection="0">
      <alignment horizontal="left" vertical="center" indent="2"/>
    </xf>
    <xf numFmtId="0" fontId="12" fillId="0" borderId="0"/>
    <xf numFmtId="0" fontId="22" fillId="0" borderId="0"/>
    <xf numFmtId="0" fontId="3" fillId="0" borderId="0"/>
    <xf numFmtId="0" fontId="34" fillId="0" borderId="0" applyNumberFormat="0" applyFill="0" applyBorder="0" applyAlignment="0" applyProtection="0"/>
  </cellStyleXfs>
  <cellXfs count="365">
    <xf numFmtId="0" fontId="0" fillId="0" borderId="0" xfId="0"/>
    <xf numFmtId="10" fontId="0" fillId="0" borderId="0" xfId="0" applyNumberFormat="1"/>
    <xf numFmtId="1" fontId="0" fillId="0" borderId="0" xfId="0" applyNumberFormat="1"/>
    <xf numFmtId="0" fontId="2" fillId="0" borderId="0" xfId="1"/>
    <xf numFmtId="0" fontId="3" fillId="0" borderId="0" xfId="2" applyFont="1"/>
    <xf numFmtId="0" fontId="4" fillId="0" borderId="1" xfId="3" applyFont="1" applyFill="1" applyBorder="1" applyAlignment="1">
      <alignment wrapText="1"/>
    </xf>
    <xf numFmtId="0" fontId="5" fillId="0" borderId="0" xfId="0" applyFont="1"/>
    <xf numFmtId="0" fontId="6" fillId="0" borderId="0" xfId="0" applyFont="1"/>
    <xf numFmtId="0" fontId="7" fillId="0" borderId="0" xfId="4" applyFont="1" applyFill="1" applyBorder="1" applyAlignment="1">
      <alignment horizontal="left"/>
    </xf>
    <xf numFmtId="0" fontId="0" fillId="0" borderId="0" xfId="0" applyAlignment="1" applyProtection="1">
      <alignment horizontal="left"/>
    </xf>
    <xf numFmtId="0" fontId="4" fillId="0" borderId="2" xfId="5" applyFont="1" applyFill="1" applyBorder="1" applyAlignment="1">
      <alignment wrapText="1"/>
    </xf>
    <xf numFmtId="0" fontId="0" fillId="0" borderId="3" xfId="6" applyFont="1" applyFill="1" applyBorder="1" applyAlignment="1">
      <alignment wrapText="1"/>
    </xf>
    <xf numFmtId="3" fontId="0" fillId="0" borderId="3" xfId="6" applyNumberFormat="1" applyFont="1" applyFill="1" applyAlignment="1">
      <alignment horizontal="right" wrapText="1"/>
    </xf>
    <xf numFmtId="164" fontId="0" fillId="0" borderId="3" xfId="6" applyNumberFormat="1" applyFont="1" applyFill="1" applyAlignment="1">
      <alignment horizontal="right" wrapText="1"/>
    </xf>
    <xf numFmtId="3" fontId="4" fillId="0" borderId="2" xfId="5" applyNumberFormat="1" applyFill="1" applyAlignment="1">
      <alignment horizontal="right" wrapText="1"/>
    </xf>
    <xf numFmtId="164" fontId="4" fillId="0" borderId="2" xfId="5" applyNumberFormat="1" applyFill="1" applyAlignment="1">
      <alignment horizontal="right" wrapText="1"/>
    </xf>
    <xf numFmtId="4" fontId="0" fillId="0" borderId="3" xfId="6" applyNumberFormat="1" applyFont="1" applyFill="1" applyAlignment="1">
      <alignment horizontal="right" wrapText="1"/>
    </xf>
    <xf numFmtId="4" fontId="4" fillId="0" borderId="2" xfId="5" applyNumberFormat="1" applyFill="1" applyAlignment="1">
      <alignment horizontal="right" wrapText="1"/>
    </xf>
    <xf numFmtId="0" fontId="8" fillId="0" borderId="0" xfId="0" applyFont="1"/>
    <xf numFmtId="0" fontId="0" fillId="2" borderId="3" xfId="6" applyFont="1" applyFill="1" applyBorder="1" applyAlignment="1">
      <alignment wrapText="1"/>
    </xf>
    <xf numFmtId="0" fontId="0" fillId="0" borderId="6" xfId="0" applyFill="1" applyBorder="1" applyAlignment="1">
      <alignment horizontal="left" vertical="top" wrapText="1"/>
    </xf>
    <xf numFmtId="0" fontId="12" fillId="0" borderId="0" xfId="0" applyFont="1" applyFill="1" applyBorder="1" applyAlignment="1">
      <alignment horizontal="left" vertical="top" wrapText="1"/>
    </xf>
    <xf numFmtId="0" fontId="12"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5" xfId="0" applyFont="1" applyFill="1" applyBorder="1" applyAlignment="1">
      <alignment horizontal="left" vertical="top"/>
    </xf>
    <xf numFmtId="0" fontId="12" fillId="0" borderId="0" xfId="0" applyFont="1" applyFill="1" applyBorder="1" applyAlignment="1">
      <alignment horizontal="left" vertical="top"/>
    </xf>
    <xf numFmtId="0" fontId="9" fillId="0" borderId="0" xfId="0" applyFont="1" applyFill="1" applyBorder="1" applyAlignment="1">
      <alignment horizontal="left" vertical="top"/>
    </xf>
    <xf numFmtId="0" fontId="12" fillId="0" borderId="6" xfId="0" applyFont="1" applyFill="1" applyBorder="1" applyAlignment="1">
      <alignment horizontal="left" vertical="top"/>
    </xf>
    <xf numFmtId="0" fontId="9" fillId="0" borderId="7" xfId="0" applyFont="1" applyFill="1" applyBorder="1" applyAlignment="1">
      <alignment horizontal="left" vertical="top"/>
    </xf>
    <xf numFmtId="0" fontId="15" fillId="0" borderId="0" xfId="0" applyFon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2" fillId="0" borderId="5" xfId="0" applyFont="1" applyFill="1" applyBorder="1" applyAlignment="1">
      <alignment horizontal="left" vertical="top" wrapText="1"/>
    </xf>
    <xf numFmtId="0" fontId="0" fillId="3" borderId="0" xfId="0" applyFill="1" applyBorder="1" applyAlignment="1">
      <alignment horizontal="left" vertical="top" wrapText="1"/>
    </xf>
    <xf numFmtId="0" fontId="0" fillId="4" borderId="0" xfId="0" applyFill="1" applyBorder="1" applyAlignment="1">
      <alignment horizontal="left" vertical="top" wrapText="1"/>
    </xf>
    <xf numFmtId="169" fontId="13" fillId="0" borderId="0" xfId="0" applyNumberFormat="1" applyFont="1" applyFill="1" applyBorder="1" applyAlignment="1">
      <alignment horizontal="left" vertical="top" wrapText="1"/>
    </xf>
    <xf numFmtId="169" fontId="13" fillId="0" borderId="6" xfId="0" applyNumberFormat="1" applyFont="1" applyFill="1" applyBorder="1" applyAlignment="1">
      <alignment horizontal="left" vertical="top" wrapText="1"/>
    </xf>
    <xf numFmtId="169" fontId="11" fillId="0" borderId="7" xfId="0" applyNumberFormat="1" applyFont="1"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168" fontId="13" fillId="0" borderId="5" xfId="0" applyNumberFormat="1" applyFont="1" applyFill="1" applyBorder="1" applyAlignment="1">
      <alignment horizontal="left" vertical="top" wrapText="1"/>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168" fontId="13" fillId="0" borderId="0" xfId="0" applyNumberFormat="1" applyFont="1" applyFill="1" applyBorder="1" applyAlignment="1">
      <alignment horizontal="left" vertical="top" wrapText="1"/>
    </xf>
    <xf numFmtId="0" fontId="0" fillId="4" borderId="12" xfId="0" applyFill="1" applyBorder="1" applyAlignment="1">
      <alignment horizontal="left" vertical="top" wrapText="1"/>
    </xf>
    <xf numFmtId="0" fontId="0" fillId="4" borderId="13" xfId="0" applyFill="1" applyBorder="1" applyAlignment="1">
      <alignment horizontal="left" vertical="top" wrapText="1"/>
    </xf>
    <xf numFmtId="170" fontId="13" fillId="0" borderId="0" xfId="0" applyNumberFormat="1" applyFont="1" applyFill="1" applyBorder="1" applyAlignment="1">
      <alignment horizontal="left" vertical="top" wrapText="1"/>
    </xf>
    <xf numFmtId="0" fontId="0" fillId="4" borderId="14" xfId="0" applyFill="1" applyBorder="1" applyAlignment="1">
      <alignment horizontal="left" vertical="top" wrapText="1"/>
    </xf>
    <xf numFmtId="0" fontId="0" fillId="4" borderId="15" xfId="0" applyFill="1" applyBorder="1" applyAlignment="1">
      <alignment horizontal="left" vertical="top" wrapText="1"/>
    </xf>
    <xf numFmtId="168" fontId="11" fillId="0" borderId="7" xfId="0" applyNumberFormat="1" applyFont="1" applyFill="1" applyBorder="1" applyAlignment="1">
      <alignment horizontal="left" vertical="top" wrapText="1"/>
    </xf>
    <xf numFmtId="3" fontId="0" fillId="0" borderId="5" xfId="0" applyNumberFormat="1" applyFill="1" applyBorder="1" applyAlignment="1">
      <alignment horizontal="left" vertical="top" wrapText="1"/>
    </xf>
    <xf numFmtId="3" fontId="12" fillId="0" borderId="5" xfId="0" applyNumberFormat="1" applyFont="1" applyFill="1" applyBorder="1" applyAlignment="1">
      <alignment horizontal="left" vertical="top" wrapText="1"/>
    </xf>
    <xf numFmtId="3" fontId="12" fillId="0" borderId="0" xfId="0" applyNumberFormat="1" applyFont="1" applyFill="1" applyBorder="1" applyAlignment="1">
      <alignment horizontal="left" vertical="top" wrapText="1"/>
    </xf>
    <xf numFmtId="3" fontId="12" fillId="0" borderId="6" xfId="0" applyNumberFormat="1" applyFont="1" applyFill="1" applyBorder="1" applyAlignment="1">
      <alignment horizontal="left" vertical="top" wrapText="1"/>
    </xf>
    <xf numFmtId="0" fontId="9" fillId="0" borderId="7" xfId="0" applyFont="1" applyFill="1" applyBorder="1" applyAlignment="1">
      <alignment vertical="top" wrapText="1"/>
    </xf>
    <xf numFmtId="0" fontId="1" fillId="0" borderId="0" xfId="0" applyFont="1"/>
    <xf numFmtId="0" fontId="1" fillId="5" borderId="0" xfId="0" applyFont="1" applyFill="1"/>
    <xf numFmtId="0" fontId="12" fillId="0" borderId="5" xfId="0" applyFont="1" applyFill="1" applyBorder="1" applyAlignment="1">
      <alignment vertical="top" wrapText="1"/>
    </xf>
    <xf numFmtId="0" fontId="12" fillId="0" borderId="5" xfId="0" applyFont="1" applyFill="1" applyBorder="1" applyAlignment="1">
      <alignment vertical="top"/>
    </xf>
    <xf numFmtId="0" fontId="0" fillId="5" borderId="0" xfId="0" applyFill="1"/>
    <xf numFmtId="0" fontId="0" fillId="2" borderId="0" xfId="0" applyFill="1"/>
    <xf numFmtId="0" fontId="0" fillId="0" borderId="0" xfId="0" applyAlignment="1"/>
    <xf numFmtId="0" fontId="0" fillId="0" borderId="0" xfId="0" applyFont="1"/>
    <xf numFmtId="3" fontId="0" fillId="0" borderId="0" xfId="0" applyNumberFormat="1"/>
    <xf numFmtId="11" fontId="0" fillId="0" borderId="0" xfId="0" applyNumberFormat="1"/>
    <xf numFmtId="171" fontId="0" fillId="0" borderId="3" xfId="6" applyNumberFormat="1" applyFont="1" applyFill="1" applyAlignment="1">
      <alignment horizontal="right" wrapText="1"/>
    </xf>
    <xf numFmtId="172" fontId="0" fillId="0" borderId="0" xfId="0" applyNumberFormat="1"/>
    <xf numFmtId="173" fontId="0" fillId="0" borderId="0" xfId="0" applyNumberFormat="1"/>
    <xf numFmtId="0" fontId="18" fillId="0" borderId="0" xfId="0" applyFont="1"/>
    <xf numFmtId="3" fontId="1" fillId="5" borderId="0" xfId="0" applyNumberFormat="1" applyFont="1" applyFill="1"/>
    <xf numFmtId="3" fontId="0" fillId="5" borderId="0" xfId="0" applyNumberFormat="1" applyFill="1"/>
    <xf numFmtId="3" fontId="18" fillId="0" borderId="0" xfId="0" applyNumberFormat="1" applyFont="1"/>
    <xf numFmtId="0" fontId="0" fillId="0" borderId="0" xfId="0" applyNumberFormat="1"/>
    <xf numFmtId="0" fontId="18" fillId="0" borderId="0" xfId="0" applyNumberFormat="1" applyFont="1"/>
    <xf numFmtId="0" fontId="1" fillId="6" borderId="0" xfId="0" applyFont="1" applyFill="1"/>
    <xf numFmtId="0" fontId="0" fillId="3" borderId="7" xfId="0" applyFill="1" applyBorder="1" applyAlignment="1">
      <alignment horizontal="left" vertical="top" wrapText="1"/>
    </xf>
    <xf numFmtId="0" fontId="0" fillId="4" borderId="7" xfId="0" applyFill="1" applyBorder="1" applyAlignment="1">
      <alignment horizontal="left" vertical="top" wrapText="1"/>
    </xf>
    <xf numFmtId="166" fontId="11" fillId="0" borderId="5" xfId="0" applyNumberFormat="1" applyFont="1" applyFill="1" applyBorder="1" applyAlignment="1">
      <alignment horizontal="left" vertical="top" wrapText="1"/>
    </xf>
    <xf numFmtId="0" fontId="0" fillId="3" borderId="5" xfId="0" applyFill="1" applyBorder="1" applyAlignment="1">
      <alignment horizontal="left" vertical="top" wrapText="1"/>
    </xf>
    <xf numFmtId="0" fontId="0" fillId="4" borderId="5" xfId="0" applyFill="1" applyBorder="1" applyAlignment="1">
      <alignment horizontal="left" vertical="top" wrapText="1"/>
    </xf>
    <xf numFmtId="166" fontId="11" fillId="0" borderId="0" xfId="0" applyNumberFormat="1" applyFont="1" applyFill="1" applyBorder="1" applyAlignment="1">
      <alignment horizontal="left" vertical="top" wrapText="1"/>
    </xf>
    <xf numFmtId="166" fontId="13" fillId="0" borderId="0" xfId="0" applyNumberFormat="1" applyFont="1" applyFill="1" applyBorder="1" applyAlignment="1">
      <alignment horizontal="left" vertical="top" wrapText="1"/>
    </xf>
    <xf numFmtId="166" fontId="13" fillId="0" borderId="0" xfId="0" applyNumberFormat="1" applyFont="1" applyFill="1" applyBorder="1" applyAlignment="1">
      <alignment horizontal="left" vertical="center" wrapText="1"/>
    </xf>
    <xf numFmtId="166" fontId="13" fillId="0" borderId="6" xfId="0" applyNumberFormat="1" applyFont="1" applyFill="1" applyBorder="1" applyAlignment="1">
      <alignment horizontal="left" vertical="top" wrapText="1"/>
    </xf>
    <xf numFmtId="0" fontId="0" fillId="3" borderId="6" xfId="0" applyFill="1" applyBorder="1" applyAlignment="1">
      <alignment horizontal="left" vertical="top" wrapText="1"/>
    </xf>
    <xf numFmtId="0" fontId="0" fillId="4" borderId="6" xfId="0" applyFill="1" applyBorder="1" applyAlignment="1">
      <alignment horizontal="left" vertical="top" wrapText="1"/>
    </xf>
    <xf numFmtId="166" fontId="11" fillId="0" borderId="7" xfId="0" applyNumberFormat="1" applyFont="1"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3" borderId="18" xfId="0" applyFill="1" applyBorder="1" applyAlignment="1">
      <alignment horizontal="left" vertical="top" wrapText="1"/>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9" fillId="0" borderId="6" xfId="0" applyFont="1" applyFill="1" applyBorder="1" applyAlignment="1">
      <alignment horizontal="left" vertical="top"/>
    </xf>
    <xf numFmtId="0" fontId="1" fillId="5" borderId="0" xfId="0" applyFont="1" applyFill="1" applyAlignment="1"/>
    <xf numFmtId="0" fontId="1" fillId="6" borderId="0" xfId="0" applyFont="1" applyFill="1" applyAlignment="1"/>
    <xf numFmtId="9" fontId="0" fillId="0" borderId="0" xfId="0" applyNumberFormat="1"/>
    <xf numFmtId="174" fontId="0" fillId="0" borderId="3" xfId="6" applyNumberFormat="1" applyFont="1" applyFill="1" applyAlignment="1">
      <alignment horizontal="right" wrapText="1"/>
    </xf>
    <xf numFmtId="0" fontId="0" fillId="0" borderId="0" xfId="0" applyAlignment="1">
      <alignment horizontal="left"/>
    </xf>
    <xf numFmtId="9" fontId="0" fillId="0" borderId="0" xfId="8" applyFont="1"/>
    <xf numFmtId="0" fontId="0" fillId="0" borderId="5" xfId="0" applyFill="1" applyBorder="1" applyAlignment="1">
      <alignment horizontal="left" vertical="top" wrapText="1"/>
    </xf>
    <xf numFmtId="166" fontId="0" fillId="0" borderId="0" xfId="0" applyNumberFormat="1"/>
    <xf numFmtId="175" fontId="0" fillId="0" borderId="0" xfId="0" applyNumberFormat="1"/>
    <xf numFmtId="2" fontId="0" fillId="0" borderId="0" xfId="0" applyNumberFormat="1"/>
    <xf numFmtId="176" fontId="0" fillId="0" borderId="0" xfId="0" applyNumberFormat="1"/>
    <xf numFmtId="0" fontId="20" fillId="0" borderId="0" xfId="0" applyFont="1"/>
    <xf numFmtId="0" fontId="21" fillId="0" borderId="0" xfId="0" applyFont="1"/>
    <xf numFmtId="0" fontId="0" fillId="0" borderId="5" xfId="0" applyFill="1" applyBorder="1" applyAlignment="1">
      <alignment horizontal="left" vertical="top" wrapText="1"/>
    </xf>
    <xf numFmtId="0" fontId="17" fillId="0" borderId="0" xfId="12" applyFont="1"/>
    <xf numFmtId="0" fontId="1" fillId="7" borderId="0" xfId="12" applyFont="1" applyFill="1"/>
    <xf numFmtId="0" fontId="17" fillId="0" borderId="0" xfId="12" applyFont="1" applyAlignment="1">
      <alignment horizontal="left"/>
    </xf>
    <xf numFmtId="0" fontId="23" fillId="5" borderId="0" xfId="12" applyFont="1" applyFill="1"/>
    <xf numFmtId="0" fontId="24" fillId="5" borderId="0" xfId="12" applyFont="1" applyFill="1" applyAlignment="1">
      <alignment horizontal="left"/>
    </xf>
    <xf numFmtId="0" fontId="24" fillId="0" borderId="0" xfId="12" applyFont="1" applyFill="1" applyBorder="1"/>
    <xf numFmtId="0" fontId="25" fillId="0" borderId="0" xfId="12" applyFont="1" applyAlignment="1">
      <alignment horizontal="left"/>
    </xf>
    <xf numFmtId="0" fontId="26" fillId="0" borderId="0" xfId="12" applyFont="1" applyFill="1" applyBorder="1"/>
    <xf numFmtId="0" fontId="23" fillId="0" borderId="0" xfId="12" quotePrefix="1" applyFont="1" applyAlignment="1">
      <alignment horizontal="left"/>
    </xf>
    <xf numFmtId="172" fontId="23" fillId="0" borderId="0" xfId="12" quotePrefix="1" applyNumberFormat="1" applyFont="1" applyAlignment="1">
      <alignment horizontal="left"/>
    </xf>
    <xf numFmtId="0" fontId="23" fillId="0" borderId="0" xfId="12" applyFont="1" applyAlignment="1">
      <alignment horizontal="left"/>
    </xf>
    <xf numFmtId="172" fontId="23" fillId="0" borderId="0" xfId="12" applyNumberFormat="1" applyFont="1" applyAlignment="1">
      <alignment horizontal="left"/>
    </xf>
    <xf numFmtId="0" fontId="18" fillId="0" borderId="0" xfId="12" applyFont="1" applyFill="1" applyBorder="1" applyAlignment="1">
      <alignment horizontal="left" indent="1"/>
    </xf>
    <xf numFmtId="172" fontId="27" fillId="0" borderId="0" xfId="12" applyNumberFormat="1" applyFont="1" applyAlignment="1">
      <alignment horizontal="left"/>
    </xf>
    <xf numFmtId="0" fontId="28" fillId="0" borderId="0" xfId="12" applyFont="1" applyFill="1" applyBorder="1" applyAlignment="1">
      <alignment horizontal="left" vertical="center" indent="1"/>
    </xf>
    <xf numFmtId="0" fontId="29" fillId="0" borderId="0" xfId="12" applyFont="1" applyFill="1" applyBorder="1" applyAlignment="1">
      <alignment horizontal="left" vertical="center" indent="1"/>
    </xf>
    <xf numFmtId="0" fontId="27" fillId="0" borderId="0" xfId="12" applyFont="1" applyFill="1" applyBorder="1" applyAlignment="1">
      <alignment horizontal="left" indent="1"/>
    </xf>
    <xf numFmtId="1" fontId="27" fillId="0" borderId="0" xfId="12" applyNumberFormat="1" applyFont="1" applyAlignment="1">
      <alignment horizontal="left"/>
    </xf>
    <xf numFmtId="172" fontId="23" fillId="0" borderId="0" xfId="12" applyNumberFormat="1" applyFont="1" applyBorder="1"/>
    <xf numFmtId="172" fontId="23" fillId="0" borderId="0" xfId="12" applyNumberFormat="1" applyFont="1" applyBorder="1" applyAlignment="1">
      <alignment horizontal="left"/>
    </xf>
    <xf numFmtId="172" fontId="27" fillId="0" borderId="0" xfId="12" applyNumberFormat="1" applyFont="1" applyBorder="1" applyAlignment="1">
      <alignment horizontal="left"/>
    </xf>
    <xf numFmtId="0" fontId="30" fillId="0" borderId="0" xfId="12" applyFont="1" applyFill="1" applyBorder="1"/>
    <xf numFmtId="0" fontId="30" fillId="0" borderId="0" xfId="12" applyFont="1" applyFill="1" applyBorder="1" applyAlignment="1">
      <alignment horizontal="left"/>
    </xf>
    <xf numFmtId="0" fontId="23" fillId="0" borderId="0" xfId="12" applyFont="1" applyFill="1" applyBorder="1" applyAlignment="1">
      <alignment horizontal="left"/>
    </xf>
    <xf numFmtId="0" fontId="24" fillId="0" borderId="0" xfId="12" applyFont="1" applyFill="1" applyBorder="1" applyAlignment="1">
      <alignment horizontal="left"/>
    </xf>
    <xf numFmtId="0" fontId="26" fillId="0" borderId="0" xfId="12" applyFont="1" applyFill="1" applyBorder="1" applyAlignment="1">
      <alignment horizontal="left"/>
    </xf>
    <xf numFmtId="0" fontId="1" fillId="0" borderId="0" xfId="12" applyFont="1" applyFill="1" applyBorder="1"/>
    <xf numFmtId="172" fontId="17" fillId="0" borderId="0" xfId="12" applyNumberFormat="1" applyFont="1" applyBorder="1" applyAlignment="1">
      <alignment horizontal="left"/>
    </xf>
    <xf numFmtId="0" fontId="18" fillId="0" borderId="0" xfId="12" applyFont="1"/>
    <xf numFmtId="0" fontId="0" fillId="0" borderId="0" xfId="0" applyAlignment="1">
      <alignment horizontal="center"/>
    </xf>
    <xf numFmtId="0" fontId="27" fillId="0" borderId="0" xfId="12" applyFont="1" applyFill="1" applyBorder="1"/>
    <xf numFmtId="172" fontId="17" fillId="0" borderId="0" xfId="12" applyNumberFormat="1" applyFont="1" applyAlignment="1">
      <alignment horizontal="left"/>
    </xf>
    <xf numFmtId="172" fontId="18" fillId="0" borderId="0" xfId="12" applyNumberFormat="1" applyFont="1" applyAlignment="1">
      <alignment horizontal="left"/>
    </xf>
    <xf numFmtId="0" fontId="0" fillId="0" borderId="0" xfId="0" applyAlignment="1">
      <alignment wrapText="1"/>
    </xf>
    <xf numFmtId="171" fontId="4" fillId="0" borderId="2" xfId="5" applyNumberFormat="1" applyFill="1" applyAlignment="1">
      <alignment horizontal="right" wrapText="1"/>
    </xf>
    <xf numFmtId="0" fontId="31" fillId="0" borderId="0" xfId="0" applyFont="1" applyFill="1" applyBorder="1" applyAlignment="1">
      <alignment horizontal="left" vertical="top"/>
    </xf>
    <xf numFmtId="0" fontId="32" fillId="0" borderId="7" xfId="0" applyFont="1" applyFill="1" applyBorder="1" applyAlignment="1">
      <alignment horizontal="left" vertical="top" wrapText="1"/>
    </xf>
    <xf numFmtId="0" fontId="33" fillId="0" borderId="0" xfId="0" applyFont="1" applyFill="1" applyBorder="1" applyAlignment="1">
      <alignment horizontal="left" vertical="top" wrapText="1"/>
    </xf>
    <xf numFmtId="0" fontId="33" fillId="0" borderId="6" xfId="0" applyFont="1" applyFill="1" applyBorder="1" applyAlignment="1">
      <alignment horizontal="left" vertical="top" wrapText="1"/>
    </xf>
    <xf numFmtId="0" fontId="32" fillId="0" borderId="5" xfId="0" applyFont="1" applyFill="1" applyBorder="1" applyAlignment="1">
      <alignment horizontal="right" vertical="top" wrapText="1"/>
    </xf>
    <xf numFmtId="0" fontId="32" fillId="0" borderId="5" xfId="0" applyFont="1" applyFill="1" applyBorder="1" applyAlignment="1">
      <alignment horizontal="left" vertical="top" wrapText="1"/>
    </xf>
    <xf numFmtId="0" fontId="32" fillId="0" borderId="6" xfId="0" applyFont="1" applyFill="1" applyBorder="1" applyAlignment="1">
      <alignment horizontal="left" vertical="center" wrapText="1"/>
    </xf>
    <xf numFmtId="0" fontId="0" fillId="0" borderId="6" xfId="0" applyFill="1" applyBorder="1" applyAlignment="1">
      <alignment horizontal="center" vertical="top" wrapText="1"/>
    </xf>
    <xf numFmtId="165" fontId="11" fillId="0" borderId="5" xfId="0" applyNumberFormat="1" applyFont="1" applyFill="1" applyBorder="1" applyAlignment="1">
      <alignment horizontal="left" vertical="top" wrapText="1"/>
    </xf>
    <xf numFmtId="167" fontId="13" fillId="0" borderId="0" xfId="0" applyNumberFormat="1" applyFont="1" applyFill="1" applyBorder="1" applyAlignment="1">
      <alignment horizontal="left" vertical="top" wrapText="1"/>
    </xf>
    <xf numFmtId="166" fontId="13" fillId="0" borderId="0" xfId="0" applyNumberFormat="1" applyFont="1" applyFill="1" applyBorder="1" applyAlignment="1">
      <alignment horizontal="right" vertical="top" wrapText="1"/>
    </xf>
    <xf numFmtId="167" fontId="13" fillId="0" borderId="0" xfId="0" applyNumberFormat="1" applyFont="1" applyFill="1" applyBorder="1" applyAlignment="1">
      <alignment horizontal="left" vertical="center" wrapText="1"/>
    </xf>
    <xf numFmtId="166" fontId="13" fillId="0" borderId="0" xfId="0" applyNumberFormat="1" applyFont="1" applyFill="1" applyBorder="1" applyAlignment="1">
      <alignment horizontal="right" vertical="center" wrapText="1"/>
    </xf>
    <xf numFmtId="0" fontId="33" fillId="0" borderId="0" xfId="0" applyFont="1" applyFill="1" applyBorder="1" applyAlignment="1">
      <alignment horizontal="right"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right" vertical="top" wrapText="1"/>
    </xf>
    <xf numFmtId="166" fontId="11" fillId="0" borderId="0" xfId="0" applyNumberFormat="1" applyFont="1" applyFill="1" applyBorder="1" applyAlignment="1">
      <alignment horizontal="right" vertical="top" wrapText="1"/>
    </xf>
    <xf numFmtId="166" fontId="13" fillId="0" borderId="6" xfId="0" applyNumberFormat="1" applyFont="1" applyFill="1" applyBorder="1" applyAlignment="1">
      <alignment horizontal="left" vertical="center" wrapText="1"/>
    </xf>
    <xf numFmtId="167" fontId="13" fillId="0" borderId="6" xfId="0" applyNumberFormat="1" applyFont="1" applyFill="1" applyBorder="1" applyAlignment="1">
      <alignment horizontal="left" vertical="center" wrapText="1"/>
    </xf>
    <xf numFmtId="166" fontId="13" fillId="0" borderId="6" xfId="0" applyNumberFormat="1" applyFont="1" applyFill="1" applyBorder="1" applyAlignment="1">
      <alignment horizontal="right" vertical="center" wrapText="1"/>
    </xf>
    <xf numFmtId="165" fontId="11" fillId="0" borderId="7" xfId="0" applyNumberFormat="1" applyFont="1" applyFill="1" applyBorder="1" applyAlignment="1">
      <alignment horizontal="left" vertical="top" wrapText="1"/>
    </xf>
    <xf numFmtId="0" fontId="0" fillId="0" borderId="7" xfId="0" applyFill="1" applyBorder="1" applyAlignment="1">
      <alignment horizontal="left" vertical="top" wrapText="1"/>
    </xf>
    <xf numFmtId="0" fontId="0" fillId="6" borderId="0" xfId="0" applyFill="1"/>
    <xf numFmtId="171" fontId="36" fillId="0" borderId="22" xfId="0" applyNumberFormat="1" applyFont="1" applyFill="1" applyBorder="1" applyAlignment="1">
      <alignment horizontal="right" vertical="center"/>
    </xf>
    <xf numFmtId="0" fontId="37" fillId="9" borderId="0" xfId="0" applyFont="1" applyFill="1"/>
    <xf numFmtId="0" fontId="37" fillId="9" borderId="0" xfId="0" applyFont="1" applyFill="1" applyAlignment="1">
      <alignment horizontal="right"/>
    </xf>
    <xf numFmtId="0" fontId="38" fillId="0" borderId="0" xfId="0" applyFont="1" applyFill="1"/>
    <xf numFmtId="0" fontId="35" fillId="0" borderId="0" xfId="0" applyFont="1" applyFill="1" applyAlignment="1">
      <alignment horizontal="right"/>
    </xf>
    <xf numFmtId="0" fontId="35" fillId="0" borderId="0" xfId="0" applyFont="1" applyFill="1"/>
    <xf numFmtId="0" fontId="39" fillId="0" borderId="0" xfId="0" applyFont="1" applyFill="1"/>
    <xf numFmtId="0" fontId="36" fillId="0" borderId="0" xfId="0" applyFont="1" applyAlignment="1">
      <alignment horizontal="left" vertical="center"/>
    </xf>
    <xf numFmtId="0" fontId="40" fillId="10" borderId="24" xfId="0" applyFont="1" applyFill="1" applyBorder="1" applyAlignment="1">
      <alignment horizontal="left"/>
    </xf>
    <xf numFmtId="1" fontId="40" fillId="10" borderId="24" xfId="0" applyNumberFormat="1" applyFont="1" applyFill="1" applyBorder="1" applyAlignment="1">
      <alignment horizontal="right"/>
    </xf>
    <xf numFmtId="0" fontId="36" fillId="0" borderId="0" xfId="0" applyFont="1" applyAlignment="1">
      <alignment horizontal="center"/>
    </xf>
    <xf numFmtId="0" fontId="35" fillId="13" borderId="25" xfId="0" applyFont="1" applyFill="1" applyBorder="1"/>
    <xf numFmtId="171" fontId="36" fillId="13" borderId="26" xfId="0" applyNumberFormat="1" applyFont="1" applyFill="1" applyBorder="1" applyAlignment="1">
      <alignment horizontal="right"/>
    </xf>
    <xf numFmtId="171" fontId="36" fillId="13" borderId="27" xfId="0" applyNumberFormat="1" applyFont="1" applyFill="1" applyBorder="1" applyAlignment="1">
      <alignment horizontal="right"/>
    </xf>
    <xf numFmtId="0" fontId="36" fillId="0" borderId="0" xfId="0" applyFont="1"/>
    <xf numFmtId="173" fontId="36" fillId="0" borderId="22" xfId="0" applyNumberFormat="1" applyFont="1" applyFill="1" applyBorder="1" applyAlignment="1">
      <alignment horizontal="left" vertical="center" wrapText="1"/>
    </xf>
    <xf numFmtId="173" fontId="36" fillId="0" borderId="0" xfId="0" applyNumberFormat="1" applyFont="1" applyFill="1"/>
    <xf numFmtId="172" fontId="36" fillId="0" borderId="23" xfId="0" applyNumberFormat="1" applyFont="1" applyBorder="1" applyAlignment="1">
      <alignment horizontal="left" vertical="center" wrapText="1"/>
    </xf>
    <xf numFmtId="171" fontId="36" fillId="0" borderId="23" xfId="0" applyNumberFormat="1" applyFont="1" applyBorder="1" applyAlignment="1">
      <alignment horizontal="right" vertical="center"/>
    </xf>
    <xf numFmtId="172" fontId="41" fillId="0" borderId="24" xfId="0" applyNumberFormat="1" applyFont="1" applyBorder="1" applyAlignment="1">
      <alignment horizontal="left" vertical="center" wrapText="1"/>
    </xf>
    <xf numFmtId="171" fontId="41" fillId="0" borderId="24" xfId="0" applyNumberFormat="1" applyFont="1" applyBorder="1" applyAlignment="1">
      <alignment horizontal="right" vertical="center"/>
    </xf>
    <xf numFmtId="0" fontId="41" fillId="0" borderId="0" xfId="0" applyFont="1"/>
    <xf numFmtId="0" fontId="41" fillId="12" borderId="28" xfId="0" applyFont="1" applyFill="1" applyBorder="1"/>
    <xf numFmtId="171" fontId="36" fillId="12" borderId="29" xfId="0" applyNumberFormat="1" applyFont="1" applyFill="1" applyBorder="1" applyAlignment="1">
      <alignment horizontal="right" vertical="center"/>
    </xf>
    <xf numFmtId="171" fontId="36" fillId="12" borderId="30" xfId="0" applyNumberFormat="1" applyFont="1" applyFill="1" applyBorder="1" applyAlignment="1">
      <alignment horizontal="right" vertical="center"/>
    </xf>
    <xf numFmtId="172" fontId="42" fillId="11" borderId="25" xfId="0" applyNumberFormat="1" applyFont="1" applyFill="1" applyBorder="1" applyAlignment="1">
      <alignment horizontal="left" vertical="center" wrapText="1"/>
    </xf>
    <xf numFmtId="171" fontId="36" fillId="11" borderId="26" xfId="0" applyNumberFormat="1" applyFont="1" applyFill="1" applyBorder="1" applyAlignment="1">
      <alignment horizontal="right" vertical="center"/>
    </xf>
    <xf numFmtId="171" fontId="36" fillId="11" borderId="27" xfId="0" applyNumberFormat="1" applyFont="1" applyFill="1" applyBorder="1" applyAlignment="1">
      <alignment horizontal="right" vertical="center"/>
    </xf>
    <xf numFmtId="172" fontId="36" fillId="0" borderId="22" xfId="0" applyNumberFormat="1" applyFont="1" applyBorder="1" applyAlignment="1">
      <alignment horizontal="left" vertical="center" wrapText="1"/>
    </xf>
    <xf numFmtId="171" fontId="36" fillId="0" borderId="22" xfId="0" applyNumberFormat="1" applyFont="1" applyBorder="1" applyAlignment="1">
      <alignment horizontal="right" vertical="center" wrapText="1"/>
    </xf>
    <xf numFmtId="172" fontId="36" fillId="0" borderId="24" xfId="0" applyNumberFormat="1" applyFont="1" applyBorder="1" applyAlignment="1">
      <alignment horizontal="left" vertical="center" wrapText="1"/>
    </xf>
    <xf numFmtId="171" fontId="36" fillId="0" borderId="24" xfId="0" applyNumberFormat="1" applyFont="1" applyBorder="1" applyAlignment="1">
      <alignment horizontal="right" vertical="center" wrapText="1"/>
    </xf>
    <xf numFmtId="171" fontId="36" fillId="0" borderId="23" xfId="0" applyNumberFormat="1" applyFont="1" applyBorder="1" applyAlignment="1">
      <alignment horizontal="right" vertical="center" wrapText="1"/>
    </xf>
    <xf numFmtId="0" fontId="42" fillId="11" borderId="25" xfId="0" applyFont="1" applyFill="1" applyBorder="1" applyAlignment="1">
      <alignment horizontal="left" vertical="center"/>
    </xf>
    <xf numFmtId="0" fontId="36" fillId="11" borderId="22" xfId="0" applyFont="1" applyFill="1" applyBorder="1" applyAlignment="1">
      <alignment horizontal="left" vertical="center" wrapText="1"/>
    </xf>
    <xf numFmtId="4" fontId="36" fillId="11" borderId="22" xfId="0" applyNumberFormat="1" applyFont="1" applyFill="1" applyBorder="1" applyAlignment="1">
      <alignment horizontal="right" vertical="center" wrapText="1"/>
    </xf>
    <xf numFmtId="0" fontId="36" fillId="11" borderId="0" xfId="0" applyFont="1" applyFill="1"/>
    <xf numFmtId="0" fontId="36" fillId="11" borderId="23" xfId="0" applyFont="1" applyFill="1" applyBorder="1" applyAlignment="1">
      <alignment horizontal="left" vertical="center" wrapText="1"/>
    </xf>
    <xf numFmtId="171" fontId="36" fillId="11" borderId="23" xfId="0" applyNumberFormat="1" applyFont="1" applyFill="1" applyBorder="1" applyAlignment="1">
      <alignment horizontal="right" vertical="center" wrapText="1"/>
    </xf>
    <xf numFmtId="0" fontId="36" fillId="11" borderId="24" xfId="0" applyFont="1" applyFill="1" applyBorder="1" applyAlignment="1">
      <alignment horizontal="left" vertical="center" wrapText="1"/>
    </xf>
    <xf numFmtId="171" fontId="36" fillId="11" borderId="24" xfId="0" applyNumberFormat="1" applyFont="1" applyFill="1" applyBorder="1" applyAlignment="1">
      <alignment horizontal="right" vertical="center" wrapText="1"/>
    </xf>
    <xf numFmtId="171" fontId="36" fillId="11" borderId="22" xfId="0" applyNumberFormat="1" applyFont="1" applyFill="1" applyBorder="1" applyAlignment="1">
      <alignment horizontal="right" vertical="center" wrapText="1"/>
    </xf>
    <xf numFmtId="0" fontId="36" fillId="0" borderId="24" xfId="0" applyFont="1" applyBorder="1" applyAlignment="1">
      <alignment horizontal="left" vertical="center" wrapText="1"/>
    </xf>
    <xf numFmtId="0" fontId="42" fillId="11" borderId="25" xfId="0" applyFont="1" applyFill="1" applyBorder="1" applyAlignment="1">
      <alignment horizontal="left" vertical="center" wrapText="1"/>
    </xf>
    <xf numFmtId="0" fontId="36" fillId="0" borderId="22" xfId="0" applyFont="1" applyFill="1" applyBorder="1" applyAlignment="1">
      <alignment horizontal="left" vertical="center" wrapText="1"/>
    </xf>
    <xf numFmtId="0" fontId="36" fillId="0" borderId="23" xfId="0" applyFont="1" applyFill="1" applyBorder="1" applyAlignment="1">
      <alignment horizontal="left" vertical="center" wrapText="1"/>
    </xf>
    <xf numFmtId="171" fontId="36" fillId="0" borderId="23" xfId="0" applyNumberFormat="1" applyFont="1" applyFill="1" applyBorder="1" applyAlignment="1">
      <alignment horizontal="right" vertical="center" wrapText="1"/>
    </xf>
    <xf numFmtId="0" fontId="36" fillId="0" borderId="0" xfId="0" applyFont="1" applyFill="1"/>
    <xf numFmtId="0" fontId="36" fillId="0" borderId="23" xfId="0" applyFont="1" applyBorder="1" applyAlignment="1">
      <alignment horizontal="left" vertical="center" wrapText="1"/>
    </xf>
    <xf numFmtId="0" fontId="36" fillId="0" borderId="22" xfId="0" applyFont="1" applyBorder="1" applyAlignment="1">
      <alignment horizontal="left" vertical="center" wrapText="1"/>
    </xf>
    <xf numFmtId="174" fontId="36" fillId="0" borderId="23" xfId="0" applyNumberFormat="1" applyFont="1" applyBorder="1" applyAlignment="1">
      <alignment horizontal="right" vertical="center" wrapText="1"/>
    </xf>
    <xf numFmtId="4" fontId="36" fillId="0" borderId="23" xfId="0" applyNumberFormat="1" applyFont="1" applyBorder="1" applyAlignment="1">
      <alignment horizontal="right" vertical="center" wrapText="1"/>
    </xf>
    <xf numFmtId="4" fontId="36" fillId="0" borderId="24" xfId="0" applyNumberFormat="1" applyFont="1" applyBorder="1" applyAlignment="1">
      <alignment horizontal="right" vertical="center" wrapText="1"/>
    </xf>
    <xf numFmtId="0" fontId="36" fillId="0" borderId="31" xfId="0" applyFont="1" applyBorder="1" applyAlignment="1">
      <alignment horizontal="left" vertical="center" wrapText="1"/>
    </xf>
    <xf numFmtId="171" fontId="36" fillId="0" borderId="31" xfId="0" applyNumberFormat="1" applyFont="1" applyBorder="1" applyAlignment="1">
      <alignment horizontal="right" vertical="center" wrapText="1"/>
    </xf>
    <xf numFmtId="0" fontId="41" fillId="12" borderId="25" xfId="0" applyFont="1" applyFill="1" applyBorder="1"/>
    <xf numFmtId="171" fontId="36" fillId="12" borderId="26" xfId="0" applyNumberFormat="1" applyFont="1" applyFill="1" applyBorder="1" applyAlignment="1">
      <alignment horizontal="right" vertical="center"/>
    </xf>
    <xf numFmtId="171" fontId="36" fillId="12" borderId="27" xfId="0" applyNumberFormat="1" applyFont="1" applyFill="1" applyBorder="1" applyAlignment="1">
      <alignment horizontal="right" vertical="center"/>
    </xf>
    <xf numFmtId="1" fontId="35" fillId="13" borderId="25" xfId="0" applyNumberFormat="1" applyFont="1" applyFill="1" applyBorder="1"/>
    <xf numFmtId="171" fontId="36" fillId="13" borderId="26" xfId="0" applyNumberFormat="1" applyFont="1" applyFill="1" applyBorder="1" applyAlignment="1">
      <alignment horizontal="right" vertical="center"/>
    </xf>
    <xf numFmtId="171" fontId="36" fillId="13" borderId="27" xfId="0" applyNumberFormat="1" applyFont="1" applyFill="1" applyBorder="1" applyAlignment="1">
      <alignment horizontal="right" vertical="center"/>
    </xf>
    <xf numFmtId="0" fontId="41" fillId="0" borderId="31" xfId="0" applyFont="1" applyFill="1" applyBorder="1" applyAlignment="1">
      <alignment horizontal="left" vertical="center" wrapText="1"/>
    </xf>
    <xf numFmtId="171" fontId="41" fillId="0" borderId="31" xfId="0" applyNumberFormat="1" applyFont="1" applyBorder="1" applyAlignment="1">
      <alignment horizontal="right" vertical="center"/>
    </xf>
    <xf numFmtId="0" fontId="41" fillId="0" borderId="0" xfId="0" applyFont="1" applyFill="1"/>
    <xf numFmtId="171" fontId="36" fillId="0" borderId="22" xfId="0" applyNumberFormat="1" applyFont="1" applyFill="1" applyBorder="1" applyAlignment="1">
      <alignment horizontal="right" vertical="center" wrapText="1"/>
    </xf>
    <xf numFmtId="0" fontId="36" fillId="0" borderId="23" xfId="0" applyFont="1" applyFill="1" applyBorder="1" applyAlignment="1">
      <alignment horizontal="left" vertical="center" wrapText="1" indent="1"/>
    </xf>
    <xf numFmtId="0" fontId="36" fillId="0" borderId="24" xfId="0" applyFont="1" applyFill="1" applyBorder="1" applyAlignment="1">
      <alignment horizontal="left" vertical="center" wrapText="1" indent="1"/>
    </xf>
    <xf numFmtId="171" fontId="36" fillId="0" borderId="24" xfId="0" applyNumberFormat="1" applyFont="1" applyFill="1" applyBorder="1" applyAlignment="1">
      <alignment horizontal="right" vertical="center" wrapText="1"/>
    </xf>
    <xf numFmtId="171" fontId="36" fillId="11" borderId="26" xfId="0" applyNumberFormat="1" applyFont="1" applyFill="1" applyBorder="1" applyAlignment="1">
      <alignment horizontal="right" vertical="center" wrapText="1"/>
    </xf>
    <xf numFmtId="171" fontId="36" fillId="11" borderId="27" xfId="0" applyNumberFormat="1" applyFont="1" applyFill="1" applyBorder="1" applyAlignment="1">
      <alignment horizontal="right" vertical="center" wrapText="1"/>
    </xf>
    <xf numFmtId="0" fontId="36" fillId="11" borderId="32" xfId="0" applyFont="1" applyFill="1" applyBorder="1" applyAlignment="1">
      <alignment horizontal="left" vertical="center" wrapText="1"/>
    </xf>
    <xf numFmtId="171" fontId="36" fillId="11" borderId="33" xfId="0" applyNumberFormat="1" applyFont="1" applyFill="1" applyBorder="1" applyAlignment="1">
      <alignment horizontal="right" vertical="center" wrapText="1"/>
    </xf>
    <xf numFmtId="171" fontId="36" fillId="11" borderId="34" xfId="0" applyNumberFormat="1" applyFont="1" applyFill="1" applyBorder="1" applyAlignment="1">
      <alignment horizontal="right" vertical="center" wrapText="1"/>
    </xf>
    <xf numFmtId="0" fontId="41" fillId="0" borderId="24" xfId="0" applyFont="1" applyBorder="1" applyAlignment="1">
      <alignment horizontal="left" vertical="center" wrapText="1"/>
    </xf>
    <xf numFmtId="174" fontId="36" fillId="0" borderId="24" xfId="0" applyNumberFormat="1" applyFont="1" applyBorder="1" applyAlignment="1">
      <alignment horizontal="right" vertical="center" wrapText="1"/>
    </xf>
    <xf numFmtId="173" fontId="36" fillId="0" borderId="0" xfId="0" applyNumberFormat="1" applyFont="1"/>
    <xf numFmtId="14" fontId="36" fillId="0" borderId="22" xfId="0" applyNumberFormat="1" applyFont="1" applyBorder="1" applyAlignment="1">
      <alignment horizontal="left" vertical="center" wrapText="1"/>
    </xf>
    <xf numFmtId="0" fontId="36" fillId="0" borderId="0" xfId="0" applyFont="1" applyAlignment="1">
      <alignment horizontal="left" vertical="center" wrapText="1"/>
    </xf>
    <xf numFmtId="171" fontId="36" fillId="0" borderId="0" xfId="0" applyNumberFormat="1" applyFont="1" applyAlignment="1">
      <alignment horizontal="right"/>
    </xf>
    <xf numFmtId="0" fontId="36" fillId="0" borderId="0" xfId="0" applyFont="1" applyAlignment="1">
      <alignment horizontal="right"/>
    </xf>
    <xf numFmtId="171" fontId="36" fillId="8" borderId="23" xfId="0" applyNumberFormat="1" applyFont="1" applyFill="1" applyBorder="1" applyAlignment="1">
      <alignment horizontal="right" vertical="center"/>
    </xf>
    <xf numFmtId="172" fontId="36" fillId="8" borderId="24" xfId="0" applyNumberFormat="1" applyFont="1" applyFill="1" applyBorder="1" applyAlignment="1">
      <alignment horizontal="left" vertical="center" wrapText="1"/>
    </xf>
    <xf numFmtId="171" fontId="36" fillId="8" borderId="24" xfId="0" applyNumberFormat="1" applyFont="1" applyFill="1" applyBorder="1" applyAlignment="1">
      <alignment horizontal="right" vertical="center"/>
    </xf>
    <xf numFmtId="172" fontId="43" fillId="8" borderId="24" xfId="0" applyNumberFormat="1" applyFont="1" applyFill="1" applyBorder="1" applyAlignment="1">
      <alignment horizontal="left" vertical="center" wrapText="1"/>
    </xf>
    <xf numFmtId="172" fontId="41" fillId="14" borderId="24" xfId="0" applyNumberFormat="1" applyFont="1" applyFill="1" applyBorder="1" applyAlignment="1">
      <alignment horizontal="left" vertical="center" wrapText="1"/>
    </xf>
    <xf numFmtId="171" fontId="41" fillId="14" borderId="24" xfId="0" applyNumberFormat="1" applyFont="1" applyFill="1" applyBorder="1" applyAlignment="1">
      <alignment horizontal="right" vertical="center"/>
    </xf>
    <xf numFmtId="171" fontId="36" fillId="8" borderId="30" xfId="0" applyNumberFormat="1" applyFont="1" applyFill="1" applyBorder="1" applyAlignment="1">
      <alignment horizontal="right" vertical="center"/>
    </xf>
    <xf numFmtId="172" fontId="43" fillId="8" borderId="28" xfId="0" applyNumberFormat="1" applyFont="1" applyFill="1" applyBorder="1" applyAlignment="1">
      <alignment horizontal="left" vertical="center" wrapText="1"/>
    </xf>
    <xf numFmtId="0" fontId="41" fillId="14" borderId="31" xfId="0" applyFont="1" applyFill="1" applyBorder="1" applyAlignment="1">
      <alignment horizontal="left" vertical="center" wrapText="1"/>
    </xf>
    <xf numFmtId="171" fontId="41" fillId="14" borderId="31" xfId="0" applyNumberFormat="1" applyFont="1" applyFill="1" applyBorder="1" applyAlignment="1">
      <alignment horizontal="right" vertical="center"/>
    </xf>
    <xf numFmtId="0" fontId="41" fillId="14" borderId="24" xfId="0" applyFont="1" applyFill="1" applyBorder="1" applyAlignment="1">
      <alignment horizontal="left" vertical="center" wrapText="1"/>
    </xf>
    <xf numFmtId="0" fontId="41" fillId="0" borderId="0" xfId="0" applyFont="1" applyFill="1" applyAlignment="1">
      <alignment wrapText="1"/>
    </xf>
    <xf numFmtId="0" fontId="36" fillId="0" borderId="0" xfId="0" applyFont="1" applyFill="1" applyAlignment="1">
      <alignment vertical="center" wrapText="1"/>
    </xf>
    <xf numFmtId="0" fontId="40" fillId="10" borderId="24" xfId="0" applyFont="1" applyFill="1" applyBorder="1" applyAlignment="1">
      <alignment horizontal="left" vertical="center" wrapText="1"/>
    </xf>
    <xf numFmtId="0" fontId="40" fillId="10" borderId="24" xfId="0" applyFont="1" applyFill="1" applyBorder="1" applyAlignment="1">
      <alignment horizontal="right" vertical="center"/>
    </xf>
    <xf numFmtId="0" fontId="40" fillId="10" borderId="24" xfId="0" applyFont="1" applyFill="1" applyBorder="1" applyAlignment="1">
      <alignment horizontal="right"/>
    </xf>
    <xf numFmtId="0" fontId="41" fillId="0" borderId="0" xfId="0" applyFont="1" applyBorder="1" applyAlignment="1">
      <alignment horizontal="left"/>
    </xf>
    <xf numFmtId="0" fontId="36" fillId="13" borderId="26" xfId="0" applyFont="1" applyFill="1" applyBorder="1" applyAlignment="1">
      <alignment vertical="center" wrapText="1"/>
    </xf>
    <xf numFmtId="3" fontId="36" fillId="13" borderId="26" xfId="0" applyNumberFormat="1" applyFont="1" applyFill="1" applyBorder="1"/>
    <xf numFmtId="3" fontId="36" fillId="13" borderId="27" xfId="0" applyNumberFormat="1" applyFont="1" applyFill="1" applyBorder="1"/>
    <xf numFmtId="0" fontId="41" fillId="12" borderId="32" xfId="0" applyFont="1" applyFill="1" applyBorder="1"/>
    <xf numFmtId="0" fontId="36" fillId="12" borderId="33" xfId="0" applyFont="1" applyFill="1" applyBorder="1" applyAlignment="1">
      <alignment vertical="center" wrapText="1"/>
    </xf>
    <xf numFmtId="3" fontId="36" fillId="12" borderId="33" xfId="0" applyNumberFormat="1" applyFont="1" applyFill="1" applyBorder="1"/>
    <xf numFmtId="3" fontId="36" fillId="12" borderId="34" xfId="0" applyNumberFormat="1" applyFont="1" applyFill="1" applyBorder="1"/>
    <xf numFmtId="0" fontId="36" fillId="0" borderId="22" xfId="0" applyFont="1" applyBorder="1" applyAlignment="1">
      <alignment vertical="center" wrapText="1"/>
    </xf>
    <xf numFmtId="3" fontId="36" fillId="0" borderId="22" xfId="0" applyNumberFormat="1" applyFont="1" applyBorder="1" applyAlignment="1">
      <alignment horizontal="right" vertical="center"/>
    </xf>
    <xf numFmtId="0" fontId="36" fillId="0" borderId="23" xfId="0" applyFont="1" applyBorder="1" applyAlignment="1">
      <alignment vertical="center" wrapText="1"/>
    </xf>
    <xf numFmtId="3" fontId="36" fillId="0" borderId="23" xfId="0" applyNumberFormat="1" applyFont="1" applyBorder="1" applyAlignment="1">
      <alignment horizontal="right" vertical="center"/>
    </xf>
    <xf numFmtId="0" fontId="36" fillId="0" borderId="24" xfId="0" applyFont="1" applyBorder="1" applyAlignment="1">
      <alignment vertical="center" wrapText="1"/>
    </xf>
    <xf numFmtId="3" fontId="36" fillId="0" borderId="24" xfId="0" applyNumberFormat="1" applyFont="1" applyBorder="1" applyAlignment="1">
      <alignment horizontal="right" vertical="center"/>
    </xf>
    <xf numFmtId="0" fontId="36" fillId="12" borderId="26" xfId="0" applyFont="1" applyFill="1" applyBorder="1" applyAlignment="1">
      <alignment vertical="center" wrapText="1"/>
    </xf>
    <xf numFmtId="3" fontId="36" fillId="12" borderId="26" xfId="0" applyNumberFormat="1" applyFont="1" applyFill="1" applyBorder="1" applyAlignment="1">
      <alignment horizontal="right" vertical="center"/>
    </xf>
    <xf numFmtId="3" fontId="36" fillId="12" borderId="27" xfId="0" applyNumberFormat="1" applyFont="1" applyFill="1" applyBorder="1" applyAlignment="1">
      <alignment horizontal="right" vertical="center"/>
    </xf>
    <xf numFmtId="0" fontId="36" fillId="0" borderId="0" xfId="0" applyFont="1" applyBorder="1"/>
    <xf numFmtId="0" fontId="36" fillId="0" borderId="22" xfId="0" applyFont="1" applyFill="1" applyBorder="1" applyAlignment="1">
      <alignment vertical="center" wrapText="1"/>
    </xf>
    <xf numFmtId="3" fontId="36" fillId="0" borderId="22" xfId="0" applyNumberFormat="1" applyFont="1" applyFill="1" applyBorder="1" applyAlignment="1">
      <alignment horizontal="right" vertical="center"/>
    </xf>
    <xf numFmtId="0" fontId="36" fillId="0" borderId="23" xfId="0" applyFont="1" applyFill="1" applyBorder="1" applyAlignment="1">
      <alignment vertical="center" wrapText="1"/>
    </xf>
    <xf numFmtId="3" fontId="36" fillId="0" borderId="23" xfId="0" applyNumberFormat="1" applyFont="1" applyFill="1" applyBorder="1" applyAlignment="1">
      <alignment horizontal="right" vertical="center"/>
    </xf>
    <xf numFmtId="0" fontId="36" fillId="0" borderId="24" xfId="0" applyFont="1" applyFill="1" applyBorder="1" applyAlignment="1">
      <alignment vertical="center" wrapText="1"/>
    </xf>
    <xf numFmtId="3" fontId="36" fillId="0" borderId="24" xfId="0" applyNumberFormat="1" applyFont="1" applyFill="1" applyBorder="1" applyAlignment="1">
      <alignment horizontal="right" vertical="center"/>
    </xf>
    <xf numFmtId="0" fontId="36" fillId="0" borderId="31" xfId="0" applyFont="1" applyBorder="1" applyAlignment="1">
      <alignment vertical="center" wrapText="1"/>
    </xf>
    <xf numFmtId="3" fontId="36" fillId="0" borderId="31" xfId="0" applyNumberFormat="1" applyFont="1" applyBorder="1" applyAlignment="1">
      <alignment horizontal="right" vertical="center"/>
    </xf>
    <xf numFmtId="3" fontId="36" fillId="0" borderId="22" xfId="0" applyNumberFormat="1" applyFont="1" applyFill="1" applyBorder="1" applyAlignment="1">
      <alignment vertical="center" wrapText="1"/>
    </xf>
    <xf numFmtId="0" fontId="36" fillId="0" borderId="0" xfId="0" applyFont="1" applyFill="1" applyBorder="1"/>
    <xf numFmtId="3" fontId="36" fillId="0" borderId="24" xfId="0" applyNumberFormat="1" applyFont="1" applyFill="1" applyBorder="1" applyAlignment="1">
      <alignment vertical="center" wrapText="1"/>
    </xf>
    <xf numFmtId="1" fontId="41" fillId="13" borderId="26" xfId="0" applyNumberFormat="1" applyFont="1" applyFill="1" applyBorder="1" applyAlignment="1">
      <alignment vertical="center" wrapText="1"/>
    </xf>
    <xf numFmtId="3" fontId="41" fillId="13" borderId="26" xfId="0" applyNumberFormat="1" applyFont="1" applyFill="1" applyBorder="1" applyAlignment="1">
      <alignment horizontal="right" vertical="center"/>
    </xf>
    <xf numFmtId="3" fontId="41" fillId="13" borderId="27" xfId="0" applyNumberFormat="1" applyFont="1" applyFill="1" applyBorder="1" applyAlignment="1">
      <alignment horizontal="right" vertical="center"/>
    </xf>
    <xf numFmtId="1" fontId="36" fillId="12" borderId="33" xfId="0" applyNumberFormat="1" applyFont="1" applyFill="1" applyBorder="1" applyAlignment="1">
      <alignment vertical="center" wrapText="1"/>
    </xf>
    <xf numFmtId="3" fontId="36" fillId="12" borderId="33" xfId="0" applyNumberFormat="1" applyFont="1" applyFill="1" applyBorder="1" applyAlignment="1">
      <alignment horizontal="right" vertical="center"/>
    </xf>
    <xf numFmtId="3" fontId="36" fillId="12" borderId="34" xfId="0" applyNumberFormat="1" applyFont="1" applyFill="1" applyBorder="1" applyAlignment="1">
      <alignment horizontal="right" vertical="center"/>
    </xf>
    <xf numFmtId="1" fontId="36" fillId="0" borderId="22" xfId="0" applyNumberFormat="1" applyFont="1" applyFill="1" applyBorder="1" applyAlignment="1">
      <alignment vertical="center" wrapText="1"/>
    </xf>
    <xf numFmtId="0" fontId="19" fillId="0" borderId="0" xfId="0" applyFont="1" applyFill="1" applyBorder="1" applyAlignment="1">
      <alignment horizontal="left"/>
    </xf>
    <xf numFmtId="1" fontId="36" fillId="0" borderId="23" xfId="0" applyNumberFormat="1" applyFont="1" applyFill="1" applyBorder="1" applyAlignment="1">
      <alignment vertical="center" wrapText="1"/>
    </xf>
    <xf numFmtId="0" fontId="44" fillId="0" borderId="0" xfId="0" applyFont="1" applyFill="1" applyBorder="1" applyAlignment="1">
      <alignment horizontal="left"/>
    </xf>
    <xf numFmtId="1" fontId="36" fillId="0" borderId="24" xfId="0" applyNumberFormat="1" applyFont="1" applyFill="1" applyBorder="1" applyAlignment="1">
      <alignment vertical="center" wrapText="1"/>
    </xf>
    <xf numFmtId="0" fontId="42" fillId="11" borderId="25" xfId="0" applyFont="1" applyFill="1" applyBorder="1" applyAlignment="1">
      <alignment vertical="center" wrapText="1"/>
    </xf>
    <xf numFmtId="1" fontId="36" fillId="11" borderId="26" xfId="0" applyNumberFormat="1" applyFont="1" applyFill="1" applyBorder="1" applyAlignment="1">
      <alignment vertical="center" wrapText="1"/>
    </xf>
    <xf numFmtId="0" fontId="36" fillId="11" borderId="26" xfId="0" applyFont="1" applyFill="1" applyBorder="1"/>
    <xf numFmtId="0" fontId="36" fillId="11" borderId="27" xfId="0" applyFont="1" applyFill="1" applyBorder="1"/>
    <xf numFmtId="1" fontId="41" fillId="11" borderId="25" xfId="0" applyNumberFormat="1" applyFont="1" applyFill="1" applyBorder="1"/>
    <xf numFmtId="3" fontId="36" fillId="11" borderId="26" xfId="0" applyNumberFormat="1" applyFont="1" applyFill="1" applyBorder="1" applyAlignment="1">
      <alignment horizontal="right" vertical="center"/>
    </xf>
    <xf numFmtId="3" fontId="36" fillId="11" borderId="27" xfId="0" applyNumberFormat="1" applyFont="1" applyFill="1" applyBorder="1" applyAlignment="1">
      <alignment horizontal="right" vertical="center"/>
    </xf>
    <xf numFmtId="1" fontId="36" fillId="0" borderId="31" xfId="0" applyNumberFormat="1" applyFont="1" applyFill="1" applyBorder="1" applyAlignment="1">
      <alignment vertical="center" wrapText="1"/>
    </xf>
    <xf numFmtId="3" fontId="36" fillId="0" borderId="31" xfId="0" applyNumberFormat="1" applyFont="1" applyFill="1" applyBorder="1" applyAlignment="1">
      <alignment horizontal="right" vertical="center"/>
    </xf>
    <xf numFmtId="0" fontId="19" fillId="15" borderId="0" xfId="0" applyFont="1" applyFill="1" applyBorder="1" applyAlignment="1">
      <alignment horizontal="left"/>
    </xf>
    <xf numFmtId="1" fontId="41" fillId="12" borderId="32" xfId="0" applyNumberFormat="1" applyFont="1" applyFill="1" applyBorder="1"/>
    <xf numFmtId="1" fontId="36" fillId="0" borderId="31" xfId="0" applyNumberFormat="1" applyFont="1" applyBorder="1" applyAlignment="1">
      <alignment vertical="center" wrapText="1"/>
    </xf>
    <xf numFmtId="1" fontId="42" fillId="11" borderId="25" xfId="0" applyNumberFormat="1" applyFont="1" applyFill="1" applyBorder="1" applyAlignment="1">
      <alignment vertical="center" wrapText="1"/>
    </xf>
    <xf numFmtId="1" fontId="36" fillId="0" borderId="22" xfId="0" applyNumberFormat="1" applyFont="1" applyBorder="1" applyAlignment="1">
      <alignment vertical="center" wrapText="1"/>
    </xf>
    <xf numFmtId="1" fontId="36" fillId="0" borderId="23" xfId="0" applyNumberFormat="1" applyFont="1" applyBorder="1" applyAlignment="1">
      <alignment vertical="center" wrapText="1"/>
    </xf>
    <xf numFmtId="1" fontId="36" fillId="0" borderId="24" xfId="0" applyNumberFormat="1" applyFont="1" applyBorder="1" applyAlignment="1">
      <alignment vertical="center" wrapText="1"/>
    </xf>
    <xf numFmtId="1" fontId="41" fillId="12" borderId="28" xfId="0" applyNumberFormat="1" applyFont="1" applyFill="1" applyBorder="1"/>
    <xf numFmtId="1" fontId="36" fillId="12" borderId="29" xfId="0" applyNumberFormat="1" applyFont="1" applyFill="1" applyBorder="1" applyAlignment="1">
      <alignment vertical="center" wrapText="1"/>
    </xf>
    <xf numFmtId="3" fontId="36" fillId="12" borderId="29" xfId="0" applyNumberFormat="1" applyFont="1" applyFill="1" applyBorder="1" applyAlignment="1">
      <alignment horizontal="right" vertical="center"/>
    </xf>
    <xf numFmtId="3" fontId="36" fillId="12" borderId="30" xfId="0" applyNumberFormat="1" applyFont="1" applyFill="1" applyBorder="1" applyAlignment="1">
      <alignment horizontal="right" vertical="center"/>
    </xf>
    <xf numFmtId="1" fontId="41" fillId="12" borderId="25" xfId="0" applyNumberFormat="1" applyFont="1" applyFill="1" applyBorder="1"/>
    <xf numFmtId="1" fontId="36" fillId="12" borderId="26" xfId="0" applyNumberFormat="1" applyFont="1" applyFill="1" applyBorder="1" applyAlignment="1">
      <alignment vertical="center" wrapText="1"/>
    </xf>
    <xf numFmtId="3" fontId="41" fillId="13" borderId="30" xfId="0" applyNumberFormat="1" applyFont="1" applyFill="1" applyBorder="1" applyAlignment="1">
      <alignment horizontal="right" vertical="center"/>
    </xf>
    <xf numFmtId="0" fontId="36" fillId="0" borderId="0" xfId="0" applyFont="1" applyAlignment="1">
      <alignment vertical="center" wrapText="1"/>
    </xf>
    <xf numFmtId="174" fontId="36" fillId="0" borderId="22" xfId="0" applyNumberFormat="1" applyFont="1" applyBorder="1" applyAlignment="1">
      <alignment horizontal="right" vertical="center" wrapText="1"/>
    </xf>
    <xf numFmtId="171" fontId="0" fillId="0" borderId="0" xfId="0" applyNumberFormat="1"/>
    <xf numFmtId="0" fontId="0" fillId="0" borderId="0" xfId="0" quotePrefix="1"/>
    <xf numFmtId="0" fontId="45" fillId="5" borderId="0" xfId="0" applyFont="1" applyFill="1"/>
    <xf numFmtId="0" fontId="21" fillId="5" borderId="0" xfId="0" applyFont="1" applyFill="1"/>
    <xf numFmtId="0" fontId="2" fillId="0" borderId="0" xfId="1" applyFont="1"/>
    <xf numFmtId="0" fontId="0" fillId="5" borderId="0" xfId="0" applyFont="1" applyFill="1"/>
    <xf numFmtId="0" fontId="47"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pivotButton="1"/>
    <xf numFmtId="172" fontId="27" fillId="0" borderId="0" xfId="12" quotePrefix="1" applyNumberFormat="1" applyFont="1" applyAlignment="1">
      <alignment horizontal="left"/>
    </xf>
    <xf numFmtId="0" fontId="27" fillId="0" borderId="0" xfId="12" applyFont="1" applyFill="1" applyBorder="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174" fontId="0" fillId="0" borderId="0" xfId="0" applyNumberFormat="1"/>
    <xf numFmtId="177" fontId="0" fillId="0" borderId="0" xfId="0" applyNumberFormat="1"/>
    <xf numFmtId="0" fontId="38" fillId="0" borderId="0" xfId="0" applyFont="1" applyAlignment="1">
      <alignment horizontal="left" vertical="center"/>
    </xf>
    <xf numFmtId="0" fontId="50" fillId="0" borderId="0" xfId="0" applyFont="1" applyFill="1" applyAlignment="1">
      <alignment wrapText="1"/>
    </xf>
    <xf numFmtId="172" fontId="41" fillId="0" borderId="31" xfId="0" applyNumberFormat="1" applyFont="1" applyBorder="1" applyAlignment="1">
      <alignment horizontal="left" vertical="center" wrapText="1"/>
    </xf>
    <xf numFmtId="4" fontId="36" fillId="0" borderId="22" xfId="0" applyNumberFormat="1" applyFont="1" applyBorder="1" applyAlignment="1">
      <alignment horizontal="right" vertical="center" wrapText="1"/>
    </xf>
    <xf numFmtId="4" fontId="36" fillId="0" borderId="23" xfId="0" applyNumberFormat="1" applyFont="1" applyFill="1" applyBorder="1" applyAlignment="1">
      <alignment horizontal="right" vertical="center" wrapText="1"/>
    </xf>
    <xf numFmtId="0" fontId="36" fillId="0" borderId="24" xfId="0" applyFont="1" applyFill="1" applyBorder="1" applyAlignment="1">
      <alignment horizontal="left" vertical="center" wrapText="1"/>
    </xf>
    <xf numFmtId="4" fontId="36" fillId="0" borderId="24" xfId="0" applyNumberFormat="1" applyFont="1" applyFill="1" applyBorder="1" applyAlignment="1">
      <alignment horizontal="right" vertical="center" wrapText="1"/>
    </xf>
    <xf numFmtId="0" fontId="36" fillId="11" borderId="25" xfId="0" applyFont="1" applyFill="1" applyBorder="1" applyAlignment="1">
      <alignment horizontal="left" vertical="center" wrapText="1"/>
    </xf>
    <xf numFmtId="0" fontId="36" fillId="0" borderId="31" xfId="0" applyFont="1" applyFill="1" applyBorder="1" applyAlignment="1">
      <alignment horizontal="left" vertical="center" wrapText="1"/>
    </xf>
    <xf numFmtId="171" fontId="36" fillId="0" borderId="31" xfId="0" applyNumberFormat="1" applyFont="1" applyFill="1" applyBorder="1" applyAlignment="1">
      <alignment horizontal="right" vertical="center" wrapText="1"/>
    </xf>
    <xf numFmtId="0" fontId="41" fillId="0" borderId="31" xfId="0" applyFont="1" applyBorder="1" applyAlignment="1">
      <alignment horizontal="left" vertical="center" wrapText="1"/>
    </xf>
    <xf numFmtId="0" fontId="0" fillId="0" borderId="0" xfId="0" applyFill="1"/>
    <xf numFmtId="0" fontId="0" fillId="0" borderId="0" xfId="0" applyFont="1" applyFill="1"/>
    <xf numFmtId="0" fontId="0" fillId="0" borderId="0" xfId="0" applyFont="1" applyFill="1" applyBorder="1" applyAlignment="1">
      <alignment horizontal="left" vertical="top" wrapText="1"/>
    </xf>
    <xf numFmtId="0" fontId="20" fillId="0" borderId="0" xfId="0" applyFont="1" applyFill="1"/>
    <xf numFmtId="1" fontId="20" fillId="0" borderId="0" xfId="0" applyNumberFormat="1" applyFont="1"/>
    <xf numFmtId="0" fontId="21" fillId="0"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5" xfId="0" applyFill="1" applyBorder="1" applyAlignment="1">
      <alignment horizontal="left" vertical="top" wrapText="1"/>
    </xf>
    <xf numFmtId="0" fontId="12" fillId="0" borderId="5" xfId="0" applyFont="1" applyFill="1" applyBorder="1" applyAlignment="1">
      <alignment horizontal="left" vertical="top" wrapText="1"/>
    </xf>
    <xf numFmtId="0" fontId="3" fillId="0" borderId="4" xfId="7" applyFont="1" applyFill="1" applyBorder="1" applyAlignment="1">
      <alignment wrapText="1"/>
    </xf>
  </cellXfs>
  <cellStyles count="15">
    <cellStyle name="2x indented GHG Textfiels" xfId="10"/>
    <cellStyle name="Body: normal cell" xfId="6"/>
    <cellStyle name="Font: Calibri, 9pt regular" xfId="2"/>
    <cellStyle name="Footnotes: top row" xfId="7"/>
    <cellStyle name="Header: bottom row" xfId="3"/>
    <cellStyle name="Hyperlink" xfId="1" builtinId="8"/>
    <cellStyle name="Hyperlink 2" xfId="14"/>
    <cellStyle name="Normal" xfId="0" builtinId="0"/>
    <cellStyle name="Normal 2" xfId="9"/>
    <cellStyle name="Normal 3" xfId="12"/>
    <cellStyle name="Normal 4" xfId="13"/>
    <cellStyle name="Parent row" xfId="5"/>
    <cellStyle name="Percent" xfId="8" builtinId="5"/>
    <cellStyle name="Table title" xfId="4"/>
    <cellStyle name="Обычный_CRF2002 (1)" xfId="11"/>
  </cellStyles>
  <dxfs count="8">
    <dxf>
      <numFmt numFmtId="1" formatCode="0"/>
    </dxf>
    <dxf>
      <numFmt numFmtId="172" formatCode="0.0"/>
    </dxf>
    <dxf>
      <numFmt numFmtId="2" formatCode="0.00"/>
    </dxf>
    <dxf>
      <numFmt numFmtId="173" formatCode="0.000"/>
    </dxf>
    <dxf>
      <numFmt numFmtId="175" formatCode="0.0000"/>
    </dxf>
    <dxf>
      <numFmt numFmtId="178" formatCode="0.00000"/>
    </dxf>
    <dxf>
      <numFmt numFmtId="179" formatCode="0.000000"/>
    </dxf>
    <dxf>
      <numFmt numFmtId="176" formatCode="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66675</xdr:rowOff>
    </xdr:from>
    <xdr:to>
      <xdr:col>4</xdr:col>
      <xdr:colOff>218606</xdr:colOff>
      <xdr:row>12</xdr:row>
      <xdr:rowOff>142651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38175"/>
          <a:ext cx="3752381" cy="1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9525</xdr:colOff>
      <xdr:row>122</xdr:row>
      <xdr:rowOff>142875</xdr:rowOff>
    </xdr:from>
    <xdr:to>
      <xdr:col>18</xdr:col>
      <xdr:colOff>551925</xdr:colOff>
      <xdr:row>128</xdr:row>
      <xdr:rowOff>57018</xdr:rowOff>
    </xdr:to>
    <xdr:pic>
      <xdr:nvPicPr>
        <xdr:cNvPr id="2" name="Picture 1"/>
        <xdr:cNvPicPr>
          <a:picLocks noChangeAspect="1"/>
        </xdr:cNvPicPr>
      </xdr:nvPicPr>
      <xdr:blipFill>
        <a:blip xmlns:r="http://schemas.openxmlformats.org/officeDocument/2006/relationships" r:embed="rId1"/>
        <a:stretch>
          <a:fillRect/>
        </a:stretch>
      </xdr:blipFill>
      <xdr:spPr>
        <a:xfrm>
          <a:off x="9029700" y="14830425"/>
          <a:ext cx="4200000" cy="105714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2921.672807523151" createdVersion="6" refreshedVersion="6" minRefreshableVersion="3" recordCount="161">
  <cacheSource type="worksheet">
    <worksheetSource ref="A1:AV162" sheet="Other Industrial Processes"/>
  </cacheSource>
  <cacheFields count="48">
    <cacheField name="Sub-Sector" numFmtId="0">
      <sharedItems/>
    </cacheField>
    <cacheField name="Model Sector" numFmtId="0">
      <sharedItems count="8">
        <s v="Coal Mining"/>
        <s v="Chemicals"/>
        <s v="Other"/>
        <s v="Cement and Other Carbonates"/>
        <s v="Natural Gas and Petroleum Systems"/>
        <s v="Agriculture"/>
        <s v="Waste"/>
        <s v="Exclude"/>
      </sharedItems>
    </cacheField>
    <cacheField name="Pollutant" numFmtId="0">
      <sharedItems containsBlank="1" count="8">
        <s v="CO2"/>
        <s v="CH4"/>
        <s v="N2O"/>
        <s v="HFCs"/>
        <s v="PFCs"/>
        <s v="SF6"/>
        <s v="NF3"/>
        <m u="1"/>
      </sharedItems>
    </cacheField>
    <cacheField name="2006" numFmtId="0">
      <sharedItems containsSemiMixedTypes="0" containsString="0" containsNumber="1" containsInteger="1" minValue="0" maxValue="27187"/>
    </cacheField>
    <cacheField name="2007" numFmtId="0">
      <sharedItems containsSemiMixedTypes="0" containsString="0" containsNumber="1" containsInteger="1" minValue="0" maxValue="27627"/>
    </cacheField>
    <cacheField name="2008" numFmtId="0">
      <sharedItems containsSemiMixedTypes="0" containsString="0" containsNumber="1" containsInteger="1" minValue="0" maxValue="24352"/>
    </cacheField>
    <cacheField name="2009" numFmtId="0">
      <sharedItems containsSemiMixedTypes="0" containsString="0" containsNumber="1" containsInteger="1" minValue="0" maxValue="23403"/>
    </cacheField>
    <cacheField name="2010" numFmtId="0">
      <sharedItems containsSemiMixedTypes="0" containsString="0" containsNumber="1" containsInteger="1" minValue="0" maxValue="27262"/>
    </cacheField>
    <cacheField name="2011" numFmtId="0">
      <sharedItems containsSemiMixedTypes="0" containsString="0" containsNumber="1" containsInteger="1" minValue="0" maxValue="26338"/>
    </cacheField>
    <cacheField name="2012" numFmtId="0">
      <sharedItems containsSemiMixedTypes="0" containsString="0" containsNumber="1" containsInteger="1" minValue="0" maxValue="26501"/>
    </cacheField>
    <cacheField name="2013" numFmtId="0">
      <sharedItems containsSemiMixedTypes="0" containsString="0" containsNumber="1" containsInteger="1" minValue="0" maxValue="26395"/>
    </cacheField>
    <cacheField name="2014" numFmtId="0">
      <sharedItems containsSemiMixedTypes="0" containsString="0" containsNumber="1" containsInteger="1" minValue="0" maxValue="26496"/>
    </cacheField>
    <cacheField name="2015" numFmtId="0">
      <sharedItems containsSemiMixedTypes="0" containsString="0" containsNumber="1" containsInteger="1" minValue="0" maxValue="28062"/>
    </cacheField>
    <cacheField name="2016" numFmtId="0">
      <sharedItems containsSemiMixedTypes="0" containsString="0" containsNumber="1" minValue="0" maxValue="28159.222222222223"/>
    </cacheField>
    <cacheField name="2017" numFmtId="0">
      <sharedItems containsSemiMixedTypes="0" containsString="0" containsNumber="1" minValue="0" maxValue="28256.444444444445"/>
    </cacheField>
    <cacheField name="2018" numFmtId="0">
      <sharedItems containsSemiMixedTypes="0" containsString="0" containsNumber="1" minValue="0" maxValue="28353.666666666668"/>
    </cacheField>
    <cacheField name="2019" numFmtId="0">
      <sharedItems containsSemiMixedTypes="0" containsString="0" containsNumber="1" minValue="0" maxValue="28450.888888888891"/>
    </cacheField>
    <cacheField name="2020" numFmtId="0">
      <sharedItems containsSemiMixedTypes="0" containsString="0" containsNumber="1" minValue="0" maxValue="28548.111111111113"/>
    </cacheField>
    <cacheField name="2021" numFmtId="0">
      <sharedItems containsSemiMixedTypes="0" containsString="0" containsNumber="1" minValue="0" maxValue="28645.333333333336"/>
    </cacheField>
    <cacheField name="2022" numFmtId="0">
      <sharedItems containsSemiMixedTypes="0" containsString="0" containsNumber="1" minValue="0" maxValue="28742.555555555558"/>
    </cacheField>
    <cacheField name="2023" numFmtId="0">
      <sharedItems containsSemiMixedTypes="0" containsString="0" containsNumber="1" minValue="0" maxValue="28839.777777777781"/>
    </cacheField>
    <cacheField name="2024" numFmtId="0">
      <sharedItems containsSemiMixedTypes="0" containsString="0" containsNumber="1" minValue="0" maxValue="28937.000000000004"/>
    </cacheField>
    <cacheField name="2025" numFmtId="0">
      <sharedItems containsSemiMixedTypes="0" containsString="0" containsNumber="1" minValue="0" maxValue="29034.222222222226"/>
    </cacheField>
    <cacheField name="2026" numFmtId="0">
      <sharedItems containsSemiMixedTypes="0" containsString="0" containsNumber="1" minValue="0" maxValue="29131.444444444449"/>
    </cacheField>
    <cacheField name="2027" numFmtId="0">
      <sharedItems containsSemiMixedTypes="0" containsString="0" containsNumber="1" minValue="0" maxValue="29228.666666666672"/>
    </cacheField>
    <cacheField name="2028" numFmtId="0">
      <sharedItems containsSemiMixedTypes="0" containsString="0" containsNumber="1" minValue="0" maxValue="29325.888888888894"/>
    </cacheField>
    <cacheField name="2029" numFmtId="0">
      <sharedItems containsSemiMixedTypes="0" containsString="0" containsNumber="1" minValue="0" maxValue="29423.111111111117"/>
    </cacheField>
    <cacheField name="2030" numFmtId="0">
      <sharedItems containsSemiMixedTypes="0" containsString="0" containsNumber="1" minValue="0" maxValue="29520.333333333339"/>
    </cacheField>
    <cacheField name="2031" numFmtId="0">
      <sharedItems containsSemiMixedTypes="0" containsString="0" containsNumber="1" minValue="0" maxValue="29617.555555555562"/>
    </cacheField>
    <cacheField name="2032" numFmtId="0">
      <sharedItems containsSemiMixedTypes="0" containsString="0" containsNumber="1" minValue="0" maxValue="29714.777777777785"/>
    </cacheField>
    <cacheField name="2033" numFmtId="0">
      <sharedItems containsSemiMixedTypes="0" containsString="0" containsNumber="1" minValue="0" maxValue="29812.000000000007"/>
    </cacheField>
    <cacheField name="2034" numFmtId="0">
      <sharedItems containsSemiMixedTypes="0" containsString="0" containsNumber="1" minValue="0" maxValue="29909.22222222223"/>
    </cacheField>
    <cacheField name="2035" numFmtId="0">
      <sharedItems containsSemiMixedTypes="0" containsString="0" containsNumber="1" minValue="0" maxValue="30006.444444444453"/>
    </cacheField>
    <cacheField name="2036" numFmtId="0">
      <sharedItems containsSemiMixedTypes="0" containsString="0" containsNumber="1" minValue="0" maxValue="30103.666666666675"/>
    </cacheField>
    <cacheField name="2037" numFmtId="0">
      <sharedItems containsSemiMixedTypes="0" containsString="0" containsNumber="1" minValue="0" maxValue="30200.888888888898"/>
    </cacheField>
    <cacheField name="2038" numFmtId="0">
      <sharedItems containsSemiMixedTypes="0" containsString="0" containsNumber="1" minValue="0" maxValue="30298.11111111112"/>
    </cacheField>
    <cacheField name="2039" numFmtId="0">
      <sharedItems containsSemiMixedTypes="0" containsString="0" containsNumber="1" minValue="0" maxValue="30395.333333333343"/>
    </cacheField>
    <cacheField name="2040" numFmtId="0">
      <sharedItems containsSemiMixedTypes="0" containsString="0" containsNumber="1" minValue="0" maxValue="30492.555555555566"/>
    </cacheField>
    <cacheField name="2041" numFmtId="0">
      <sharedItems containsSemiMixedTypes="0" containsString="0" containsNumber="1" minValue="0" maxValue="30589.777777777788"/>
    </cacheField>
    <cacheField name="2042" numFmtId="0">
      <sharedItems containsSemiMixedTypes="0" containsString="0" containsNumber="1" minValue="0" maxValue="30687.000000000011"/>
    </cacheField>
    <cacheField name="2043" numFmtId="0">
      <sharedItems containsSemiMixedTypes="0" containsString="0" containsNumber="1" minValue="0" maxValue="30784.222222222234"/>
    </cacheField>
    <cacheField name="2044" numFmtId="0">
      <sharedItems containsSemiMixedTypes="0" containsString="0" containsNumber="1" minValue="0" maxValue="30881.444444444456"/>
    </cacheField>
    <cacheField name="2045" numFmtId="0">
      <sharedItems containsSemiMixedTypes="0" containsString="0" containsNumber="1" minValue="0" maxValue="30978.666666666679"/>
    </cacheField>
    <cacheField name="2046" numFmtId="0">
      <sharedItems containsSemiMixedTypes="0" containsString="0" containsNumber="1" minValue="0" maxValue="31075.888888888901"/>
    </cacheField>
    <cacheField name="2047" numFmtId="0">
      <sharedItems containsSemiMixedTypes="0" containsString="0" containsNumber="1" minValue="0" maxValue="31173.111111111124"/>
    </cacheField>
    <cacheField name="2048" numFmtId="0">
      <sharedItems containsSemiMixedTypes="0" containsString="0" containsNumber="1" minValue="0" maxValue="31270.333333333347"/>
    </cacheField>
    <cacheField name="2049" numFmtId="0">
      <sharedItems containsSemiMixedTypes="0" containsString="0" containsNumber="1" minValue="0" maxValue="31367.555555555569"/>
    </cacheField>
    <cacheField name="2050" numFmtId="0">
      <sharedItems containsSemiMixedTypes="0" containsString="0" containsNumber="1" minValue="0" maxValue="31464.7777777777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1">
  <r>
    <s v="Abandoned Underground Coal Mines"/>
    <x v="0"/>
    <x v="0"/>
    <n v="0"/>
    <n v="0"/>
    <n v="0"/>
    <n v="0"/>
    <n v="0"/>
    <n v="0"/>
    <n v="0"/>
    <n v="0"/>
    <n v="0"/>
    <n v="0"/>
    <n v="0"/>
    <n v="0"/>
    <n v="0"/>
    <n v="0"/>
    <n v="0"/>
    <n v="0"/>
    <n v="0"/>
    <n v="0"/>
    <n v="0"/>
    <n v="0"/>
    <n v="0"/>
    <n v="0"/>
    <n v="0"/>
    <n v="0"/>
    <n v="0"/>
    <n v="0"/>
    <n v="0"/>
    <n v="0"/>
    <n v="0"/>
    <n v="0"/>
    <n v="0"/>
    <n v="0"/>
    <n v="0"/>
    <n v="0"/>
    <n v="0"/>
    <n v="0"/>
    <n v="0"/>
    <n v="0"/>
    <n v="0"/>
    <n v="0"/>
    <n v="0"/>
    <n v="0"/>
    <n v="0"/>
    <n v="0"/>
    <n v="0"/>
  </r>
  <r>
    <s v="Nitric Acid Production"/>
    <x v="1"/>
    <x v="0"/>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0"/>
    <n v="207"/>
    <n v="196"/>
    <n v="175"/>
    <n v="145"/>
    <n v="181"/>
    <n v="170"/>
    <n v="158"/>
    <n v="169"/>
    <n v="173"/>
    <n v="180"/>
    <n v="162.74210197167912"/>
    <n v="160.67308647762198"/>
    <n v="158.63037533297893"/>
    <n v="156.61363411840898"/>
    <n v="154.62253266619854"/>
    <n v="152.65674500620881"/>
    <n v="150.71594931250968"/>
    <n v="148.79982785069288"/>
    <n v="146.90806692585429"/>
    <n v="145.04035683123803"/>
    <n v="143.19639179753315"/>
    <n v="141.37586994281529"/>
    <n v="139.57849322312416"/>
    <n v="137.8039673836702"/>
    <n v="136.05200191066081"/>
    <n v="134.3223099837393"/>
    <n v="132.61460842902872"/>
    <n v="130.92861767277239"/>
    <n v="129.26406169556378"/>
    <n v="127.62066798715871"/>
    <n v="125.99816750186136"/>
    <n v="124.39629461447836"/>
    <n v="122.81478707683181"/>
    <n v="121.25338597482616"/>
    <n v="119.71183568606028"/>
    <n v="118.18988383797873"/>
    <n v="116.68728126655471"/>
    <n v="115.203781975499"/>
    <n v="113.73914309598662"/>
    <n v="112.29312484689623"/>
    <n v="110.86549049555452"/>
    <n v="109.45600631898009"/>
    <n v="108.06444156561959"/>
    <n v="106.69056841757086"/>
    <n v="105.33416195328583"/>
  </r>
  <r>
    <s v="Ferroalloy Production"/>
    <x v="2"/>
    <x v="0"/>
    <n v="1505"/>
    <n v="1552"/>
    <n v="1599"/>
    <n v="1469"/>
    <n v="1663"/>
    <n v="1735"/>
    <n v="1903"/>
    <n v="1785"/>
    <n v="1914"/>
    <n v="1960"/>
    <n v="2010.5555555555557"/>
    <n v="2061.1111111111113"/>
    <n v="2111.666666666667"/>
    <n v="2162.2222222222226"/>
    <n v="2212.7777777777783"/>
    <n v="2263.3333333333339"/>
    <n v="2313.8888888888896"/>
    <n v="2364.4444444444453"/>
    <n v="2415.0000000000009"/>
    <n v="2465.5555555555566"/>
    <n v="2516.1111111111122"/>
    <n v="2566.6666666666679"/>
    <n v="2617.2222222222235"/>
    <n v="2667.7777777777792"/>
    <n v="2718.3333333333348"/>
    <n v="2768.8888888888905"/>
    <n v="2819.4444444444462"/>
    <n v="2870.0000000000018"/>
    <n v="2920.5555555555575"/>
    <n v="2971.1111111111131"/>
    <n v="3021.6666666666688"/>
    <n v="3072.2222222222244"/>
    <n v="3122.7777777777801"/>
    <n v="3173.3333333333358"/>
    <n v="3223.8888888888914"/>
    <n v="3274.4444444444471"/>
    <n v="3325.0000000000027"/>
    <n v="3375.5555555555584"/>
    <n v="3426.111111111114"/>
    <n v="3476.6666666666697"/>
    <n v="3527.2222222222254"/>
    <n v="3577.777777777781"/>
    <n v="3628.3333333333367"/>
    <n v="3678.8888888888923"/>
    <n v="3729.444444444448"/>
  </r>
  <r>
    <s v="Lime Production"/>
    <x v="3"/>
    <x v="0"/>
    <n v="15243"/>
    <n v="14721"/>
    <n v="14505"/>
    <n v="11411"/>
    <n v="13381"/>
    <n v="13982"/>
    <n v="13785"/>
    <n v="14028"/>
    <n v="14210"/>
    <n v="13342"/>
    <n v="13369.079948935907"/>
    <n v="13288.108562053816"/>
    <n v="13207.627587789395"/>
    <n v="13127.634055901617"/>
    <n v="13048.125014139061"/>
    <n v="12969.097528130957"/>
    <n v="12890.548681278902"/>
    <n v="12812.475574649203"/>
    <n v="12734.875326865898"/>
    <n v="12657.745074004411"/>
    <n v="12581.081969485867"/>
    <n v="12504.88318397201"/>
    <n v="12429.145905260819"/>
    <n v="12353.867338182696"/>
    <n v="12279.044704497295"/>
    <n v="12204.675242791032"/>
    <n v="12130.756208375136"/>
    <n v="12057.284873184353"/>
    <n v="11984.25852567628"/>
    <n v="11911.67447073129"/>
    <n v="11839.530029553058"/>
    <n v="11767.822539569697"/>
    <n v="11696.549354335501"/>
    <n v="11625.707843433265"/>
    <n v="11555.295392377224"/>
    <n v="11485.309402516532"/>
    <n v="11415.747290939387"/>
    <n v="11346.606490377684"/>
    <n v="11277.884449112282"/>
    <n v="11209.578630878823"/>
    <n v="11141.68651477413"/>
    <n v="11074.205595163159"/>
    <n v="11007.133381586556"/>
    <n v="10940.467398668701"/>
    <n v="10874.205186026385"/>
  </r>
  <r>
    <s v="Limestone and Dolomite Use"/>
    <x v="3"/>
    <x v="0"/>
    <n v="0"/>
    <n v="0"/>
    <n v="0"/>
    <n v="0"/>
    <n v="0"/>
    <n v="0"/>
    <n v="0"/>
    <n v="0"/>
    <n v="0"/>
    <n v="0"/>
    <n v="0"/>
    <n v="0"/>
    <n v="0"/>
    <n v="0"/>
    <n v="0"/>
    <n v="0"/>
    <n v="0"/>
    <n v="0"/>
    <n v="0"/>
    <n v="0"/>
    <n v="0"/>
    <n v="0"/>
    <n v="0"/>
    <n v="0"/>
    <n v="0"/>
    <n v="0"/>
    <n v="0"/>
    <n v="0"/>
    <n v="0"/>
    <n v="0"/>
    <n v="0"/>
    <n v="0"/>
    <n v="0"/>
    <n v="0"/>
    <n v="0"/>
    <n v="0"/>
    <n v="0"/>
    <n v="0"/>
    <n v="0"/>
    <n v="0"/>
    <n v="0"/>
    <n v="0"/>
    <n v="0"/>
    <n v="0"/>
    <n v="0"/>
  </r>
  <r>
    <s v="Ammonia Production"/>
    <x v="1"/>
    <x v="0"/>
    <n v="8781"/>
    <n v="9074"/>
    <n v="8414"/>
    <n v="8454"/>
    <n v="9188"/>
    <n v="9292"/>
    <n v="9377"/>
    <n v="9962"/>
    <n v="9619"/>
    <n v="10799"/>
    <n v="11023.222222222223"/>
    <n v="11247.444444444445"/>
    <n v="11471.666666666668"/>
    <n v="11695.888888888891"/>
    <n v="11920.111111111113"/>
    <n v="12144.333333333336"/>
    <n v="12368.555555555558"/>
    <n v="12592.777777777781"/>
    <n v="12817.000000000004"/>
    <n v="13041.222222222226"/>
    <n v="13265.444444444449"/>
    <n v="13489.666666666672"/>
    <n v="13713.888888888894"/>
    <n v="13938.111111111117"/>
    <n v="14162.333333333339"/>
    <n v="14386.555555555562"/>
    <n v="14610.777777777785"/>
    <n v="14835.000000000007"/>
    <n v="15059.22222222223"/>
    <n v="15283.444444444453"/>
    <n v="15507.666666666675"/>
    <n v="15731.888888888898"/>
    <n v="15956.11111111112"/>
    <n v="16180.333333333343"/>
    <n v="16404.555555555566"/>
    <n v="16628.777777777788"/>
    <n v="16853.000000000011"/>
    <n v="17077.222222222234"/>
    <n v="17301.444444444456"/>
    <n v="17525.666666666679"/>
    <n v="17749.888888888901"/>
    <n v="17974.111111111124"/>
    <n v="18198.333333333347"/>
    <n v="18422.555555555569"/>
    <n v="18646.777777777792"/>
  </r>
  <r>
    <s v="Urea Consumption for Non- Agricultural Purposes"/>
    <x v="2"/>
    <x v="0"/>
    <n v="3519"/>
    <n v="4944"/>
    <n v="4065"/>
    <n v="3427"/>
    <n v="4730"/>
    <n v="4030"/>
    <n v="4407"/>
    <n v="4014"/>
    <n v="1380"/>
    <n v="1128"/>
    <n v="1740.1992380503323"/>
    <n v="1554.2980192625712"/>
    <n v="1388.2561719715436"/>
    <n v="1239.952168202248"/>
    <n v="1107.4911176126732"/>
    <n v="989.18055635103144"/>
    <n v="883.50882233002517"/>
    <n v="789.12574061755015"/>
    <n v="704.82537215976629"/>
    <n v="629.53060541579418"/>
    <n v="562.27939403030337"/>
    <n v="502.21246470180415"/>
    <n v="448.56233818923829"/>
    <n v="400.6435231775198"/>
    <n v="357.84375770838375"/>
    <n v="319.61618626770667"/>
    <n v="285.47237257541252"/>
    <n v="254.97605880190417"/>
    <n v="227.73759147210581"/>
    <n v="203.40894283651255"/>
    <n v="181.67926409696588"/>
    <n v="162.27091367041965"/>
    <n v="144.93590974355197"/>
    <n v="129.45276179227125"/>
    <n v="115.62364058222687"/>
    <n v="103.27185049122789"/>
    <n v="92.239571857261822"/>
    <n v="82.385844505939815"/>
    <n v="73.584766692762315"/>
    <n v="65.723886447967075"/>
    <n v="58.702764770064064"/>
    <n v="52.431692309882628"/>
    <n v="46.830543148116284"/>
    <n v="41.827751021002463"/>
    <n v="37.359394913303447"/>
  </r>
  <r>
    <s v="Soda Ash Production and Consumption"/>
    <x v="1"/>
    <x v="0"/>
    <n v="2902"/>
    <n v="2937"/>
    <n v="2960"/>
    <n v="2569"/>
    <n v="2697"/>
    <n v="2712"/>
    <n v="2763"/>
    <n v="2804"/>
    <n v="2827"/>
    <n v="2789"/>
    <n v="2731.8460438397533"/>
    <n v="2720.7520772157445"/>
    <n v="2709.703162945887"/>
    <n v="2698.6991180735631"/>
    <n v="2687.7397603851373"/>
    <n v="2676.8249084069403"/>
    <n v="2665.9543814022622"/>
    <n v="2655.1279993683629"/>
    <n v="2644.3455830334865"/>
    <n v="2633.6069538539"/>
    <n v="2622.9119340109269"/>
    <n v="2612.2603464080125"/>
    <n v="2601.6520146677885"/>
    <n v="2591.0867631291453"/>
    <n v="2580.5644168443382"/>
    <n v="2570.0848015760721"/>
    <n v="2559.6477437946305"/>
    <n v="2549.2530706749972"/>
    <n v="2538.9006100939946"/>
    <n v="2528.5901906274303"/>
    <n v="2518.3216415472684"/>
    <n v="2508.0947928187884"/>
    <n v="2497.9094750977824"/>
    <n v="2487.7655197277427"/>
    <n v="2477.6627587370731"/>
    <n v="2467.6010248363059"/>
    <n v="2457.5801514153331"/>
    <n v="2447.5999725406446"/>
    <n v="2437.6603229525863"/>
    <n v="2427.7610380626161"/>
    <n v="2417.9019539505853"/>
    <n v="2408.0829073620189"/>
    <n v="2398.3037357054168"/>
    <n v="2388.5642770495565"/>
    <n v="2378.8643701208184"/>
  </r>
  <r>
    <s v="Petrochemical Production"/>
    <x v="4"/>
    <x v="0"/>
    <n v="27187"/>
    <n v="27627"/>
    <n v="24352"/>
    <n v="23403"/>
    <n v="27262"/>
    <n v="26338"/>
    <n v="26501"/>
    <n v="26395"/>
    <n v="26496"/>
    <n v="28062"/>
    <n v="28159.222222222223"/>
    <n v="28256.444444444445"/>
    <n v="28353.666666666668"/>
    <n v="28450.888888888891"/>
    <n v="28548.111111111113"/>
    <n v="28645.333333333336"/>
    <n v="28742.555555555558"/>
    <n v="28839.777777777781"/>
    <n v="28937.000000000004"/>
    <n v="29034.222222222226"/>
    <n v="29131.444444444449"/>
    <n v="29228.666666666672"/>
    <n v="29325.888888888894"/>
    <n v="29423.111111111117"/>
    <n v="29520.333333333339"/>
    <n v="29617.555555555562"/>
    <n v="29714.777777777785"/>
    <n v="29812.000000000007"/>
    <n v="29909.22222222223"/>
    <n v="30006.444444444453"/>
    <n v="30103.666666666675"/>
    <n v="30200.888888888898"/>
    <n v="30298.11111111112"/>
    <n v="30395.333333333343"/>
    <n v="30492.555555555566"/>
    <n v="30589.777777777788"/>
    <n v="30687.000000000011"/>
    <n v="30784.222222222234"/>
    <n v="30881.444444444456"/>
    <n v="30978.666666666679"/>
    <n v="31075.888888888901"/>
    <n v="31173.111111111124"/>
    <n v="31270.333333333347"/>
    <n v="31367.555555555569"/>
    <n v="31464.777777777792"/>
  </r>
  <r>
    <s v="Carbon Dioxide Consumption"/>
    <x v="2"/>
    <x v="0"/>
    <n v="1758"/>
    <n v="1922"/>
    <n v="1834"/>
    <n v="1795"/>
    <n v="4425"/>
    <n v="4083"/>
    <n v="4019"/>
    <n v="4188"/>
    <n v="4471"/>
    <n v="4296"/>
    <n v="4578"/>
    <n v="4860"/>
    <n v="5142"/>
    <n v="5424"/>
    <n v="5706"/>
    <n v="5988"/>
    <n v="6270"/>
    <n v="6552"/>
    <n v="6834"/>
    <n v="7116"/>
    <n v="7398"/>
    <n v="7680"/>
    <n v="7962"/>
    <n v="8244"/>
    <n v="8526"/>
    <n v="8808"/>
    <n v="9090"/>
    <n v="9372"/>
    <n v="9654"/>
    <n v="9936"/>
    <n v="10218"/>
    <n v="10500"/>
    <n v="10782"/>
    <n v="11064"/>
    <n v="11346"/>
    <n v="11628"/>
    <n v="11910"/>
    <n v="12192"/>
    <n v="12474"/>
    <n v="12756"/>
    <n v="13038"/>
    <n v="13320"/>
    <n v="13602"/>
    <n v="13884"/>
    <n v="14166"/>
  </r>
  <r>
    <s v="Titanium Dioxide Production"/>
    <x v="2"/>
    <x v="0"/>
    <n v="1836"/>
    <n v="1930"/>
    <n v="1809"/>
    <n v="1648"/>
    <n v="1769"/>
    <n v="1729"/>
    <n v="1528"/>
    <n v="1715"/>
    <n v="1688"/>
    <n v="1635"/>
    <n v="1587.4600129274534"/>
    <n v="1563.6094251569864"/>
    <n v="1540.1171774595696"/>
    <n v="1516.9778860010949"/>
    <n v="1494.186247836172"/>
    <n v="1471.7370396928297"/>
    <n v="1449.6251167754715"/>
    <n v="1427.8454115858162"/>
    <n v="1406.3929327615558"/>
    <n v="1385.2627639324612"/>
    <n v="1364.4500625936716"/>
    <n v="1343.9500589959141"/>
    <n v="1323.7580550523974"/>
    <n v="1303.8694232621285"/>
    <n v="1284.2796056494046"/>
    <n v="1264.9841127192394"/>
    <n v="1245.9785224284842"/>
    <n v="1227.2584791724055"/>
    <n v="1208.8196927864908"/>
    <n v="1190.6579375632489"/>
    <n v="1172.7690512837853"/>
    <n v="1155.1489342639243"/>
    <n v="1137.7935484146674"/>
    <n v="1120.6989163167596"/>
    <n v="1103.8611203091689"/>
    <n v="1087.2763015912544"/>
    <n v="1070.9406593384276"/>
    <n v="1054.850449831097"/>
    <n v="1039.0019855967021"/>
    <n v="1023.3916345646375"/>
    <n v="1008.0158192338731"/>
    <n v="992.87101585308073"/>
    <n v="977.95375361307833"/>
    <n v="963.26061385140804"/>
    <n v="948.78822926886392"/>
  </r>
  <r>
    <s v="Zinc Production"/>
    <x v="2"/>
    <x v="0"/>
    <n v="1030"/>
    <n v="1025"/>
    <n v="1159"/>
    <n v="943"/>
    <n v="1182"/>
    <n v="1286"/>
    <n v="1486"/>
    <n v="1429"/>
    <n v="956"/>
    <n v="933"/>
    <n v="1170.3652435150302"/>
    <n v="1178.3203995083081"/>
    <n v="1186.3296279436959"/>
    <n v="1194.3932963600573"/>
    <n v="1202.5117747944755"/>
    <n v="1210.685435799234"/>
    <n v="1218.9146544589119"/>
    <n v="1227.1998084075976"/>
    <n v="1235.5412778462171"/>
    <n v="1243.939445559982"/>
    <n v="1252.3946969359547"/>
    <n v="1260.9074199807342"/>
    <n v="1269.478005338261"/>
    <n v="1278.1068463077434"/>
    <n v="1286.7943388617073"/>
    <n v="1295.5408816641636"/>
    <n v="1304.3468760889075"/>
    <n v="1313.2127262379329"/>
    <n v="1322.1388389599792"/>
    <n v="1331.1256238692001"/>
    <n v="1340.1734933639618"/>
    <n v="1349.2828626457649"/>
    <n v="1358.4541497383027"/>
    <n v="1367.6877755066371"/>
    <n v="1376.9841636765191"/>
    <n v="1386.3437408538289"/>
    <n v="1395.7669365441534"/>
    <n v="1405.2541831724968"/>
    <n v="1414.8059161031238"/>
    <n v="1424.4225736595367"/>
    <n v="1434.1045971445951"/>
    <n v="1443.8524308607589"/>
    <n v="1453.6665221304838"/>
    <n v="1463.5473213167465"/>
    <n v="1473.4952818437109"/>
  </r>
  <r>
    <s v="Phosphoric Acid Production"/>
    <x v="1"/>
    <x v="0"/>
    <n v="1160"/>
    <n v="1203"/>
    <n v="1132"/>
    <n v="977"/>
    <n v="1087"/>
    <n v="1171"/>
    <n v="1118"/>
    <n v="1149"/>
    <n v="1038"/>
    <n v="999"/>
    <n v="1036.0287177705784"/>
    <n v="1024.6386724981469"/>
    <n v="1013.373848784812"/>
    <n v="1002.2328699513342"/>
    <n v="991.21437445361346"/>
    <n v="980.31701571629378"/>
    <n v="969.53946196819788"/>
    <n v="958.88039607957069"/>
    <n v="948.33851540111277"/>
    <n v="937.9125316047822"/>
    <n v="927.60117052634871"/>
    <n v="917.40317200967502"/>
    <n v="907.31728975271608"/>
    <n v="897.34229115520441"/>
    <n v="887.4769571680165"/>
    <n v="877.72008214418929"/>
    <n v="868.07047369158022"/>
    <n v="858.52695252714329"/>
    <n v="849.08835233280763"/>
    <n v="839.75351961294234"/>
    <n v="830.52131355338679"/>
    <n v="821.39060588203131"/>
    <n v="812.36028073093098"/>
    <n v="803.42923449993327"/>
    <n v="794.59637572180861"/>
    <n v="785.86062492886037"/>
    <n v="777.22091452100381"/>
    <n v="768.67618863529231"/>
    <n v="760.22540301688161"/>
    <n v="751.86752489141065"/>
    <n v="743.60153283878435"/>
    <n v="735.42641666834754"/>
    <n v="727.34117729542754"/>
    <n v="719.3448266192363"/>
    <n v="711.43638740211338"/>
  </r>
  <r>
    <s v="Lead Production"/>
    <x v="2"/>
    <x v="0"/>
    <n v="560"/>
    <n v="562"/>
    <n v="547"/>
    <n v="525"/>
    <n v="542"/>
    <n v="538"/>
    <n v="527"/>
    <n v="546"/>
    <n v="459"/>
    <n v="473"/>
    <n v="477.60056570320302"/>
    <n v="469.16060352470362"/>
    <n v="460.86978891153348"/>
    <n v="452.72548618881945"/>
    <n v="444.72510625825862"/>
    <n v="436.8661057750362"/>
    <n v="429.14598633928802"/>
    <n v="421.56229370185247"/>
    <n v="414.11261698405696"/>
    <n v="406.79458791129247"/>
    <n v="399.60588006013143"/>
    <n v="392.54420811875144"/>
    <n v="385.60732716042764"/>
    <n v="378.79303192986322"/>
    <n v="372.09915614213253"/>
    <n v="365.52357179401264"/>
    <n v="359.06418848748484"/>
    <n v="352.71895276519052"/>
    <n v="346.48584745763088"/>
    <n v="340.36289104190297"/>
    <n v="334.34813701176739"/>
    <n v="328.4396732588483"/>
    <n v="322.63562146476818"/>
    <n v="316.93413650402482"/>
    <n v="311.33340585742081"/>
    <n v="305.83164903585759"/>
    <n v="300.42711701431313"/>
    <n v="295.11809167582112"/>
    <n v="289.90288526527701"/>
    <n v="284.77983985289512"/>
    <n v="279.747326807148"/>
    <n v="274.80374627701974"/>
    <n v="269.94752668340783"/>
    <n v="265.1771242195145"/>
    <n v="260.49102236006496"/>
  </r>
  <r>
    <s v="Field Burning of Agricultural Residues"/>
    <x v="5"/>
    <x v="0"/>
    <n v="0"/>
    <n v="0"/>
    <n v="0"/>
    <n v="0"/>
    <n v="0"/>
    <n v="0"/>
    <n v="0"/>
    <n v="0"/>
    <n v="0"/>
    <n v="0"/>
    <n v="0"/>
    <n v="0"/>
    <n v="0"/>
    <n v="0"/>
    <n v="0"/>
    <n v="0"/>
    <n v="0"/>
    <n v="0"/>
    <n v="0"/>
    <n v="0"/>
    <n v="0"/>
    <n v="0"/>
    <n v="0"/>
    <n v="0"/>
    <n v="0"/>
    <n v="0"/>
    <n v="0"/>
    <n v="0"/>
    <n v="0"/>
    <n v="0"/>
    <n v="0"/>
    <n v="0"/>
    <n v="0"/>
    <n v="0"/>
    <n v="0"/>
    <n v="0"/>
    <n v="0"/>
    <n v="0"/>
    <n v="0"/>
    <n v="0"/>
    <n v="0"/>
    <n v="0"/>
    <n v="0"/>
    <n v="0"/>
    <n v="0"/>
  </r>
  <r>
    <s v="Wastewater Treatment (Industrial)"/>
    <x v="6"/>
    <x v="0"/>
    <n v="0"/>
    <n v="0"/>
    <n v="0"/>
    <n v="0"/>
    <n v="0"/>
    <n v="0"/>
    <n v="0"/>
    <n v="0"/>
    <n v="0"/>
    <n v="0"/>
    <n v="0"/>
    <n v="0"/>
    <n v="0"/>
    <n v="0"/>
    <n v="0"/>
    <n v="0"/>
    <n v="0"/>
    <n v="0"/>
    <n v="0"/>
    <n v="0"/>
    <n v="0"/>
    <n v="0"/>
    <n v="0"/>
    <n v="0"/>
    <n v="0"/>
    <n v="0"/>
    <n v="0"/>
    <n v="0"/>
    <n v="0"/>
    <n v="0"/>
    <n v="0"/>
    <n v="0"/>
    <n v="0"/>
    <n v="0"/>
    <n v="0"/>
    <n v="0"/>
    <n v="0"/>
    <n v="0"/>
    <n v="0"/>
    <n v="0"/>
    <n v="0"/>
    <n v="0"/>
    <n v="0"/>
    <n v="0"/>
    <n v="0"/>
  </r>
  <r>
    <s v="Composting"/>
    <x v="6"/>
    <x v="0"/>
    <n v="0"/>
    <n v="0"/>
    <n v="0"/>
    <n v="0"/>
    <n v="0"/>
    <n v="0"/>
    <n v="0"/>
    <n v="0"/>
    <n v="0"/>
    <n v="0"/>
    <n v="0"/>
    <n v="0"/>
    <n v="0"/>
    <n v="0"/>
    <n v="0"/>
    <n v="0"/>
    <n v="0"/>
    <n v="0"/>
    <n v="0"/>
    <n v="0"/>
    <n v="0"/>
    <n v="0"/>
    <n v="0"/>
    <n v="0"/>
    <n v="0"/>
    <n v="0"/>
    <n v="0"/>
    <n v="0"/>
    <n v="0"/>
    <n v="0"/>
    <n v="0"/>
    <n v="0"/>
    <n v="0"/>
    <n v="0"/>
    <n v="0"/>
    <n v="0"/>
    <n v="0"/>
    <n v="0"/>
    <n v="0"/>
    <n v="0"/>
    <n v="0"/>
    <n v="0"/>
    <n v="0"/>
    <n v="0"/>
    <n v="0"/>
  </r>
  <r>
    <s v="N₂O from Product Uses"/>
    <x v="2"/>
    <x v="0"/>
    <n v="0"/>
    <n v="0"/>
    <n v="0"/>
    <n v="0"/>
    <n v="0"/>
    <n v="0"/>
    <n v="0"/>
    <n v="0"/>
    <n v="0"/>
    <n v="0"/>
    <n v="0"/>
    <n v="0"/>
    <n v="0"/>
    <n v="0"/>
    <n v="0"/>
    <n v="0"/>
    <n v="0"/>
    <n v="0"/>
    <n v="0"/>
    <n v="0"/>
    <n v="0"/>
    <n v="0"/>
    <n v="0"/>
    <n v="0"/>
    <n v="0"/>
    <n v="0"/>
    <n v="0"/>
    <n v="0"/>
    <n v="0"/>
    <n v="0"/>
    <n v="0"/>
    <n v="0"/>
    <n v="0"/>
    <n v="0"/>
    <n v="0"/>
    <n v="0"/>
    <n v="0"/>
    <n v="0"/>
    <n v="0"/>
    <n v="0"/>
    <n v="0"/>
    <n v="0"/>
    <n v="0"/>
    <n v="0"/>
    <n v="0"/>
  </r>
  <r>
    <s v="Other Process Uses of Carbonates"/>
    <x v="3"/>
    <x v="0"/>
    <n v="7284"/>
    <n v="7365"/>
    <n v="5885"/>
    <n v="7583"/>
    <n v="9560"/>
    <n v="9335"/>
    <n v="8022"/>
    <n v="10414"/>
    <n v="11811"/>
    <n v="11236"/>
    <n v="11675.111111111111"/>
    <n v="12114.222222222223"/>
    <n v="12553.333333333334"/>
    <n v="12992.444444444445"/>
    <n v="13431.555555555557"/>
    <n v="13870.666666666668"/>
    <n v="14309.777777777779"/>
    <n v="14748.888888888891"/>
    <n v="15188.000000000002"/>
    <n v="15627.111111111113"/>
    <n v="16066.222222222224"/>
    <n v="16505.333333333336"/>
    <n v="16944.444444444445"/>
    <n v="17383.555555555555"/>
    <n v="17822.666666666664"/>
    <n v="18261.777777777774"/>
    <n v="18700.888888888883"/>
    <n v="19139.999999999993"/>
    <n v="19579.111111111102"/>
    <n v="20018.222222222212"/>
    <n v="20457.333333333321"/>
    <n v="20896.444444444431"/>
    <n v="21335.55555555554"/>
    <n v="21774.66666666665"/>
    <n v="22213.777777777759"/>
    <n v="22652.888888888869"/>
    <n v="23091.999999999978"/>
    <n v="23531.111111111088"/>
    <n v="23970.222222222197"/>
    <n v="24409.333333333307"/>
    <n v="24848.444444444416"/>
    <n v="25287.555555555526"/>
    <n v="25726.666666666635"/>
    <n v="26165.777777777745"/>
    <n v="26604.888888888854"/>
  </r>
  <r>
    <s v="Urea Fertilization"/>
    <x v="2"/>
    <x v="0"/>
    <n v="3656"/>
    <n v="3757"/>
    <n v="3613"/>
    <n v="3555"/>
    <n v="3778"/>
    <n v="4097"/>
    <n v="4267"/>
    <n v="4504"/>
    <n v="4781"/>
    <n v="5032"/>
    <n v="5184.8888888888887"/>
    <n v="5337.7777777777774"/>
    <n v="5490.6666666666661"/>
    <n v="5643.5555555555547"/>
    <n v="5796.4444444444434"/>
    <n v="5949.3333333333321"/>
    <n v="6102.2222222222208"/>
    <n v="6255.1111111111095"/>
    <n v="6407.9999999999982"/>
    <n v="6560.8888888888869"/>
    <n v="6713.7777777777756"/>
    <n v="6866.6666666666642"/>
    <n v="7019.5555555555529"/>
    <n v="7172.4444444444416"/>
    <n v="7325.3333333333303"/>
    <n v="7478.222222222219"/>
    <n v="7631.1111111111077"/>
    <n v="7783.9999999999964"/>
    <n v="7936.888888888885"/>
    <n v="8089.7777777777737"/>
    <n v="8242.6666666666624"/>
    <n v="8395.5555555555511"/>
    <n v="8548.4444444444398"/>
    <n v="8701.3333333333285"/>
    <n v="8854.2222222222172"/>
    <n v="9007.1111111111059"/>
    <n v="9159.9999999999945"/>
    <n v="9312.8888888888832"/>
    <n v="9465.7777777777719"/>
    <n v="9618.6666666666606"/>
    <n v="9771.5555555555493"/>
    <n v="9924.444444444438"/>
    <n v="10077.333333333327"/>
    <n v="10230.222222222215"/>
    <n v="10383.111111111104"/>
  </r>
  <r>
    <s v="Incineration of Waste"/>
    <x v="7"/>
    <x v="0"/>
    <n v="12528"/>
    <n v="12733"/>
    <n v="11892"/>
    <n v="11318"/>
    <n v="11047"/>
    <n v="10564"/>
    <n v="10379"/>
    <n v="10398"/>
    <n v="10608"/>
    <n v="10676"/>
    <n v="9888.6032089648306"/>
    <n v="9669.6998181992094"/>
    <n v="9455.6422781039055"/>
    <n v="9246.323316385713"/>
    <n v="9041.6380354314624"/>
    <n v="8841.4838597398939"/>
    <n v="8645.7604845171991"/>
    <n v="8454.3698254105147"/>
    <n v="8267.2159693541689"/>
    <n v="8084.2051265040218"/>
    <n v="7905.2455832358492"/>
    <n v="7730.2476561841822"/>
    <n v="7559.1236472986193"/>
    <n v="7391.7877998950007"/>
    <n v="7228.1562556795316"/>
    <n v="7068.1470127242137"/>
    <n v="6911.6798843726046"/>
    <n v="6758.6764590552602"/>
    <n v="6609.0600609947442"/>
    <n v="6462.75571178051"/>
    <n v="6319.6900927943925"/>
    <n v="6179.7915084678998"/>
    <n v="6042.9898503528466"/>
    <n v="5909.2165619873867"/>
    <n v="5778.4046045397763"/>
    <n v="5650.4884232127024"/>
    <n v="5525.4039143912942"/>
    <n v="5403.0883935184038"/>
    <n v="5283.4805636809906"/>
    <n v="5166.5204848919557"/>
    <n v="5052.1495440519411"/>
    <n v="4940.3104255761036"/>
    <n v="4830.9470826711176"/>
    <n v="4724.0047092480163"/>
    <n v="4619.4297124567956"/>
  </r>
  <r>
    <s v="Liming"/>
    <x v="2"/>
    <x v="0"/>
    <n v="4220"/>
    <n v="4464"/>
    <n v="5025"/>
    <n v="3669"/>
    <n v="4784"/>
    <n v="3873"/>
    <n v="5978"/>
    <n v="3907"/>
    <n v="3609"/>
    <n v="3810"/>
    <n v="3949.9597272647511"/>
    <n v="3892.610646648091"/>
    <n v="3836.0942117480117"/>
    <n v="3780.3983334624413"/>
    <n v="3725.511098209804"/>
    <n v="3671.4207653806516"/>
    <n v="3618.1157648263043"/>
    <n v="3565.5846943839438"/>
    <n v="3513.8163174376409"/>
    <n v="3462.7995605148021"/>
    <n v="3412.5235109175023"/>
    <n v="3362.977414388215"/>
    <n v="3314.1506728094319"/>
    <n v="3266.0328419366797"/>
    <n v="3218.6136291644539"/>
    <n v="3171.8828913245889"/>
    <n v="3125.8306325165877"/>
    <n v="3080.4470019694586"/>
    <n v="3035.7222919345973"/>
    <n v="2991.6469356092539"/>
    <n v="2948.2115050901562"/>
    <n v="2905.4067093568433"/>
    <n v="2863.2233922842724"/>
    <n v="2821.6525306842932"/>
    <n v="2780.6852323755393"/>
    <n v="2740.3127342813655"/>
    <n v="2700.5264005553786"/>
    <n v="2661.3177207342005"/>
    <n v="2622.6783079170418"/>
    <n v="2584.5998969717102"/>
    <n v="2547.074342766658"/>
    <n v="2510.0936184287161"/>
    <n v="2473.6498136260998"/>
    <n v="2437.735132876363"/>
    <n v="2402.3418938789109"/>
  </r>
  <r>
    <s v="Glass Production"/>
    <x v="2"/>
    <x v="0"/>
    <n v="2050"/>
    <n v="1536"/>
    <n v="1523"/>
    <n v="1045"/>
    <n v="1481"/>
    <n v="1299"/>
    <n v="1248"/>
    <n v="1317"/>
    <n v="1336"/>
    <n v="1299"/>
    <n v="1163.1799290393108"/>
    <n v="1125.6745700838551"/>
    <n v="1089.3785270005701"/>
    <n v="1054.2528068316649"/>
    <n v="1020.2596739010827"/>
    <n v="987.36260927494175"/>
    <n v="955.52627152912385"/>
    <n v="924.71645878186791"/>
    <n v="894.9000719505749"/>
    <n v="866.04507919335776"/>
    <n v="838.12048149712712"/>
    <n v="811.09627937524999"/>
    <n v="784.94344063900371"/>
    <n v="759.6338692082013"/>
    <n v="735.14037492747889"/>
    <n v="711.43664435582502"/>
    <n v="688.49721249796301"/>
    <n v="666.29743544722442"/>
    <n v="644.81346391051864"/>
    <n v="624.02221758696078"/>
    <n v="603.90136037262755"/>
    <n v="584.42927636480749"/>
    <n v="565.58504663996803"/>
    <n v="547.34842678048528"/>
    <n v="529.69982512600097"/>
    <n v="512.620281726038"/>
    <n v="496.09144797126288"/>
    <n v="480.09556688151531"/>
    <n v="464.61545402942551"/>
    <n v="449.63447907912899"/>
    <n v="435.13654792024096"/>
    <n v="421.10608537790199"/>
    <n v="407.52801848031618"/>
    <n v="394.38776026580797"/>
    <n v="381.67119411200235"/>
  </r>
  <r>
    <s v="Abandoned Underground Coal Mines"/>
    <x v="0"/>
    <x v="1"/>
    <n v="261"/>
    <n v="254"/>
    <n v="253"/>
    <n v="254"/>
    <n v="263"/>
    <n v="257"/>
    <n v="249"/>
    <n v="249"/>
    <n v="253"/>
    <n v="256"/>
    <n v="251.78896332499687"/>
    <n v="251.23395377271197"/>
    <n v="250.6801676084543"/>
    <n v="250.12760213555271"/>
    <n v="249.5762546632802"/>
    <n v="249.02612250684075"/>
    <n v="248.47720298735663"/>
    <n v="247.92949343185475"/>
    <n v="247.38299117325397"/>
    <n v="246.83769355035247"/>
    <n v="246.2935979078139"/>
    <n v="245.75070159615538"/>
    <n v="245.20900197173407"/>
    <n v="244.66849639673433"/>
    <n v="244.12918223915509"/>
    <n v="243.59105687279674"/>
    <n v="243.0541176772488"/>
    <n v="242.51836203787656"/>
    <n v="241.98378734580882"/>
    <n v="241.45039099792498"/>
    <n v="240.91817039684247"/>
    <n v="240.38712295090389"/>
    <n v="239.85724607416478"/>
    <n v="239.32853718638046"/>
    <n v="238.80099371299414"/>
    <n v="238.27461308512372"/>
    <n v="237.74939273954988"/>
    <n v="237.22533011870306"/>
    <n v="236.70242267065154"/>
    <n v="236.18066784908834"/>
    <n v="235.66006311331975"/>
    <n v="235.14060592825183"/>
    <n v="234.62229376437907"/>
    <n v="234.10512409777161"/>
    <n v="233.58909441006284"/>
  </r>
  <r>
    <s v="Nitric Acid Production"/>
    <x v="1"/>
    <x v="1"/>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1"/>
    <n v="0"/>
    <n v="0"/>
    <n v="0"/>
    <n v="0"/>
    <n v="0"/>
    <n v="0"/>
    <n v="0"/>
    <n v="0"/>
    <n v="0"/>
    <n v="0"/>
    <n v="0"/>
    <n v="0"/>
    <n v="0"/>
    <n v="0"/>
    <n v="0"/>
    <n v="0"/>
    <n v="0"/>
    <n v="0"/>
    <n v="0"/>
    <n v="0"/>
    <n v="0"/>
    <n v="0"/>
    <n v="0"/>
    <n v="0"/>
    <n v="0"/>
    <n v="0"/>
    <n v="0"/>
    <n v="0"/>
    <n v="0"/>
    <n v="0"/>
    <n v="0"/>
    <n v="0"/>
    <n v="0"/>
    <n v="0"/>
    <n v="0"/>
    <n v="0"/>
    <n v="0"/>
    <n v="0"/>
    <n v="0"/>
    <n v="0"/>
    <n v="0"/>
    <n v="0"/>
    <n v="0"/>
    <n v="0"/>
    <n v="0"/>
  </r>
  <r>
    <s v="Ferroalloy Production"/>
    <x v="2"/>
    <x v="1"/>
    <n v="0"/>
    <n v="0"/>
    <n v="0"/>
    <n v="0"/>
    <n v="0"/>
    <n v="0"/>
    <n v="1"/>
    <n v="0"/>
    <n v="1"/>
    <n v="1"/>
    <n v="1.1111111111111112"/>
    <n v="1.2222222222222223"/>
    <n v="1.3333333333333335"/>
    <n v="1.4444444444444446"/>
    <n v="1.5555555555555558"/>
    <n v="1.666666666666667"/>
    <n v="1.7777777777777781"/>
    <n v="1.8888888888888893"/>
    <n v="2.0000000000000004"/>
    <n v="2.1111111111111116"/>
    <n v="2.2222222222222228"/>
    <n v="2.3333333333333339"/>
    <n v="2.4444444444444451"/>
    <n v="2.5555555555555562"/>
    <n v="2.6666666666666674"/>
    <n v="2.7777777777777786"/>
    <n v="2.8888888888888897"/>
    <n v="3.0000000000000009"/>
    <n v="3.111111111111112"/>
    <n v="3.2222222222222232"/>
    <n v="3.3333333333333344"/>
    <n v="3.4444444444444455"/>
    <n v="3.5555555555555567"/>
    <n v="3.6666666666666679"/>
    <n v="3.777777777777779"/>
    <n v="3.8888888888888902"/>
    <n v="4.0000000000000009"/>
    <n v="4.1111111111111116"/>
    <n v="4.2222222222222223"/>
    <n v="4.333333333333333"/>
    <n v="4.4444444444444438"/>
    <n v="4.5555555555555545"/>
    <n v="4.6666666666666652"/>
    <n v="4.7777777777777759"/>
    <n v="4.8888888888888866"/>
  </r>
  <r>
    <s v="Lime Production"/>
    <x v="3"/>
    <x v="1"/>
    <n v="0"/>
    <n v="0"/>
    <n v="0"/>
    <n v="0"/>
    <n v="0"/>
    <n v="0"/>
    <n v="0"/>
    <n v="0"/>
    <n v="0"/>
    <n v="0"/>
    <n v="0"/>
    <n v="0"/>
    <n v="0"/>
    <n v="0"/>
    <n v="0"/>
    <n v="0"/>
    <n v="0"/>
    <n v="0"/>
    <n v="0"/>
    <n v="0"/>
    <n v="0"/>
    <n v="0"/>
    <n v="0"/>
    <n v="0"/>
    <n v="0"/>
    <n v="0"/>
    <n v="0"/>
    <n v="0"/>
    <n v="0"/>
    <n v="0"/>
    <n v="0"/>
    <n v="0"/>
    <n v="0"/>
    <n v="0"/>
    <n v="0"/>
    <n v="0"/>
    <n v="0"/>
    <n v="0"/>
    <n v="0"/>
    <n v="0"/>
    <n v="0"/>
    <n v="0"/>
    <n v="0"/>
    <n v="0"/>
    <n v="0"/>
  </r>
  <r>
    <s v="Limestone and Dolomite Use"/>
    <x v="3"/>
    <x v="1"/>
    <n v="0"/>
    <n v="0"/>
    <n v="0"/>
    <n v="0"/>
    <n v="0"/>
    <n v="0"/>
    <n v="0"/>
    <n v="0"/>
    <n v="0"/>
    <n v="0"/>
    <n v="0"/>
    <n v="0"/>
    <n v="0"/>
    <n v="0"/>
    <n v="0"/>
    <n v="0"/>
    <n v="0"/>
    <n v="0"/>
    <n v="0"/>
    <n v="0"/>
    <n v="0"/>
    <n v="0"/>
    <n v="0"/>
    <n v="0"/>
    <n v="0"/>
    <n v="0"/>
    <n v="0"/>
    <n v="0"/>
    <n v="0"/>
    <n v="0"/>
    <n v="0"/>
    <n v="0"/>
    <n v="0"/>
    <n v="0"/>
    <n v="0"/>
    <n v="0"/>
    <n v="0"/>
    <n v="0"/>
    <n v="0"/>
    <n v="0"/>
    <n v="0"/>
    <n v="0"/>
    <n v="0"/>
    <n v="0"/>
    <n v="0"/>
  </r>
  <r>
    <s v="Ammonia Production"/>
    <x v="1"/>
    <x v="1"/>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1"/>
    <n v="0"/>
    <n v="0"/>
    <n v="0"/>
    <n v="0"/>
    <n v="0"/>
    <n v="0"/>
    <n v="0"/>
    <n v="0"/>
    <n v="0"/>
    <n v="0"/>
    <n v="0"/>
    <n v="0"/>
    <n v="0"/>
    <n v="0"/>
    <n v="0"/>
    <n v="0"/>
    <n v="0"/>
    <n v="0"/>
    <n v="0"/>
    <n v="0"/>
    <n v="0"/>
    <n v="0"/>
    <n v="0"/>
    <n v="0"/>
    <n v="0"/>
    <n v="0"/>
    <n v="0"/>
    <n v="0"/>
    <n v="0"/>
    <n v="0"/>
    <n v="0"/>
    <n v="0"/>
    <n v="0"/>
    <n v="0"/>
    <n v="0"/>
    <n v="0"/>
    <n v="0"/>
    <n v="0"/>
    <n v="0"/>
    <n v="0"/>
    <n v="0"/>
    <n v="0"/>
    <n v="0"/>
    <n v="0"/>
    <n v="0"/>
  </r>
  <r>
    <s v="Soda Ash Production and Consumption"/>
    <x v="1"/>
    <x v="1"/>
    <n v="0"/>
    <n v="0"/>
    <n v="0"/>
    <n v="0"/>
    <n v="0"/>
    <n v="0"/>
    <n v="0"/>
    <n v="0"/>
    <n v="0"/>
    <n v="0"/>
    <n v="0"/>
    <n v="0"/>
    <n v="0"/>
    <n v="0"/>
    <n v="0"/>
    <n v="0"/>
    <n v="0"/>
    <n v="0"/>
    <n v="0"/>
    <n v="0"/>
    <n v="0"/>
    <n v="0"/>
    <n v="0"/>
    <n v="0"/>
    <n v="0"/>
    <n v="0"/>
    <n v="0"/>
    <n v="0"/>
    <n v="0"/>
    <n v="0"/>
    <n v="0"/>
    <n v="0"/>
    <n v="0"/>
    <n v="0"/>
    <n v="0"/>
    <n v="0"/>
    <n v="0"/>
    <n v="0"/>
    <n v="0"/>
    <n v="0"/>
    <n v="0"/>
    <n v="0"/>
    <n v="0"/>
    <n v="0"/>
    <n v="0"/>
  </r>
  <r>
    <s v="Petrochemical Production"/>
    <x v="4"/>
    <x v="1"/>
    <n v="2"/>
    <n v="2"/>
    <n v="2"/>
    <n v="2"/>
    <n v="2"/>
    <n v="2"/>
    <n v="3"/>
    <n v="3"/>
    <n v="5"/>
    <n v="7"/>
    <n v="7.5555555555555554"/>
    <n v="8.1111111111111107"/>
    <n v="8.6666666666666661"/>
    <n v="9.2222222222222214"/>
    <n v="9.7777777777777768"/>
    <n v="10.333333333333332"/>
    <n v="10.888888888888888"/>
    <n v="11.444444444444443"/>
    <n v="11.999999999999998"/>
    <n v="12.555555555555554"/>
    <n v="13.111111111111109"/>
    <n v="13.666666666666664"/>
    <n v="14.22222222222222"/>
    <n v="14.777777777777775"/>
    <n v="15.33333333333333"/>
    <n v="15.888888888888886"/>
    <n v="16.444444444444443"/>
    <n v="17"/>
    <n v="17.555555555555557"/>
    <n v="18.111111111111114"/>
    <n v="18.666666666666671"/>
    <n v="19.222222222222229"/>
    <n v="19.777777777777786"/>
    <n v="20.333333333333343"/>
    <n v="20.8888888888889"/>
    <n v="21.444444444444457"/>
    <n v="22.000000000000014"/>
    <n v="22.555555555555571"/>
    <n v="23.111111111111128"/>
    <n v="23.666666666666686"/>
    <n v="24.222222222222243"/>
    <n v="24.7777777777778"/>
    <n v="25.333333333333357"/>
    <n v="25.888888888888914"/>
    <n v="26.444444444444471"/>
  </r>
  <r>
    <s v="Carbon Dioxide Consumption"/>
    <x v="2"/>
    <x v="1"/>
    <n v="0"/>
    <n v="0"/>
    <n v="0"/>
    <n v="0"/>
    <n v="0"/>
    <n v="0"/>
    <n v="0"/>
    <n v="0"/>
    <n v="0"/>
    <n v="0"/>
    <n v="0"/>
    <n v="0"/>
    <n v="0"/>
    <n v="0"/>
    <n v="0"/>
    <n v="0"/>
    <n v="0"/>
    <n v="0"/>
    <n v="0"/>
    <n v="0"/>
    <n v="0"/>
    <n v="0"/>
    <n v="0"/>
    <n v="0"/>
    <n v="0"/>
    <n v="0"/>
    <n v="0"/>
    <n v="0"/>
    <n v="0"/>
    <n v="0"/>
    <n v="0"/>
    <n v="0"/>
    <n v="0"/>
    <n v="0"/>
    <n v="0"/>
    <n v="0"/>
    <n v="0"/>
    <n v="0"/>
    <n v="0"/>
    <n v="0"/>
    <n v="0"/>
    <n v="0"/>
    <n v="0"/>
    <n v="0"/>
    <n v="0"/>
  </r>
  <r>
    <s v="Titanium Dioxide Production"/>
    <x v="2"/>
    <x v="1"/>
    <n v="0"/>
    <n v="0"/>
    <n v="0"/>
    <n v="0"/>
    <n v="0"/>
    <n v="0"/>
    <n v="0"/>
    <n v="0"/>
    <n v="0"/>
    <n v="0"/>
    <n v="0"/>
    <n v="0"/>
    <n v="0"/>
    <n v="0"/>
    <n v="0"/>
    <n v="0"/>
    <n v="0"/>
    <n v="0"/>
    <n v="0"/>
    <n v="0"/>
    <n v="0"/>
    <n v="0"/>
    <n v="0"/>
    <n v="0"/>
    <n v="0"/>
    <n v="0"/>
    <n v="0"/>
    <n v="0"/>
    <n v="0"/>
    <n v="0"/>
    <n v="0"/>
    <n v="0"/>
    <n v="0"/>
    <n v="0"/>
    <n v="0"/>
    <n v="0"/>
    <n v="0"/>
    <n v="0"/>
    <n v="0"/>
    <n v="0"/>
    <n v="0"/>
    <n v="0"/>
    <n v="0"/>
    <n v="0"/>
    <n v="0"/>
  </r>
  <r>
    <s v="Zinc Production"/>
    <x v="2"/>
    <x v="1"/>
    <n v="0"/>
    <n v="0"/>
    <n v="0"/>
    <n v="0"/>
    <n v="0"/>
    <n v="0"/>
    <n v="0"/>
    <n v="0"/>
    <n v="0"/>
    <n v="0"/>
    <n v="0"/>
    <n v="0"/>
    <n v="0"/>
    <n v="0"/>
    <n v="0"/>
    <n v="0"/>
    <n v="0"/>
    <n v="0"/>
    <n v="0"/>
    <n v="0"/>
    <n v="0"/>
    <n v="0"/>
    <n v="0"/>
    <n v="0"/>
    <n v="0"/>
    <n v="0"/>
    <n v="0"/>
    <n v="0"/>
    <n v="0"/>
    <n v="0"/>
    <n v="0"/>
    <n v="0"/>
    <n v="0"/>
    <n v="0"/>
    <n v="0"/>
    <n v="0"/>
    <n v="0"/>
    <n v="0"/>
    <n v="0"/>
    <n v="0"/>
    <n v="0"/>
    <n v="0"/>
    <n v="0"/>
    <n v="0"/>
    <n v="0"/>
  </r>
  <r>
    <s v="Phosphoric Acid Production"/>
    <x v="1"/>
    <x v="1"/>
    <n v="0"/>
    <n v="0"/>
    <n v="0"/>
    <n v="0"/>
    <n v="0"/>
    <n v="0"/>
    <n v="0"/>
    <n v="0"/>
    <n v="0"/>
    <n v="0"/>
    <n v="0"/>
    <n v="0"/>
    <n v="0"/>
    <n v="0"/>
    <n v="0"/>
    <n v="0"/>
    <n v="0"/>
    <n v="0"/>
    <n v="0"/>
    <n v="0"/>
    <n v="0"/>
    <n v="0"/>
    <n v="0"/>
    <n v="0"/>
    <n v="0"/>
    <n v="0"/>
    <n v="0"/>
    <n v="0"/>
    <n v="0"/>
    <n v="0"/>
    <n v="0"/>
    <n v="0"/>
    <n v="0"/>
    <n v="0"/>
    <n v="0"/>
    <n v="0"/>
    <n v="0"/>
    <n v="0"/>
    <n v="0"/>
    <n v="0"/>
    <n v="0"/>
    <n v="0"/>
    <n v="0"/>
    <n v="0"/>
    <n v="0"/>
  </r>
  <r>
    <s v="Lead Production"/>
    <x v="2"/>
    <x v="1"/>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1"/>
    <n v="11"/>
    <n v="11"/>
    <n v="12"/>
    <n v="11"/>
    <n v="11"/>
    <n v="11"/>
    <n v="11"/>
    <n v="11"/>
    <n v="11"/>
    <n v="11"/>
    <n v="11"/>
    <n v="11"/>
    <n v="11"/>
    <n v="11"/>
    <n v="11"/>
    <n v="11"/>
    <n v="11"/>
    <n v="11"/>
    <n v="11"/>
    <n v="11"/>
    <n v="11"/>
    <n v="11"/>
    <n v="11"/>
    <n v="11"/>
    <n v="11"/>
    <n v="11"/>
    <n v="11"/>
    <n v="11"/>
    <n v="11"/>
    <n v="11"/>
    <n v="11"/>
    <n v="11"/>
    <n v="11"/>
    <n v="11"/>
    <n v="11"/>
    <n v="11"/>
    <n v="11"/>
    <n v="11"/>
    <n v="11"/>
    <n v="11"/>
    <n v="11"/>
    <n v="11"/>
    <n v="11"/>
    <n v="11"/>
    <n v="11"/>
  </r>
  <r>
    <s v="Wastewater Treatment (Industrial)"/>
    <x v="6"/>
    <x v="1"/>
    <n v="0"/>
    <n v="0"/>
    <n v="0"/>
    <n v="0"/>
    <n v="0"/>
    <n v="0"/>
    <n v="0"/>
    <n v="0"/>
    <n v="0"/>
    <n v="0"/>
    <n v="0"/>
    <n v="0"/>
    <n v="0"/>
    <n v="0"/>
    <n v="0"/>
    <n v="0"/>
    <n v="0"/>
    <n v="0"/>
    <n v="0"/>
    <n v="0"/>
    <n v="0"/>
    <n v="0"/>
    <n v="0"/>
    <n v="0"/>
    <n v="0"/>
    <n v="0"/>
    <n v="0"/>
    <n v="0"/>
    <n v="0"/>
    <n v="0"/>
    <n v="0"/>
    <n v="0"/>
    <n v="0"/>
    <n v="0"/>
    <n v="0"/>
    <n v="0"/>
    <n v="0"/>
    <n v="0"/>
    <n v="0"/>
    <n v="0"/>
    <n v="0"/>
    <n v="0"/>
    <n v="0"/>
    <n v="0"/>
    <n v="0"/>
  </r>
  <r>
    <s v="Composting"/>
    <x v="6"/>
    <x v="1"/>
    <n v="75"/>
    <n v="79"/>
    <n v="80"/>
    <n v="75"/>
    <n v="73"/>
    <n v="75"/>
    <n v="77"/>
    <n v="81"/>
    <n v="84"/>
    <n v="84"/>
    <n v="85"/>
    <n v="86"/>
    <n v="87"/>
    <n v="88"/>
    <n v="89"/>
    <n v="90"/>
    <n v="91"/>
    <n v="92"/>
    <n v="93"/>
    <n v="94"/>
    <n v="95"/>
    <n v="96"/>
    <n v="97"/>
    <n v="98"/>
    <n v="99"/>
    <n v="100"/>
    <n v="101"/>
    <n v="102"/>
    <n v="103"/>
    <n v="104"/>
    <n v="105"/>
    <n v="106"/>
    <n v="107"/>
    <n v="108"/>
    <n v="109"/>
    <n v="110"/>
    <n v="111"/>
    <n v="112"/>
    <n v="113"/>
    <n v="114"/>
    <n v="115"/>
    <n v="116"/>
    <n v="117"/>
    <n v="118"/>
    <n v="119"/>
  </r>
  <r>
    <s v="N₂O from Product Uses"/>
    <x v="2"/>
    <x v="1"/>
    <n v="0"/>
    <n v="0"/>
    <n v="0"/>
    <n v="0"/>
    <n v="0"/>
    <n v="0"/>
    <n v="0"/>
    <n v="0"/>
    <n v="0"/>
    <n v="0"/>
    <n v="0"/>
    <n v="0"/>
    <n v="0"/>
    <n v="0"/>
    <n v="0"/>
    <n v="0"/>
    <n v="0"/>
    <n v="0"/>
    <n v="0"/>
    <n v="0"/>
    <n v="0"/>
    <n v="0"/>
    <n v="0"/>
    <n v="0"/>
    <n v="0"/>
    <n v="0"/>
    <n v="0"/>
    <n v="0"/>
    <n v="0"/>
    <n v="0"/>
    <n v="0"/>
    <n v="0"/>
    <n v="0"/>
    <n v="0"/>
    <n v="0"/>
    <n v="0"/>
    <n v="0"/>
    <n v="0"/>
    <n v="0"/>
    <n v="0"/>
    <n v="0"/>
    <n v="0"/>
    <n v="0"/>
    <n v="0"/>
    <n v="0"/>
  </r>
  <r>
    <s v="Other Process Uses of Carbonates"/>
    <x v="3"/>
    <x v="1"/>
    <n v="0"/>
    <n v="0"/>
    <n v="0"/>
    <n v="0"/>
    <n v="0"/>
    <n v="0"/>
    <n v="0"/>
    <n v="0"/>
    <n v="0"/>
    <n v="0"/>
    <n v="0"/>
    <n v="0"/>
    <n v="0"/>
    <n v="0"/>
    <n v="0"/>
    <n v="0"/>
    <n v="0"/>
    <n v="0"/>
    <n v="0"/>
    <n v="0"/>
    <n v="0"/>
    <n v="0"/>
    <n v="0"/>
    <n v="0"/>
    <n v="0"/>
    <n v="0"/>
    <n v="0"/>
    <n v="0"/>
    <n v="0"/>
    <n v="0"/>
    <n v="0"/>
    <n v="0"/>
    <n v="0"/>
    <n v="0"/>
    <n v="0"/>
    <n v="0"/>
    <n v="0"/>
    <n v="0"/>
    <n v="0"/>
    <n v="0"/>
    <n v="0"/>
    <n v="0"/>
    <n v="0"/>
    <n v="0"/>
    <n v="0"/>
  </r>
  <r>
    <s v="Urea Fertilization"/>
    <x v="2"/>
    <x v="1"/>
    <n v="0"/>
    <n v="0"/>
    <n v="0"/>
    <n v="0"/>
    <n v="0"/>
    <n v="0"/>
    <n v="0"/>
    <n v="0"/>
    <n v="0"/>
    <n v="0"/>
    <n v="0"/>
    <n v="0"/>
    <n v="0"/>
    <n v="0"/>
    <n v="0"/>
    <n v="0"/>
    <n v="0"/>
    <n v="0"/>
    <n v="0"/>
    <n v="0"/>
    <n v="0"/>
    <n v="0"/>
    <n v="0"/>
    <n v="0"/>
    <n v="0"/>
    <n v="0"/>
    <n v="0"/>
    <n v="0"/>
    <n v="0"/>
    <n v="0"/>
    <n v="0"/>
    <n v="0"/>
    <n v="0"/>
    <n v="0"/>
    <n v="0"/>
    <n v="0"/>
    <n v="0"/>
    <n v="0"/>
    <n v="0"/>
    <n v="0"/>
    <n v="0"/>
    <n v="0"/>
    <n v="0"/>
    <n v="0"/>
    <n v="0"/>
  </r>
  <r>
    <s v="Incineration of Waste"/>
    <x v="7"/>
    <x v="1"/>
    <n v="0"/>
    <n v="0"/>
    <n v="0"/>
    <n v="0"/>
    <n v="0"/>
    <n v="0"/>
    <n v="0"/>
    <n v="0"/>
    <n v="0"/>
    <n v="0"/>
    <n v="0"/>
    <n v="0"/>
    <n v="0"/>
    <n v="0"/>
    <n v="0"/>
    <n v="0"/>
    <n v="0"/>
    <n v="0"/>
    <n v="0"/>
    <n v="0"/>
    <n v="0"/>
    <n v="0"/>
    <n v="0"/>
    <n v="0"/>
    <n v="0"/>
    <n v="0"/>
    <n v="0"/>
    <n v="0"/>
    <n v="0"/>
    <n v="0"/>
    <n v="0"/>
    <n v="0"/>
    <n v="0"/>
    <n v="0"/>
    <n v="0"/>
    <n v="0"/>
    <n v="0"/>
    <n v="0"/>
    <n v="0"/>
    <n v="0"/>
    <n v="0"/>
    <n v="0"/>
    <n v="0"/>
    <n v="0"/>
    <n v="0"/>
  </r>
  <r>
    <s v="Liming"/>
    <x v="2"/>
    <x v="1"/>
    <n v="0"/>
    <n v="0"/>
    <n v="0"/>
    <n v="0"/>
    <n v="0"/>
    <n v="0"/>
    <n v="0"/>
    <n v="0"/>
    <n v="0"/>
    <n v="0"/>
    <n v="0"/>
    <n v="0"/>
    <n v="0"/>
    <n v="0"/>
    <n v="0"/>
    <n v="0"/>
    <n v="0"/>
    <n v="0"/>
    <n v="0"/>
    <n v="0"/>
    <n v="0"/>
    <n v="0"/>
    <n v="0"/>
    <n v="0"/>
    <n v="0"/>
    <n v="0"/>
    <n v="0"/>
    <n v="0"/>
    <n v="0"/>
    <n v="0"/>
    <n v="0"/>
    <n v="0"/>
    <n v="0"/>
    <n v="0"/>
    <n v="0"/>
    <n v="0"/>
    <n v="0"/>
    <n v="0"/>
    <n v="0"/>
    <n v="0"/>
    <n v="0"/>
    <n v="0"/>
    <n v="0"/>
    <n v="0"/>
    <n v="0"/>
  </r>
  <r>
    <s v="Glass Production"/>
    <x v="2"/>
    <x v="1"/>
    <n v="0"/>
    <n v="0"/>
    <n v="0"/>
    <n v="0"/>
    <n v="0"/>
    <n v="0"/>
    <n v="0"/>
    <n v="0"/>
    <n v="0"/>
    <n v="0"/>
    <n v="0"/>
    <n v="0"/>
    <n v="0"/>
    <n v="0"/>
    <n v="0"/>
    <n v="0"/>
    <n v="0"/>
    <n v="0"/>
    <n v="0"/>
    <n v="0"/>
    <n v="0"/>
    <n v="0"/>
    <n v="0"/>
    <n v="0"/>
    <n v="0"/>
    <n v="0"/>
    <n v="0"/>
    <n v="0"/>
    <n v="0"/>
    <n v="0"/>
    <n v="0"/>
    <n v="0"/>
    <n v="0"/>
    <n v="0"/>
    <n v="0"/>
    <n v="0"/>
    <n v="0"/>
    <n v="0"/>
    <n v="0"/>
    <n v="0"/>
    <n v="0"/>
    <n v="0"/>
    <n v="0"/>
    <n v="0"/>
    <n v="0"/>
  </r>
  <r>
    <s v="Abandoned Underground Coal Mines"/>
    <x v="0"/>
    <x v="2"/>
    <n v="0"/>
    <n v="0"/>
    <n v="0"/>
    <n v="0"/>
    <n v="0"/>
    <n v="0"/>
    <n v="0"/>
    <n v="0"/>
    <n v="0"/>
    <n v="0"/>
    <n v="0"/>
    <n v="0"/>
    <n v="0"/>
    <n v="0"/>
    <n v="0"/>
    <n v="0"/>
    <n v="0"/>
    <n v="0"/>
    <n v="0"/>
    <n v="0"/>
    <n v="0"/>
    <n v="0"/>
    <n v="0"/>
    <n v="0"/>
    <n v="0"/>
    <n v="0"/>
    <n v="0"/>
    <n v="0"/>
    <n v="0"/>
    <n v="0"/>
    <n v="0"/>
    <n v="0"/>
    <n v="0"/>
    <n v="0"/>
    <n v="0"/>
    <n v="0"/>
    <n v="0"/>
    <n v="0"/>
    <n v="0"/>
    <n v="0"/>
    <n v="0"/>
    <n v="0"/>
    <n v="0"/>
    <n v="0"/>
    <n v="0"/>
  </r>
  <r>
    <s v="Nitric Acid Production"/>
    <x v="1"/>
    <x v="2"/>
    <n v="37"/>
    <n v="44"/>
    <n v="38"/>
    <n v="32"/>
    <n v="39"/>
    <n v="37"/>
    <n v="35"/>
    <n v="36"/>
    <n v="37"/>
    <n v="39"/>
    <n v="39.222222222222221"/>
    <n v="39.444444444444443"/>
    <n v="39.666666666666664"/>
    <n v="39.888888888888886"/>
    <n v="40.111111111111107"/>
    <n v="40.333333333333329"/>
    <n v="40.55555555555555"/>
    <n v="40.777777777777771"/>
    <n v="40.999999999999993"/>
    <n v="41.222222222222214"/>
    <n v="41.444444444444436"/>
    <n v="41.666666666666657"/>
    <n v="41.888888888888879"/>
    <n v="42.1111111111111"/>
    <n v="42.333333333333321"/>
    <n v="42.555555555555543"/>
    <n v="42.777777777777764"/>
    <n v="42.999999999999986"/>
    <n v="43.222222222222207"/>
    <n v="43.444444444444429"/>
    <n v="43.66666666666665"/>
    <n v="43.888888888888872"/>
    <n v="44.111111111111093"/>
    <n v="44.333333333333314"/>
    <n v="44.555555555555536"/>
    <n v="44.777777777777757"/>
    <n v="44.999999999999979"/>
    <n v="45.2222222222222"/>
    <n v="45.444444444444422"/>
    <n v="45.666666666666643"/>
    <n v="45.888888888888864"/>
    <n v="46.111111111111086"/>
    <n v="46.333333333333307"/>
    <n v="46.555555555555529"/>
    <n v="46.77777777777775"/>
  </r>
  <r>
    <s v="Silicon Carbide Production and Consumption"/>
    <x v="2"/>
    <x v="2"/>
    <n v="0"/>
    <n v="0"/>
    <n v="0"/>
    <n v="0"/>
    <n v="0"/>
    <n v="0"/>
    <n v="0"/>
    <n v="0"/>
    <n v="0"/>
    <n v="0"/>
    <n v="0"/>
    <n v="0"/>
    <n v="0"/>
    <n v="0"/>
    <n v="0"/>
    <n v="0"/>
    <n v="0"/>
    <n v="0"/>
    <n v="0"/>
    <n v="0"/>
    <n v="0"/>
    <n v="0"/>
    <n v="0"/>
    <n v="0"/>
    <n v="0"/>
    <n v="0"/>
    <n v="0"/>
    <n v="0"/>
    <n v="0"/>
    <n v="0"/>
    <n v="0"/>
    <n v="0"/>
    <n v="0"/>
    <n v="0"/>
    <n v="0"/>
    <n v="0"/>
    <n v="0"/>
    <n v="0"/>
    <n v="0"/>
    <n v="0"/>
    <n v="0"/>
    <n v="0"/>
    <n v="0"/>
    <n v="0"/>
    <n v="0"/>
  </r>
  <r>
    <s v="Ferroalloy Production"/>
    <x v="2"/>
    <x v="2"/>
    <n v="0"/>
    <n v="0"/>
    <n v="0"/>
    <n v="0"/>
    <n v="0"/>
    <n v="0"/>
    <n v="0"/>
    <n v="0"/>
    <n v="0"/>
    <n v="0"/>
    <n v="0"/>
    <n v="0"/>
    <n v="0"/>
    <n v="0"/>
    <n v="0"/>
    <n v="0"/>
    <n v="0"/>
    <n v="0"/>
    <n v="0"/>
    <n v="0"/>
    <n v="0"/>
    <n v="0"/>
    <n v="0"/>
    <n v="0"/>
    <n v="0"/>
    <n v="0"/>
    <n v="0"/>
    <n v="0"/>
    <n v="0"/>
    <n v="0"/>
    <n v="0"/>
    <n v="0"/>
    <n v="0"/>
    <n v="0"/>
    <n v="0"/>
    <n v="0"/>
    <n v="0"/>
    <n v="0"/>
    <n v="0"/>
    <n v="0"/>
    <n v="0"/>
    <n v="0"/>
    <n v="0"/>
    <n v="0"/>
    <n v="0"/>
  </r>
  <r>
    <s v="Lime Production"/>
    <x v="3"/>
    <x v="2"/>
    <n v="0"/>
    <n v="0"/>
    <n v="0"/>
    <n v="0"/>
    <n v="0"/>
    <n v="0"/>
    <n v="0"/>
    <n v="0"/>
    <n v="0"/>
    <n v="0"/>
    <n v="0"/>
    <n v="0"/>
    <n v="0"/>
    <n v="0"/>
    <n v="0"/>
    <n v="0"/>
    <n v="0"/>
    <n v="0"/>
    <n v="0"/>
    <n v="0"/>
    <n v="0"/>
    <n v="0"/>
    <n v="0"/>
    <n v="0"/>
    <n v="0"/>
    <n v="0"/>
    <n v="0"/>
    <n v="0"/>
    <n v="0"/>
    <n v="0"/>
    <n v="0"/>
    <n v="0"/>
    <n v="0"/>
    <n v="0"/>
    <n v="0"/>
    <n v="0"/>
    <n v="0"/>
    <n v="0"/>
    <n v="0"/>
    <n v="0"/>
    <n v="0"/>
    <n v="0"/>
    <n v="0"/>
    <n v="0"/>
    <n v="0"/>
  </r>
  <r>
    <s v="Limestone and Dolomite Use"/>
    <x v="3"/>
    <x v="2"/>
    <n v="0"/>
    <n v="0"/>
    <n v="0"/>
    <n v="0"/>
    <n v="0"/>
    <n v="0"/>
    <n v="0"/>
    <n v="0"/>
    <n v="0"/>
    <n v="0"/>
    <n v="0"/>
    <n v="0"/>
    <n v="0"/>
    <n v="0"/>
    <n v="0"/>
    <n v="0"/>
    <n v="0"/>
    <n v="0"/>
    <n v="0"/>
    <n v="0"/>
    <n v="0"/>
    <n v="0"/>
    <n v="0"/>
    <n v="0"/>
    <n v="0"/>
    <n v="0"/>
    <n v="0"/>
    <n v="0"/>
    <n v="0"/>
    <n v="0"/>
    <n v="0"/>
    <n v="0"/>
    <n v="0"/>
    <n v="0"/>
    <n v="0"/>
    <n v="0"/>
    <n v="0"/>
    <n v="0"/>
    <n v="0"/>
    <n v="0"/>
    <n v="0"/>
    <n v="0"/>
    <n v="0"/>
    <n v="0"/>
    <n v="0"/>
  </r>
  <r>
    <s v="Ammonia Production"/>
    <x v="1"/>
    <x v="2"/>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2"/>
    <n v="0"/>
    <n v="0"/>
    <n v="0"/>
    <n v="0"/>
    <n v="0"/>
    <n v="0"/>
    <n v="0"/>
    <n v="0"/>
    <n v="0"/>
    <n v="0"/>
    <n v="0"/>
    <n v="0"/>
    <n v="0"/>
    <n v="0"/>
    <n v="0"/>
    <n v="0"/>
    <n v="0"/>
    <n v="0"/>
    <n v="0"/>
    <n v="0"/>
    <n v="0"/>
    <n v="0"/>
    <n v="0"/>
    <n v="0"/>
    <n v="0"/>
    <n v="0"/>
    <n v="0"/>
    <n v="0"/>
    <n v="0"/>
    <n v="0"/>
    <n v="0"/>
    <n v="0"/>
    <n v="0"/>
    <n v="0"/>
    <n v="0"/>
    <n v="0"/>
    <n v="0"/>
    <n v="0"/>
    <n v="0"/>
    <n v="0"/>
    <n v="0"/>
    <n v="0"/>
    <n v="0"/>
    <n v="0"/>
    <n v="0"/>
  </r>
  <r>
    <s v="Soda Ash Production and Consumption"/>
    <x v="1"/>
    <x v="2"/>
    <n v="0"/>
    <n v="0"/>
    <n v="0"/>
    <n v="0"/>
    <n v="0"/>
    <n v="0"/>
    <n v="0"/>
    <n v="0"/>
    <n v="0"/>
    <n v="0"/>
    <n v="0"/>
    <n v="0"/>
    <n v="0"/>
    <n v="0"/>
    <n v="0"/>
    <n v="0"/>
    <n v="0"/>
    <n v="0"/>
    <n v="0"/>
    <n v="0"/>
    <n v="0"/>
    <n v="0"/>
    <n v="0"/>
    <n v="0"/>
    <n v="0"/>
    <n v="0"/>
    <n v="0"/>
    <n v="0"/>
    <n v="0"/>
    <n v="0"/>
    <n v="0"/>
    <n v="0"/>
    <n v="0"/>
    <n v="0"/>
    <n v="0"/>
    <n v="0"/>
    <n v="0"/>
    <n v="0"/>
    <n v="0"/>
    <n v="0"/>
    <n v="0"/>
    <n v="0"/>
    <n v="0"/>
    <n v="0"/>
    <n v="0"/>
  </r>
  <r>
    <s v="Petrochemical Production"/>
    <x v="4"/>
    <x v="2"/>
    <n v="0"/>
    <n v="0"/>
    <n v="0"/>
    <n v="0"/>
    <n v="0"/>
    <n v="0"/>
    <n v="0"/>
    <n v="0"/>
    <n v="0"/>
    <n v="0"/>
    <n v="0"/>
    <n v="0"/>
    <n v="0"/>
    <n v="0"/>
    <n v="0"/>
    <n v="0"/>
    <n v="0"/>
    <n v="0"/>
    <n v="0"/>
    <n v="0"/>
    <n v="0"/>
    <n v="0"/>
    <n v="0"/>
    <n v="0"/>
    <n v="0"/>
    <n v="0"/>
    <n v="0"/>
    <n v="0"/>
    <n v="0"/>
    <n v="0"/>
    <n v="0"/>
    <n v="0"/>
    <n v="0"/>
    <n v="0"/>
    <n v="0"/>
    <n v="0"/>
    <n v="0"/>
    <n v="0"/>
    <n v="0"/>
    <n v="0"/>
    <n v="0"/>
    <n v="0"/>
    <n v="0"/>
    <n v="0"/>
    <n v="0"/>
  </r>
  <r>
    <s v="Carbon Dioxide Consumption"/>
    <x v="2"/>
    <x v="2"/>
    <n v="0"/>
    <n v="0"/>
    <n v="0"/>
    <n v="0"/>
    <n v="0"/>
    <n v="0"/>
    <n v="0"/>
    <n v="0"/>
    <n v="0"/>
    <n v="0"/>
    <n v="0"/>
    <n v="0"/>
    <n v="0"/>
    <n v="0"/>
    <n v="0"/>
    <n v="0"/>
    <n v="0"/>
    <n v="0"/>
    <n v="0"/>
    <n v="0"/>
    <n v="0"/>
    <n v="0"/>
    <n v="0"/>
    <n v="0"/>
    <n v="0"/>
    <n v="0"/>
    <n v="0"/>
    <n v="0"/>
    <n v="0"/>
    <n v="0"/>
    <n v="0"/>
    <n v="0"/>
    <n v="0"/>
    <n v="0"/>
    <n v="0"/>
    <n v="0"/>
    <n v="0"/>
    <n v="0"/>
    <n v="0"/>
    <n v="0"/>
    <n v="0"/>
    <n v="0"/>
    <n v="0"/>
    <n v="0"/>
    <n v="0"/>
  </r>
  <r>
    <s v="Titanium Dioxide Production"/>
    <x v="2"/>
    <x v="2"/>
    <n v="0"/>
    <n v="0"/>
    <n v="0"/>
    <n v="0"/>
    <n v="0"/>
    <n v="0"/>
    <n v="0"/>
    <n v="0"/>
    <n v="0"/>
    <n v="0"/>
    <n v="0"/>
    <n v="0"/>
    <n v="0"/>
    <n v="0"/>
    <n v="0"/>
    <n v="0"/>
    <n v="0"/>
    <n v="0"/>
    <n v="0"/>
    <n v="0"/>
    <n v="0"/>
    <n v="0"/>
    <n v="0"/>
    <n v="0"/>
    <n v="0"/>
    <n v="0"/>
    <n v="0"/>
    <n v="0"/>
    <n v="0"/>
    <n v="0"/>
    <n v="0"/>
    <n v="0"/>
    <n v="0"/>
    <n v="0"/>
    <n v="0"/>
    <n v="0"/>
    <n v="0"/>
    <n v="0"/>
    <n v="0"/>
    <n v="0"/>
    <n v="0"/>
    <n v="0"/>
    <n v="0"/>
    <n v="0"/>
    <n v="0"/>
  </r>
  <r>
    <s v="Zinc Production"/>
    <x v="2"/>
    <x v="2"/>
    <n v="0"/>
    <n v="0"/>
    <n v="0"/>
    <n v="0"/>
    <n v="0"/>
    <n v="0"/>
    <n v="0"/>
    <n v="0"/>
    <n v="0"/>
    <n v="0"/>
    <n v="0"/>
    <n v="0"/>
    <n v="0"/>
    <n v="0"/>
    <n v="0"/>
    <n v="0"/>
    <n v="0"/>
    <n v="0"/>
    <n v="0"/>
    <n v="0"/>
    <n v="0"/>
    <n v="0"/>
    <n v="0"/>
    <n v="0"/>
    <n v="0"/>
    <n v="0"/>
    <n v="0"/>
    <n v="0"/>
    <n v="0"/>
    <n v="0"/>
    <n v="0"/>
    <n v="0"/>
    <n v="0"/>
    <n v="0"/>
    <n v="0"/>
    <n v="0"/>
    <n v="0"/>
    <n v="0"/>
    <n v="0"/>
    <n v="0"/>
    <n v="0"/>
    <n v="0"/>
    <n v="0"/>
    <n v="0"/>
    <n v="0"/>
  </r>
  <r>
    <s v="Phosphoric Acid Production"/>
    <x v="1"/>
    <x v="2"/>
    <n v="0"/>
    <n v="0"/>
    <n v="0"/>
    <n v="0"/>
    <n v="0"/>
    <n v="0"/>
    <n v="0"/>
    <n v="0"/>
    <n v="0"/>
    <n v="0"/>
    <n v="0"/>
    <n v="0"/>
    <n v="0"/>
    <n v="0"/>
    <n v="0"/>
    <n v="0"/>
    <n v="0"/>
    <n v="0"/>
    <n v="0"/>
    <n v="0"/>
    <n v="0"/>
    <n v="0"/>
    <n v="0"/>
    <n v="0"/>
    <n v="0"/>
    <n v="0"/>
    <n v="0"/>
    <n v="0"/>
    <n v="0"/>
    <n v="0"/>
    <n v="0"/>
    <n v="0"/>
    <n v="0"/>
    <n v="0"/>
    <n v="0"/>
    <n v="0"/>
    <n v="0"/>
    <n v="0"/>
    <n v="0"/>
    <n v="0"/>
    <n v="0"/>
    <n v="0"/>
    <n v="0"/>
    <n v="0"/>
    <n v="0"/>
  </r>
  <r>
    <s v="Lead Production"/>
    <x v="2"/>
    <x v="2"/>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2"/>
    <n v="0"/>
    <n v="0"/>
    <n v="0"/>
    <n v="0"/>
    <n v="0"/>
    <n v="0"/>
    <n v="0"/>
    <n v="0"/>
    <n v="0"/>
    <n v="0"/>
    <n v="0"/>
    <n v="0"/>
    <n v="0"/>
    <n v="0"/>
    <n v="0"/>
    <n v="0"/>
    <n v="0"/>
    <n v="0"/>
    <n v="0"/>
    <n v="0"/>
    <n v="0"/>
    <n v="0"/>
    <n v="0"/>
    <n v="0"/>
    <n v="0"/>
    <n v="0"/>
    <n v="0"/>
    <n v="0"/>
    <n v="0"/>
    <n v="0"/>
    <n v="0"/>
    <n v="0"/>
    <n v="0"/>
    <n v="0"/>
    <n v="0"/>
    <n v="0"/>
    <n v="0"/>
    <n v="0"/>
    <n v="0"/>
    <n v="0"/>
    <n v="0"/>
    <n v="0"/>
    <n v="0"/>
    <n v="0"/>
    <n v="0"/>
  </r>
  <r>
    <s v="Wastewater Treatment (Industrial)"/>
    <x v="6"/>
    <x v="2"/>
    <n v="0"/>
    <n v="0"/>
    <n v="0"/>
    <n v="0"/>
    <n v="0"/>
    <n v="0"/>
    <n v="0"/>
    <n v="0"/>
    <n v="0"/>
    <n v="0"/>
    <n v="0"/>
    <n v="0"/>
    <n v="0"/>
    <n v="0"/>
    <n v="0"/>
    <n v="0"/>
    <n v="0"/>
    <n v="0"/>
    <n v="0"/>
    <n v="0"/>
    <n v="0"/>
    <n v="0"/>
    <n v="0"/>
    <n v="0"/>
    <n v="0"/>
    <n v="0"/>
    <n v="0"/>
    <n v="0"/>
    <n v="0"/>
    <n v="0"/>
    <n v="0"/>
    <n v="0"/>
    <n v="0"/>
    <n v="0"/>
    <n v="0"/>
    <n v="0"/>
    <n v="0"/>
    <n v="0"/>
    <n v="0"/>
    <n v="0"/>
    <n v="0"/>
    <n v="0"/>
    <n v="0"/>
    <n v="0"/>
    <n v="0"/>
  </r>
  <r>
    <s v="Composting"/>
    <x v="6"/>
    <x v="2"/>
    <n v="6"/>
    <n v="6"/>
    <n v="6"/>
    <n v="6"/>
    <n v="5"/>
    <n v="6"/>
    <n v="6"/>
    <n v="6"/>
    <n v="6"/>
    <n v="6"/>
    <n v="6"/>
    <n v="6"/>
    <n v="6"/>
    <n v="6"/>
    <n v="6"/>
    <n v="6"/>
    <n v="6"/>
    <n v="6"/>
    <n v="6"/>
    <n v="6"/>
    <n v="6"/>
    <n v="6"/>
    <n v="6"/>
    <n v="6"/>
    <n v="6"/>
    <n v="6"/>
    <n v="6"/>
    <n v="6"/>
    <n v="6"/>
    <n v="6"/>
    <n v="6"/>
    <n v="6"/>
    <n v="6"/>
    <n v="6"/>
    <n v="6"/>
    <n v="6"/>
    <n v="6"/>
    <n v="6"/>
    <n v="6"/>
    <n v="6"/>
    <n v="6"/>
    <n v="6"/>
    <n v="6"/>
    <n v="6"/>
    <n v="6"/>
  </r>
  <r>
    <s v="N₂O from Product Uses"/>
    <x v="2"/>
    <x v="2"/>
    <n v="14"/>
    <n v="14"/>
    <n v="14"/>
    <n v="14"/>
    <n v="14"/>
    <n v="14"/>
    <n v="14"/>
    <n v="14"/>
    <n v="14"/>
    <n v="14"/>
    <n v="14"/>
    <n v="14"/>
    <n v="14"/>
    <n v="14"/>
    <n v="14"/>
    <n v="14"/>
    <n v="14"/>
    <n v="14"/>
    <n v="14"/>
    <n v="14"/>
    <n v="14"/>
    <n v="14"/>
    <n v="14"/>
    <n v="14"/>
    <n v="14"/>
    <n v="14"/>
    <n v="14"/>
    <n v="14"/>
    <n v="14"/>
    <n v="14"/>
    <n v="14"/>
    <n v="14"/>
    <n v="14"/>
    <n v="14"/>
    <n v="14"/>
    <n v="14"/>
    <n v="14"/>
    <n v="14"/>
    <n v="14"/>
    <n v="14"/>
    <n v="14"/>
    <n v="14"/>
    <n v="14"/>
    <n v="14"/>
    <n v="14"/>
  </r>
  <r>
    <s v="Other Process Uses of Carbonates"/>
    <x v="3"/>
    <x v="2"/>
    <n v="0"/>
    <n v="0"/>
    <n v="0"/>
    <n v="0"/>
    <n v="0"/>
    <n v="0"/>
    <n v="0"/>
    <n v="0"/>
    <n v="0"/>
    <n v="0"/>
    <n v="0"/>
    <n v="0"/>
    <n v="0"/>
    <n v="0"/>
    <n v="0"/>
    <n v="0"/>
    <n v="0"/>
    <n v="0"/>
    <n v="0"/>
    <n v="0"/>
    <n v="0"/>
    <n v="0"/>
    <n v="0"/>
    <n v="0"/>
    <n v="0"/>
    <n v="0"/>
    <n v="0"/>
    <n v="0"/>
    <n v="0"/>
    <n v="0"/>
    <n v="0"/>
    <n v="0"/>
    <n v="0"/>
    <n v="0"/>
    <n v="0"/>
    <n v="0"/>
    <n v="0"/>
    <n v="0"/>
    <n v="0"/>
    <n v="0"/>
    <n v="0"/>
    <n v="0"/>
    <n v="0"/>
    <n v="0"/>
    <n v="0"/>
  </r>
  <r>
    <s v="Urea Fertilization"/>
    <x v="2"/>
    <x v="2"/>
    <n v="0"/>
    <n v="0"/>
    <n v="0"/>
    <n v="0"/>
    <n v="0"/>
    <n v="0"/>
    <n v="0"/>
    <n v="0"/>
    <n v="0"/>
    <n v="0"/>
    <n v="0"/>
    <n v="0"/>
    <n v="0"/>
    <n v="0"/>
    <n v="0"/>
    <n v="0"/>
    <n v="0"/>
    <n v="0"/>
    <n v="0"/>
    <n v="0"/>
    <n v="0"/>
    <n v="0"/>
    <n v="0"/>
    <n v="0"/>
    <n v="0"/>
    <n v="0"/>
    <n v="0"/>
    <n v="0"/>
    <n v="0"/>
    <n v="0"/>
    <n v="0"/>
    <n v="0"/>
    <n v="0"/>
    <n v="0"/>
    <n v="0"/>
    <n v="0"/>
    <n v="0"/>
    <n v="0"/>
    <n v="0"/>
    <n v="0"/>
    <n v="0"/>
    <n v="0"/>
    <n v="0"/>
    <n v="0"/>
    <n v="0"/>
  </r>
  <r>
    <s v="Incineration of Waste"/>
    <x v="7"/>
    <x v="2"/>
    <n v="1"/>
    <n v="1"/>
    <n v="1"/>
    <n v="1"/>
    <n v="1"/>
    <n v="1"/>
    <n v="1"/>
    <n v="1"/>
    <n v="1"/>
    <n v="1"/>
    <n v="1"/>
    <n v="1"/>
    <n v="1"/>
    <n v="1"/>
    <n v="1"/>
    <n v="1"/>
    <n v="1"/>
    <n v="1"/>
    <n v="1"/>
    <n v="1"/>
    <n v="1"/>
    <n v="1"/>
    <n v="1"/>
    <n v="1"/>
    <n v="1"/>
    <n v="1"/>
    <n v="1"/>
    <n v="1"/>
    <n v="1"/>
    <n v="1"/>
    <n v="1"/>
    <n v="1"/>
    <n v="1"/>
    <n v="1"/>
    <n v="1"/>
    <n v="1"/>
    <n v="1"/>
    <n v="1"/>
    <n v="1"/>
    <n v="1"/>
    <n v="1"/>
    <n v="1"/>
    <n v="1"/>
    <n v="1"/>
    <n v="1"/>
  </r>
  <r>
    <s v="Liming"/>
    <x v="2"/>
    <x v="2"/>
    <n v="0"/>
    <n v="0"/>
    <n v="0"/>
    <n v="0"/>
    <n v="0"/>
    <n v="0"/>
    <n v="0"/>
    <n v="0"/>
    <n v="0"/>
    <n v="0"/>
    <n v="0"/>
    <n v="0"/>
    <n v="0"/>
    <n v="0"/>
    <n v="0"/>
    <n v="0"/>
    <n v="0"/>
    <n v="0"/>
    <n v="0"/>
    <n v="0"/>
    <n v="0"/>
    <n v="0"/>
    <n v="0"/>
    <n v="0"/>
    <n v="0"/>
    <n v="0"/>
    <n v="0"/>
    <n v="0"/>
    <n v="0"/>
    <n v="0"/>
    <n v="0"/>
    <n v="0"/>
    <n v="0"/>
    <n v="0"/>
    <n v="0"/>
    <n v="0"/>
    <n v="0"/>
    <n v="0"/>
    <n v="0"/>
    <n v="0"/>
    <n v="0"/>
    <n v="0"/>
    <n v="0"/>
    <n v="0"/>
    <n v="0"/>
  </r>
  <r>
    <s v="Glass Production"/>
    <x v="2"/>
    <x v="2"/>
    <n v="0"/>
    <n v="0"/>
    <n v="0"/>
    <n v="0"/>
    <n v="0"/>
    <n v="0"/>
    <n v="0"/>
    <n v="0"/>
    <n v="0"/>
    <n v="0"/>
    <n v="0"/>
    <n v="0"/>
    <n v="0"/>
    <n v="0"/>
    <n v="0"/>
    <n v="0"/>
    <n v="0"/>
    <n v="0"/>
    <n v="0"/>
    <n v="0"/>
    <n v="0"/>
    <n v="0"/>
    <n v="0"/>
    <n v="0"/>
    <n v="0"/>
    <n v="0"/>
    <n v="0"/>
    <n v="0"/>
    <n v="0"/>
    <n v="0"/>
    <n v="0"/>
    <n v="0"/>
    <n v="0"/>
    <n v="0"/>
    <n v="0"/>
    <n v="0"/>
    <n v="0"/>
    <n v="0"/>
    <n v="0"/>
    <n v="0"/>
    <n v="0"/>
    <n v="0"/>
    <n v="0"/>
    <n v="0"/>
    <n v="0"/>
  </r>
  <r>
    <s v="Abandoned Underground Coal Mines"/>
    <x v="0"/>
    <x v="3"/>
    <n v="0"/>
    <n v="0"/>
    <n v="0"/>
    <n v="0"/>
    <n v="0"/>
    <n v="0"/>
    <n v="0"/>
    <n v="0"/>
    <n v="0"/>
    <n v="0"/>
    <n v="0"/>
    <n v="0"/>
    <n v="0"/>
    <n v="0"/>
    <n v="0"/>
    <n v="0"/>
    <n v="0"/>
    <n v="0"/>
    <n v="0"/>
    <n v="0"/>
    <n v="0"/>
    <n v="0"/>
    <n v="0"/>
    <n v="0"/>
    <n v="0"/>
    <n v="0"/>
    <n v="0"/>
    <n v="0"/>
    <n v="0"/>
    <n v="0"/>
    <n v="0"/>
    <n v="0"/>
    <n v="0"/>
    <n v="0"/>
    <n v="0"/>
    <n v="0"/>
    <n v="0"/>
    <n v="0"/>
    <n v="0"/>
    <n v="0"/>
    <n v="0"/>
    <n v="0"/>
    <n v="0"/>
    <n v="0"/>
    <n v="0"/>
  </r>
  <r>
    <s v="Nitric Acid Production"/>
    <x v="1"/>
    <x v="3"/>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3"/>
    <n v="0"/>
    <n v="0"/>
    <n v="0"/>
    <n v="0"/>
    <n v="0"/>
    <n v="0"/>
    <n v="0"/>
    <n v="0"/>
    <n v="0"/>
    <n v="0"/>
    <n v="0"/>
    <n v="0"/>
    <n v="0"/>
    <n v="0"/>
    <n v="0"/>
    <n v="0"/>
    <n v="0"/>
    <n v="0"/>
    <n v="0"/>
    <n v="0"/>
    <n v="0"/>
    <n v="0"/>
    <n v="0"/>
    <n v="0"/>
    <n v="0"/>
    <n v="0"/>
    <n v="0"/>
    <n v="0"/>
    <n v="0"/>
    <n v="0"/>
    <n v="0"/>
    <n v="0"/>
    <n v="0"/>
    <n v="0"/>
    <n v="0"/>
    <n v="0"/>
    <n v="0"/>
    <n v="0"/>
    <n v="0"/>
    <n v="0"/>
    <n v="0"/>
    <n v="0"/>
    <n v="0"/>
    <n v="0"/>
    <n v="0"/>
  </r>
  <r>
    <s v="Ferroalloy Production"/>
    <x v="2"/>
    <x v="3"/>
    <n v="0"/>
    <n v="0"/>
    <n v="0"/>
    <n v="0"/>
    <n v="0"/>
    <n v="0"/>
    <n v="0"/>
    <n v="0"/>
    <n v="0"/>
    <n v="0"/>
    <n v="0"/>
    <n v="0"/>
    <n v="0"/>
    <n v="0"/>
    <n v="0"/>
    <n v="0"/>
    <n v="0"/>
    <n v="0"/>
    <n v="0"/>
    <n v="0"/>
    <n v="0"/>
    <n v="0"/>
    <n v="0"/>
    <n v="0"/>
    <n v="0"/>
    <n v="0"/>
    <n v="0"/>
    <n v="0"/>
    <n v="0"/>
    <n v="0"/>
    <n v="0"/>
    <n v="0"/>
    <n v="0"/>
    <n v="0"/>
    <n v="0"/>
    <n v="0"/>
    <n v="0"/>
    <n v="0"/>
    <n v="0"/>
    <n v="0"/>
    <n v="0"/>
    <n v="0"/>
    <n v="0"/>
    <n v="0"/>
    <n v="0"/>
  </r>
  <r>
    <s v="Lime Production"/>
    <x v="3"/>
    <x v="3"/>
    <n v="0"/>
    <n v="0"/>
    <n v="0"/>
    <n v="0"/>
    <n v="0"/>
    <n v="0"/>
    <n v="0"/>
    <n v="0"/>
    <n v="0"/>
    <n v="0"/>
    <n v="0"/>
    <n v="0"/>
    <n v="0"/>
    <n v="0"/>
    <n v="0"/>
    <n v="0"/>
    <n v="0"/>
    <n v="0"/>
    <n v="0"/>
    <n v="0"/>
    <n v="0"/>
    <n v="0"/>
    <n v="0"/>
    <n v="0"/>
    <n v="0"/>
    <n v="0"/>
    <n v="0"/>
    <n v="0"/>
    <n v="0"/>
    <n v="0"/>
    <n v="0"/>
    <n v="0"/>
    <n v="0"/>
    <n v="0"/>
    <n v="0"/>
    <n v="0"/>
    <n v="0"/>
    <n v="0"/>
    <n v="0"/>
    <n v="0"/>
    <n v="0"/>
    <n v="0"/>
    <n v="0"/>
    <n v="0"/>
    <n v="0"/>
  </r>
  <r>
    <s v="Limestone and Dolomite Use"/>
    <x v="3"/>
    <x v="3"/>
    <n v="0"/>
    <n v="0"/>
    <n v="0"/>
    <n v="0"/>
    <n v="0"/>
    <n v="0"/>
    <n v="0"/>
    <n v="0"/>
    <n v="0"/>
    <n v="0"/>
    <n v="0"/>
    <n v="0"/>
    <n v="0"/>
    <n v="0"/>
    <n v="0"/>
    <n v="0"/>
    <n v="0"/>
    <n v="0"/>
    <n v="0"/>
    <n v="0"/>
    <n v="0"/>
    <n v="0"/>
    <n v="0"/>
    <n v="0"/>
    <n v="0"/>
    <n v="0"/>
    <n v="0"/>
    <n v="0"/>
    <n v="0"/>
    <n v="0"/>
    <n v="0"/>
    <n v="0"/>
    <n v="0"/>
    <n v="0"/>
    <n v="0"/>
    <n v="0"/>
    <n v="0"/>
    <n v="0"/>
    <n v="0"/>
    <n v="0"/>
    <n v="0"/>
    <n v="0"/>
    <n v="0"/>
    <n v="0"/>
    <n v="0"/>
  </r>
  <r>
    <s v="Ammonia Production"/>
    <x v="1"/>
    <x v="3"/>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3"/>
    <n v="0"/>
    <n v="0"/>
    <n v="0"/>
    <n v="0"/>
    <n v="0"/>
    <n v="0"/>
    <n v="0"/>
    <n v="0"/>
    <n v="0"/>
    <n v="0"/>
    <n v="0"/>
    <n v="0"/>
    <n v="0"/>
    <n v="0"/>
    <n v="0"/>
    <n v="0"/>
    <n v="0"/>
    <n v="0"/>
    <n v="0"/>
    <n v="0"/>
    <n v="0"/>
    <n v="0"/>
    <n v="0"/>
    <n v="0"/>
    <n v="0"/>
    <n v="0"/>
    <n v="0"/>
    <n v="0"/>
    <n v="0"/>
    <n v="0"/>
    <n v="0"/>
    <n v="0"/>
    <n v="0"/>
    <n v="0"/>
    <n v="0"/>
    <n v="0"/>
    <n v="0"/>
    <n v="0"/>
    <n v="0"/>
    <n v="0"/>
    <n v="0"/>
    <n v="0"/>
    <n v="0"/>
    <n v="0"/>
    <n v="0"/>
  </r>
  <r>
    <s v="Soda Ash Production and Consumption"/>
    <x v="1"/>
    <x v="3"/>
    <n v="0"/>
    <n v="0"/>
    <n v="0"/>
    <n v="0"/>
    <n v="0"/>
    <n v="0"/>
    <n v="0"/>
    <n v="0"/>
    <n v="0"/>
    <n v="0"/>
    <n v="0"/>
    <n v="0"/>
    <n v="0"/>
    <n v="0"/>
    <n v="0"/>
    <n v="0"/>
    <n v="0"/>
    <n v="0"/>
    <n v="0"/>
    <n v="0"/>
    <n v="0"/>
    <n v="0"/>
    <n v="0"/>
    <n v="0"/>
    <n v="0"/>
    <n v="0"/>
    <n v="0"/>
    <n v="0"/>
    <n v="0"/>
    <n v="0"/>
    <n v="0"/>
    <n v="0"/>
    <n v="0"/>
    <n v="0"/>
    <n v="0"/>
    <n v="0"/>
    <n v="0"/>
    <n v="0"/>
    <n v="0"/>
    <n v="0"/>
    <n v="0"/>
    <n v="0"/>
    <n v="0"/>
    <n v="0"/>
    <n v="0"/>
  </r>
  <r>
    <s v="Petrochemical Production"/>
    <x v="4"/>
    <x v="3"/>
    <n v="0"/>
    <n v="0"/>
    <n v="0"/>
    <n v="0"/>
    <n v="0"/>
    <n v="0"/>
    <n v="0"/>
    <n v="0"/>
    <n v="0"/>
    <n v="0"/>
    <n v="0"/>
    <n v="0"/>
    <n v="0"/>
    <n v="0"/>
    <n v="0"/>
    <n v="0"/>
    <n v="0"/>
    <n v="0"/>
    <n v="0"/>
    <n v="0"/>
    <n v="0"/>
    <n v="0"/>
    <n v="0"/>
    <n v="0"/>
    <n v="0"/>
    <n v="0"/>
    <n v="0"/>
    <n v="0"/>
    <n v="0"/>
    <n v="0"/>
    <n v="0"/>
    <n v="0"/>
    <n v="0"/>
    <n v="0"/>
    <n v="0"/>
    <n v="0"/>
    <n v="0"/>
    <n v="0"/>
    <n v="0"/>
    <n v="0"/>
    <n v="0"/>
    <n v="0"/>
    <n v="0"/>
    <n v="0"/>
    <n v="0"/>
  </r>
  <r>
    <s v="Carbon Dioxide Consumption"/>
    <x v="2"/>
    <x v="3"/>
    <n v="0"/>
    <n v="0"/>
    <n v="0"/>
    <n v="0"/>
    <n v="0"/>
    <n v="0"/>
    <n v="0"/>
    <n v="0"/>
    <n v="0"/>
    <n v="0"/>
    <n v="0"/>
    <n v="0"/>
    <n v="0"/>
    <n v="0"/>
    <n v="0"/>
    <n v="0"/>
    <n v="0"/>
    <n v="0"/>
    <n v="0"/>
    <n v="0"/>
    <n v="0"/>
    <n v="0"/>
    <n v="0"/>
    <n v="0"/>
    <n v="0"/>
    <n v="0"/>
    <n v="0"/>
    <n v="0"/>
    <n v="0"/>
    <n v="0"/>
    <n v="0"/>
    <n v="0"/>
    <n v="0"/>
    <n v="0"/>
    <n v="0"/>
    <n v="0"/>
    <n v="0"/>
    <n v="0"/>
    <n v="0"/>
    <n v="0"/>
    <n v="0"/>
    <n v="0"/>
    <n v="0"/>
    <n v="0"/>
    <n v="0"/>
  </r>
  <r>
    <s v="Titanium Dioxide Production"/>
    <x v="2"/>
    <x v="3"/>
    <n v="0"/>
    <n v="0"/>
    <n v="0"/>
    <n v="0"/>
    <n v="0"/>
    <n v="0"/>
    <n v="0"/>
    <n v="0"/>
    <n v="0"/>
    <n v="0"/>
    <n v="0"/>
    <n v="0"/>
    <n v="0"/>
    <n v="0"/>
    <n v="0"/>
    <n v="0"/>
    <n v="0"/>
    <n v="0"/>
    <n v="0"/>
    <n v="0"/>
    <n v="0"/>
    <n v="0"/>
    <n v="0"/>
    <n v="0"/>
    <n v="0"/>
    <n v="0"/>
    <n v="0"/>
    <n v="0"/>
    <n v="0"/>
    <n v="0"/>
    <n v="0"/>
    <n v="0"/>
    <n v="0"/>
    <n v="0"/>
    <n v="0"/>
    <n v="0"/>
    <n v="0"/>
    <n v="0"/>
    <n v="0"/>
    <n v="0"/>
    <n v="0"/>
    <n v="0"/>
    <n v="0"/>
    <n v="0"/>
    <n v="0"/>
  </r>
  <r>
    <s v="Zinc Production"/>
    <x v="2"/>
    <x v="3"/>
    <n v="0"/>
    <n v="0"/>
    <n v="0"/>
    <n v="0"/>
    <n v="0"/>
    <n v="0"/>
    <n v="0"/>
    <n v="0"/>
    <n v="0"/>
    <n v="0"/>
    <n v="0"/>
    <n v="0"/>
    <n v="0"/>
    <n v="0"/>
    <n v="0"/>
    <n v="0"/>
    <n v="0"/>
    <n v="0"/>
    <n v="0"/>
    <n v="0"/>
    <n v="0"/>
    <n v="0"/>
    <n v="0"/>
    <n v="0"/>
    <n v="0"/>
    <n v="0"/>
    <n v="0"/>
    <n v="0"/>
    <n v="0"/>
    <n v="0"/>
    <n v="0"/>
    <n v="0"/>
    <n v="0"/>
    <n v="0"/>
    <n v="0"/>
    <n v="0"/>
    <n v="0"/>
    <n v="0"/>
    <n v="0"/>
    <n v="0"/>
    <n v="0"/>
    <n v="0"/>
    <n v="0"/>
    <n v="0"/>
    <n v="0"/>
  </r>
  <r>
    <s v="Phosphoric Acid Production"/>
    <x v="1"/>
    <x v="3"/>
    <n v="0"/>
    <n v="0"/>
    <n v="0"/>
    <n v="0"/>
    <n v="0"/>
    <n v="0"/>
    <n v="0"/>
    <n v="0"/>
    <n v="0"/>
    <n v="0"/>
    <n v="0"/>
    <n v="0"/>
    <n v="0"/>
    <n v="0"/>
    <n v="0"/>
    <n v="0"/>
    <n v="0"/>
    <n v="0"/>
    <n v="0"/>
    <n v="0"/>
    <n v="0"/>
    <n v="0"/>
    <n v="0"/>
    <n v="0"/>
    <n v="0"/>
    <n v="0"/>
    <n v="0"/>
    <n v="0"/>
    <n v="0"/>
    <n v="0"/>
    <n v="0"/>
    <n v="0"/>
    <n v="0"/>
    <n v="0"/>
    <n v="0"/>
    <n v="0"/>
    <n v="0"/>
    <n v="0"/>
    <n v="0"/>
    <n v="0"/>
    <n v="0"/>
    <n v="0"/>
    <n v="0"/>
    <n v="0"/>
    <n v="0"/>
  </r>
  <r>
    <s v="Lead Production"/>
    <x v="2"/>
    <x v="3"/>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3"/>
    <n v="0"/>
    <n v="0"/>
    <n v="0"/>
    <n v="0"/>
    <n v="0"/>
    <n v="0"/>
    <n v="0"/>
    <n v="0"/>
    <n v="0"/>
    <n v="0"/>
    <n v="0"/>
    <n v="0"/>
    <n v="0"/>
    <n v="0"/>
    <n v="0"/>
    <n v="0"/>
    <n v="0"/>
    <n v="0"/>
    <n v="0"/>
    <n v="0"/>
    <n v="0"/>
    <n v="0"/>
    <n v="0"/>
    <n v="0"/>
    <n v="0"/>
    <n v="0"/>
    <n v="0"/>
    <n v="0"/>
    <n v="0"/>
    <n v="0"/>
    <n v="0"/>
    <n v="0"/>
    <n v="0"/>
    <n v="0"/>
    <n v="0"/>
    <n v="0"/>
    <n v="0"/>
    <n v="0"/>
    <n v="0"/>
    <n v="0"/>
    <n v="0"/>
    <n v="0"/>
    <n v="0"/>
    <n v="0"/>
    <n v="0"/>
  </r>
  <r>
    <s v="Wastewater Treatment (Industrial)"/>
    <x v="6"/>
    <x v="3"/>
    <n v="0"/>
    <n v="0"/>
    <n v="0"/>
    <n v="0"/>
    <n v="0"/>
    <n v="0"/>
    <n v="0"/>
    <n v="0"/>
    <n v="0"/>
    <n v="0"/>
    <n v="0"/>
    <n v="0"/>
    <n v="0"/>
    <n v="0"/>
    <n v="0"/>
    <n v="0"/>
    <n v="0"/>
    <n v="0"/>
    <n v="0"/>
    <n v="0"/>
    <n v="0"/>
    <n v="0"/>
    <n v="0"/>
    <n v="0"/>
    <n v="0"/>
    <n v="0"/>
    <n v="0"/>
    <n v="0"/>
    <n v="0"/>
    <n v="0"/>
    <n v="0"/>
    <n v="0"/>
    <n v="0"/>
    <n v="0"/>
    <n v="0"/>
    <n v="0"/>
    <n v="0"/>
    <n v="0"/>
    <n v="0"/>
    <n v="0"/>
    <n v="0"/>
    <n v="0"/>
    <n v="0"/>
    <n v="0"/>
    <n v="0"/>
  </r>
  <r>
    <s v="Composting"/>
    <x v="6"/>
    <x v="3"/>
    <n v="0"/>
    <n v="0"/>
    <n v="0"/>
    <n v="0"/>
    <n v="0"/>
    <n v="0"/>
    <n v="0"/>
    <n v="0"/>
    <n v="0"/>
    <n v="0"/>
    <n v="0"/>
    <n v="0"/>
    <n v="0"/>
    <n v="0"/>
    <n v="0"/>
    <n v="0"/>
    <n v="0"/>
    <n v="0"/>
    <n v="0"/>
    <n v="0"/>
    <n v="0"/>
    <n v="0"/>
    <n v="0"/>
    <n v="0"/>
    <n v="0"/>
    <n v="0"/>
    <n v="0"/>
    <n v="0"/>
    <n v="0"/>
    <n v="0"/>
    <n v="0"/>
    <n v="0"/>
    <n v="0"/>
    <n v="0"/>
    <n v="0"/>
    <n v="0"/>
    <n v="0"/>
    <n v="0"/>
    <n v="0"/>
    <n v="0"/>
    <n v="0"/>
    <n v="0"/>
    <n v="0"/>
    <n v="0"/>
    <n v="0"/>
  </r>
  <r>
    <s v="N₂O from Product Uses"/>
    <x v="2"/>
    <x v="3"/>
    <n v="0"/>
    <n v="0"/>
    <n v="0"/>
    <n v="0"/>
    <n v="0"/>
    <n v="0"/>
    <n v="0"/>
    <n v="0"/>
    <n v="0"/>
    <n v="0"/>
    <n v="0"/>
    <n v="0"/>
    <n v="0"/>
    <n v="0"/>
    <n v="0"/>
    <n v="0"/>
    <n v="0"/>
    <n v="0"/>
    <n v="0"/>
    <n v="0"/>
    <n v="0"/>
    <n v="0"/>
    <n v="0"/>
    <n v="0"/>
    <n v="0"/>
    <n v="0"/>
    <n v="0"/>
    <n v="0"/>
    <n v="0"/>
    <n v="0"/>
    <n v="0"/>
    <n v="0"/>
    <n v="0"/>
    <n v="0"/>
    <n v="0"/>
    <n v="0"/>
    <n v="0"/>
    <n v="0"/>
    <n v="0"/>
    <n v="0"/>
    <n v="0"/>
    <n v="0"/>
    <n v="0"/>
    <n v="0"/>
    <n v="0"/>
  </r>
  <r>
    <s v="Other Process Uses of Carbonates"/>
    <x v="3"/>
    <x v="3"/>
    <n v="0"/>
    <n v="0"/>
    <n v="0"/>
    <n v="0"/>
    <n v="0"/>
    <n v="0"/>
    <n v="0"/>
    <n v="0"/>
    <n v="0"/>
    <n v="0"/>
    <n v="0"/>
    <n v="0"/>
    <n v="0"/>
    <n v="0"/>
    <n v="0"/>
    <n v="0"/>
    <n v="0"/>
    <n v="0"/>
    <n v="0"/>
    <n v="0"/>
    <n v="0"/>
    <n v="0"/>
    <n v="0"/>
    <n v="0"/>
    <n v="0"/>
    <n v="0"/>
    <n v="0"/>
    <n v="0"/>
    <n v="0"/>
    <n v="0"/>
    <n v="0"/>
    <n v="0"/>
    <n v="0"/>
    <n v="0"/>
    <n v="0"/>
    <n v="0"/>
    <n v="0"/>
    <n v="0"/>
    <n v="0"/>
    <n v="0"/>
    <n v="0"/>
    <n v="0"/>
    <n v="0"/>
    <n v="0"/>
    <n v="0"/>
  </r>
  <r>
    <s v="Urea Fertilization"/>
    <x v="2"/>
    <x v="3"/>
    <n v="0"/>
    <n v="0"/>
    <n v="0"/>
    <n v="0"/>
    <n v="0"/>
    <n v="0"/>
    <n v="0"/>
    <n v="0"/>
    <n v="0"/>
    <n v="0"/>
    <n v="0"/>
    <n v="0"/>
    <n v="0"/>
    <n v="0"/>
    <n v="0"/>
    <n v="0"/>
    <n v="0"/>
    <n v="0"/>
    <n v="0"/>
    <n v="0"/>
    <n v="0"/>
    <n v="0"/>
    <n v="0"/>
    <n v="0"/>
    <n v="0"/>
    <n v="0"/>
    <n v="0"/>
    <n v="0"/>
    <n v="0"/>
    <n v="0"/>
    <n v="0"/>
    <n v="0"/>
    <n v="0"/>
    <n v="0"/>
    <n v="0"/>
    <n v="0"/>
    <n v="0"/>
    <n v="0"/>
    <n v="0"/>
    <n v="0"/>
    <n v="0"/>
    <n v="0"/>
    <n v="0"/>
    <n v="0"/>
    <n v="0"/>
  </r>
  <r>
    <s v="Incineration of Waste"/>
    <x v="7"/>
    <x v="3"/>
    <n v="0"/>
    <n v="0"/>
    <n v="0"/>
    <n v="0"/>
    <n v="0"/>
    <n v="0"/>
    <n v="0"/>
    <n v="0"/>
    <n v="0"/>
    <n v="0"/>
    <n v="0"/>
    <n v="0"/>
    <n v="0"/>
    <n v="0"/>
    <n v="0"/>
    <n v="0"/>
    <n v="0"/>
    <n v="0"/>
    <n v="0"/>
    <n v="0"/>
    <n v="0"/>
    <n v="0"/>
    <n v="0"/>
    <n v="0"/>
    <n v="0"/>
    <n v="0"/>
    <n v="0"/>
    <n v="0"/>
    <n v="0"/>
    <n v="0"/>
    <n v="0"/>
    <n v="0"/>
    <n v="0"/>
    <n v="0"/>
    <n v="0"/>
    <n v="0"/>
    <n v="0"/>
    <n v="0"/>
    <n v="0"/>
    <n v="0"/>
    <n v="0"/>
    <n v="0"/>
    <n v="0"/>
    <n v="0"/>
    <n v="0"/>
  </r>
  <r>
    <s v="Liming"/>
    <x v="2"/>
    <x v="3"/>
    <n v="0"/>
    <n v="0"/>
    <n v="0"/>
    <n v="0"/>
    <n v="0"/>
    <n v="0"/>
    <n v="0"/>
    <n v="0"/>
    <n v="0"/>
    <n v="0"/>
    <n v="0"/>
    <n v="0"/>
    <n v="0"/>
    <n v="0"/>
    <n v="0"/>
    <n v="0"/>
    <n v="0"/>
    <n v="0"/>
    <n v="0"/>
    <n v="0"/>
    <n v="0"/>
    <n v="0"/>
    <n v="0"/>
    <n v="0"/>
    <n v="0"/>
    <n v="0"/>
    <n v="0"/>
    <n v="0"/>
    <n v="0"/>
    <n v="0"/>
    <n v="0"/>
    <n v="0"/>
    <n v="0"/>
    <n v="0"/>
    <n v="0"/>
    <n v="0"/>
    <n v="0"/>
    <n v="0"/>
    <n v="0"/>
    <n v="0"/>
    <n v="0"/>
    <n v="0"/>
    <n v="0"/>
    <n v="0"/>
    <n v="0"/>
  </r>
  <r>
    <s v="Glass Production"/>
    <x v="2"/>
    <x v="3"/>
    <n v="0"/>
    <n v="0"/>
    <n v="0"/>
    <n v="0"/>
    <n v="0"/>
    <n v="0"/>
    <n v="0"/>
    <n v="0"/>
    <n v="0"/>
    <n v="0"/>
    <n v="0"/>
    <n v="0"/>
    <n v="0"/>
    <n v="0"/>
    <n v="0"/>
    <n v="0"/>
    <n v="0"/>
    <n v="0"/>
    <n v="0"/>
    <n v="0"/>
    <n v="0"/>
    <n v="0"/>
    <n v="0"/>
    <n v="0"/>
    <n v="0"/>
    <n v="0"/>
    <n v="0"/>
    <n v="0"/>
    <n v="0"/>
    <n v="0"/>
    <n v="0"/>
    <n v="0"/>
    <n v="0"/>
    <n v="0"/>
    <n v="0"/>
    <n v="0"/>
    <n v="0"/>
    <n v="0"/>
    <n v="0"/>
    <n v="0"/>
    <n v="0"/>
    <n v="0"/>
    <n v="0"/>
    <n v="0"/>
    <n v="0"/>
  </r>
  <r>
    <s v="Abandoned Underground Coal Mines"/>
    <x v="0"/>
    <x v="4"/>
    <n v="0"/>
    <n v="0"/>
    <n v="0"/>
    <n v="0"/>
    <n v="0"/>
    <n v="0"/>
    <n v="0"/>
    <n v="0"/>
    <n v="0"/>
    <n v="0"/>
    <n v="0"/>
    <n v="0"/>
    <n v="0"/>
    <n v="0"/>
    <n v="0"/>
    <n v="0"/>
    <n v="0"/>
    <n v="0"/>
    <n v="0"/>
    <n v="0"/>
    <n v="0"/>
    <n v="0"/>
    <n v="0"/>
    <n v="0"/>
    <n v="0"/>
    <n v="0"/>
    <n v="0"/>
    <n v="0"/>
    <n v="0"/>
    <n v="0"/>
    <n v="0"/>
    <n v="0"/>
    <n v="0"/>
    <n v="0"/>
    <n v="0"/>
    <n v="0"/>
    <n v="0"/>
    <n v="0"/>
    <n v="0"/>
    <n v="0"/>
    <n v="0"/>
    <n v="0"/>
    <n v="0"/>
    <n v="0"/>
    <n v="0"/>
  </r>
  <r>
    <s v="Nitric Acid Production"/>
    <x v="1"/>
    <x v="4"/>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4"/>
    <n v="0"/>
    <n v="0"/>
    <n v="0"/>
    <n v="0"/>
    <n v="0"/>
    <n v="0"/>
    <n v="0"/>
    <n v="0"/>
    <n v="0"/>
    <n v="0"/>
    <n v="0"/>
    <n v="0"/>
    <n v="0"/>
    <n v="0"/>
    <n v="0"/>
    <n v="0"/>
    <n v="0"/>
    <n v="0"/>
    <n v="0"/>
    <n v="0"/>
    <n v="0"/>
    <n v="0"/>
    <n v="0"/>
    <n v="0"/>
    <n v="0"/>
    <n v="0"/>
    <n v="0"/>
    <n v="0"/>
    <n v="0"/>
    <n v="0"/>
    <n v="0"/>
    <n v="0"/>
    <n v="0"/>
    <n v="0"/>
    <n v="0"/>
    <n v="0"/>
    <n v="0"/>
    <n v="0"/>
    <n v="0"/>
    <n v="0"/>
    <n v="0"/>
    <n v="0"/>
    <n v="0"/>
    <n v="0"/>
    <n v="0"/>
  </r>
  <r>
    <s v="Ferroalloy Production"/>
    <x v="2"/>
    <x v="4"/>
    <n v="0"/>
    <n v="0"/>
    <n v="0"/>
    <n v="0"/>
    <n v="0"/>
    <n v="0"/>
    <n v="0"/>
    <n v="0"/>
    <n v="0"/>
    <n v="0"/>
    <n v="0"/>
    <n v="0"/>
    <n v="0"/>
    <n v="0"/>
    <n v="0"/>
    <n v="0"/>
    <n v="0"/>
    <n v="0"/>
    <n v="0"/>
    <n v="0"/>
    <n v="0"/>
    <n v="0"/>
    <n v="0"/>
    <n v="0"/>
    <n v="0"/>
    <n v="0"/>
    <n v="0"/>
    <n v="0"/>
    <n v="0"/>
    <n v="0"/>
    <n v="0"/>
    <n v="0"/>
    <n v="0"/>
    <n v="0"/>
    <n v="0"/>
    <n v="0"/>
    <n v="0"/>
    <n v="0"/>
    <n v="0"/>
    <n v="0"/>
    <n v="0"/>
    <n v="0"/>
    <n v="0"/>
    <n v="0"/>
    <n v="0"/>
  </r>
  <r>
    <s v="Lime Production"/>
    <x v="3"/>
    <x v="4"/>
    <n v="0"/>
    <n v="0"/>
    <n v="0"/>
    <n v="0"/>
    <n v="0"/>
    <n v="0"/>
    <n v="0"/>
    <n v="0"/>
    <n v="0"/>
    <n v="0"/>
    <n v="0"/>
    <n v="0"/>
    <n v="0"/>
    <n v="0"/>
    <n v="0"/>
    <n v="0"/>
    <n v="0"/>
    <n v="0"/>
    <n v="0"/>
    <n v="0"/>
    <n v="0"/>
    <n v="0"/>
    <n v="0"/>
    <n v="0"/>
    <n v="0"/>
    <n v="0"/>
    <n v="0"/>
    <n v="0"/>
    <n v="0"/>
    <n v="0"/>
    <n v="0"/>
    <n v="0"/>
    <n v="0"/>
    <n v="0"/>
    <n v="0"/>
    <n v="0"/>
    <n v="0"/>
    <n v="0"/>
    <n v="0"/>
    <n v="0"/>
    <n v="0"/>
    <n v="0"/>
    <n v="0"/>
    <n v="0"/>
    <n v="0"/>
  </r>
  <r>
    <s v="Limestone and Dolomite Use"/>
    <x v="3"/>
    <x v="4"/>
    <n v="0"/>
    <n v="0"/>
    <n v="0"/>
    <n v="0"/>
    <n v="0"/>
    <n v="0"/>
    <n v="0"/>
    <n v="0"/>
    <n v="0"/>
    <n v="0"/>
    <n v="0"/>
    <n v="0"/>
    <n v="0"/>
    <n v="0"/>
    <n v="0"/>
    <n v="0"/>
    <n v="0"/>
    <n v="0"/>
    <n v="0"/>
    <n v="0"/>
    <n v="0"/>
    <n v="0"/>
    <n v="0"/>
    <n v="0"/>
    <n v="0"/>
    <n v="0"/>
    <n v="0"/>
    <n v="0"/>
    <n v="0"/>
    <n v="0"/>
    <n v="0"/>
    <n v="0"/>
    <n v="0"/>
    <n v="0"/>
    <n v="0"/>
    <n v="0"/>
    <n v="0"/>
    <n v="0"/>
    <n v="0"/>
    <n v="0"/>
    <n v="0"/>
    <n v="0"/>
    <n v="0"/>
    <n v="0"/>
    <n v="0"/>
  </r>
  <r>
    <s v="Ammonia Production"/>
    <x v="1"/>
    <x v="4"/>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4"/>
    <n v="0"/>
    <n v="0"/>
    <n v="0"/>
    <n v="0"/>
    <n v="0"/>
    <n v="0"/>
    <n v="0"/>
    <n v="0"/>
    <n v="0"/>
    <n v="0"/>
    <n v="0"/>
    <n v="0"/>
    <n v="0"/>
    <n v="0"/>
    <n v="0"/>
    <n v="0"/>
    <n v="0"/>
    <n v="0"/>
    <n v="0"/>
    <n v="0"/>
    <n v="0"/>
    <n v="0"/>
    <n v="0"/>
    <n v="0"/>
    <n v="0"/>
    <n v="0"/>
    <n v="0"/>
    <n v="0"/>
    <n v="0"/>
    <n v="0"/>
    <n v="0"/>
    <n v="0"/>
    <n v="0"/>
    <n v="0"/>
    <n v="0"/>
    <n v="0"/>
    <n v="0"/>
    <n v="0"/>
    <n v="0"/>
    <n v="0"/>
    <n v="0"/>
    <n v="0"/>
    <n v="0"/>
    <n v="0"/>
    <n v="0"/>
  </r>
  <r>
    <s v="Soda Ash Production and Consumption"/>
    <x v="1"/>
    <x v="4"/>
    <n v="0"/>
    <n v="0"/>
    <n v="0"/>
    <n v="0"/>
    <n v="0"/>
    <n v="0"/>
    <n v="0"/>
    <n v="0"/>
    <n v="0"/>
    <n v="0"/>
    <n v="0"/>
    <n v="0"/>
    <n v="0"/>
    <n v="0"/>
    <n v="0"/>
    <n v="0"/>
    <n v="0"/>
    <n v="0"/>
    <n v="0"/>
    <n v="0"/>
    <n v="0"/>
    <n v="0"/>
    <n v="0"/>
    <n v="0"/>
    <n v="0"/>
    <n v="0"/>
    <n v="0"/>
    <n v="0"/>
    <n v="0"/>
    <n v="0"/>
    <n v="0"/>
    <n v="0"/>
    <n v="0"/>
    <n v="0"/>
    <n v="0"/>
    <n v="0"/>
    <n v="0"/>
    <n v="0"/>
    <n v="0"/>
    <n v="0"/>
    <n v="0"/>
    <n v="0"/>
    <n v="0"/>
    <n v="0"/>
    <n v="0"/>
  </r>
  <r>
    <s v="Petrochemical Production"/>
    <x v="4"/>
    <x v="4"/>
    <n v="0"/>
    <n v="0"/>
    <n v="0"/>
    <n v="0"/>
    <n v="0"/>
    <n v="0"/>
    <n v="0"/>
    <n v="0"/>
    <n v="0"/>
    <n v="0"/>
    <n v="0"/>
    <n v="0"/>
    <n v="0"/>
    <n v="0"/>
    <n v="0"/>
    <n v="0"/>
    <n v="0"/>
    <n v="0"/>
    <n v="0"/>
    <n v="0"/>
    <n v="0"/>
    <n v="0"/>
    <n v="0"/>
    <n v="0"/>
    <n v="0"/>
    <n v="0"/>
    <n v="0"/>
    <n v="0"/>
    <n v="0"/>
    <n v="0"/>
    <n v="0"/>
    <n v="0"/>
    <n v="0"/>
    <n v="0"/>
    <n v="0"/>
    <n v="0"/>
    <n v="0"/>
    <n v="0"/>
    <n v="0"/>
    <n v="0"/>
    <n v="0"/>
    <n v="0"/>
    <n v="0"/>
    <n v="0"/>
    <n v="0"/>
  </r>
  <r>
    <s v="Carbon Dioxide Consumption"/>
    <x v="2"/>
    <x v="4"/>
    <n v="0"/>
    <n v="0"/>
    <n v="0"/>
    <n v="0"/>
    <n v="0"/>
    <n v="0"/>
    <n v="0"/>
    <n v="0"/>
    <n v="0"/>
    <n v="0"/>
    <n v="0"/>
    <n v="0"/>
    <n v="0"/>
    <n v="0"/>
    <n v="0"/>
    <n v="0"/>
    <n v="0"/>
    <n v="0"/>
    <n v="0"/>
    <n v="0"/>
    <n v="0"/>
    <n v="0"/>
    <n v="0"/>
    <n v="0"/>
    <n v="0"/>
    <n v="0"/>
    <n v="0"/>
    <n v="0"/>
    <n v="0"/>
    <n v="0"/>
    <n v="0"/>
    <n v="0"/>
    <n v="0"/>
    <n v="0"/>
    <n v="0"/>
    <n v="0"/>
    <n v="0"/>
    <n v="0"/>
    <n v="0"/>
    <n v="0"/>
    <n v="0"/>
    <n v="0"/>
    <n v="0"/>
    <n v="0"/>
    <n v="0"/>
  </r>
  <r>
    <s v="Titanium Dioxide Production"/>
    <x v="2"/>
    <x v="4"/>
    <n v="0"/>
    <n v="0"/>
    <n v="0"/>
    <n v="0"/>
    <n v="0"/>
    <n v="0"/>
    <n v="0"/>
    <n v="0"/>
    <n v="0"/>
    <n v="0"/>
    <n v="0"/>
    <n v="0"/>
    <n v="0"/>
    <n v="0"/>
    <n v="0"/>
    <n v="0"/>
    <n v="0"/>
    <n v="0"/>
    <n v="0"/>
    <n v="0"/>
    <n v="0"/>
    <n v="0"/>
    <n v="0"/>
    <n v="0"/>
    <n v="0"/>
    <n v="0"/>
    <n v="0"/>
    <n v="0"/>
    <n v="0"/>
    <n v="0"/>
    <n v="0"/>
    <n v="0"/>
    <n v="0"/>
    <n v="0"/>
    <n v="0"/>
    <n v="0"/>
    <n v="0"/>
    <n v="0"/>
    <n v="0"/>
    <n v="0"/>
    <n v="0"/>
    <n v="0"/>
    <n v="0"/>
    <n v="0"/>
    <n v="0"/>
  </r>
  <r>
    <s v="Zinc Production"/>
    <x v="2"/>
    <x v="4"/>
    <n v="0"/>
    <n v="0"/>
    <n v="0"/>
    <n v="0"/>
    <n v="0"/>
    <n v="0"/>
    <n v="0"/>
    <n v="0"/>
    <n v="0"/>
    <n v="0"/>
    <n v="0"/>
    <n v="0"/>
    <n v="0"/>
    <n v="0"/>
    <n v="0"/>
    <n v="0"/>
    <n v="0"/>
    <n v="0"/>
    <n v="0"/>
    <n v="0"/>
    <n v="0"/>
    <n v="0"/>
    <n v="0"/>
    <n v="0"/>
    <n v="0"/>
    <n v="0"/>
    <n v="0"/>
    <n v="0"/>
    <n v="0"/>
    <n v="0"/>
    <n v="0"/>
    <n v="0"/>
    <n v="0"/>
    <n v="0"/>
    <n v="0"/>
    <n v="0"/>
    <n v="0"/>
    <n v="0"/>
    <n v="0"/>
    <n v="0"/>
    <n v="0"/>
    <n v="0"/>
    <n v="0"/>
    <n v="0"/>
    <n v="0"/>
  </r>
  <r>
    <s v="Phosphoric Acid Production"/>
    <x v="1"/>
    <x v="4"/>
    <n v="0"/>
    <n v="0"/>
    <n v="0"/>
    <n v="0"/>
    <n v="0"/>
    <n v="0"/>
    <n v="0"/>
    <n v="0"/>
    <n v="0"/>
    <n v="0"/>
    <n v="0"/>
    <n v="0"/>
    <n v="0"/>
    <n v="0"/>
    <n v="0"/>
    <n v="0"/>
    <n v="0"/>
    <n v="0"/>
    <n v="0"/>
    <n v="0"/>
    <n v="0"/>
    <n v="0"/>
    <n v="0"/>
    <n v="0"/>
    <n v="0"/>
    <n v="0"/>
    <n v="0"/>
    <n v="0"/>
    <n v="0"/>
    <n v="0"/>
    <n v="0"/>
    <n v="0"/>
    <n v="0"/>
    <n v="0"/>
    <n v="0"/>
    <n v="0"/>
    <n v="0"/>
    <n v="0"/>
    <n v="0"/>
    <n v="0"/>
    <n v="0"/>
    <n v="0"/>
    <n v="0"/>
    <n v="0"/>
    <n v="0"/>
  </r>
  <r>
    <s v="Lead Production"/>
    <x v="2"/>
    <x v="4"/>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4"/>
    <n v="0"/>
    <n v="0"/>
    <n v="0"/>
    <n v="0"/>
    <n v="0"/>
    <n v="0"/>
    <n v="0"/>
    <n v="0"/>
    <n v="0"/>
    <n v="0"/>
    <n v="0"/>
    <n v="0"/>
    <n v="0"/>
    <n v="0"/>
    <n v="0"/>
    <n v="0"/>
    <n v="0"/>
    <n v="0"/>
    <n v="0"/>
    <n v="0"/>
    <n v="0"/>
    <n v="0"/>
    <n v="0"/>
    <n v="0"/>
    <n v="0"/>
    <n v="0"/>
    <n v="0"/>
    <n v="0"/>
    <n v="0"/>
    <n v="0"/>
    <n v="0"/>
    <n v="0"/>
    <n v="0"/>
    <n v="0"/>
    <n v="0"/>
    <n v="0"/>
    <n v="0"/>
    <n v="0"/>
    <n v="0"/>
    <n v="0"/>
    <n v="0"/>
    <n v="0"/>
    <n v="0"/>
    <n v="0"/>
    <n v="0"/>
  </r>
  <r>
    <s v="Wastewater Treatment (Industrial)"/>
    <x v="6"/>
    <x v="4"/>
    <n v="0"/>
    <n v="0"/>
    <n v="0"/>
    <n v="0"/>
    <n v="0"/>
    <n v="0"/>
    <n v="0"/>
    <n v="0"/>
    <n v="0"/>
    <n v="0"/>
    <n v="0"/>
    <n v="0"/>
    <n v="0"/>
    <n v="0"/>
    <n v="0"/>
    <n v="0"/>
    <n v="0"/>
    <n v="0"/>
    <n v="0"/>
    <n v="0"/>
    <n v="0"/>
    <n v="0"/>
    <n v="0"/>
    <n v="0"/>
    <n v="0"/>
    <n v="0"/>
    <n v="0"/>
    <n v="0"/>
    <n v="0"/>
    <n v="0"/>
    <n v="0"/>
    <n v="0"/>
    <n v="0"/>
    <n v="0"/>
    <n v="0"/>
    <n v="0"/>
    <n v="0"/>
    <n v="0"/>
    <n v="0"/>
    <n v="0"/>
    <n v="0"/>
    <n v="0"/>
    <n v="0"/>
    <n v="0"/>
    <n v="0"/>
  </r>
  <r>
    <s v="Composting"/>
    <x v="6"/>
    <x v="4"/>
    <n v="0"/>
    <n v="0"/>
    <n v="0"/>
    <n v="0"/>
    <n v="0"/>
    <n v="0"/>
    <n v="0"/>
    <n v="0"/>
    <n v="0"/>
    <n v="0"/>
    <n v="0"/>
    <n v="0"/>
    <n v="0"/>
    <n v="0"/>
    <n v="0"/>
    <n v="0"/>
    <n v="0"/>
    <n v="0"/>
    <n v="0"/>
    <n v="0"/>
    <n v="0"/>
    <n v="0"/>
    <n v="0"/>
    <n v="0"/>
    <n v="0"/>
    <n v="0"/>
    <n v="0"/>
    <n v="0"/>
    <n v="0"/>
    <n v="0"/>
    <n v="0"/>
    <n v="0"/>
    <n v="0"/>
    <n v="0"/>
    <n v="0"/>
    <n v="0"/>
    <n v="0"/>
    <n v="0"/>
    <n v="0"/>
    <n v="0"/>
    <n v="0"/>
    <n v="0"/>
    <n v="0"/>
    <n v="0"/>
    <n v="0"/>
  </r>
  <r>
    <s v="N₂O from Product Uses"/>
    <x v="2"/>
    <x v="4"/>
    <n v="0"/>
    <n v="0"/>
    <n v="0"/>
    <n v="0"/>
    <n v="0"/>
    <n v="0"/>
    <n v="0"/>
    <n v="0"/>
    <n v="0"/>
    <n v="0"/>
    <n v="0"/>
    <n v="0"/>
    <n v="0"/>
    <n v="0"/>
    <n v="0"/>
    <n v="0"/>
    <n v="0"/>
    <n v="0"/>
    <n v="0"/>
    <n v="0"/>
    <n v="0"/>
    <n v="0"/>
    <n v="0"/>
    <n v="0"/>
    <n v="0"/>
    <n v="0"/>
    <n v="0"/>
    <n v="0"/>
    <n v="0"/>
    <n v="0"/>
    <n v="0"/>
    <n v="0"/>
    <n v="0"/>
    <n v="0"/>
    <n v="0"/>
    <n v="0"/>
    <n v="0"/>
    <n v="0"/>
    <n v="0"/>
    <n v="0"/>
    <n v="0"/>
    <n v="0"/>
    <n v="0"/>
    <n v="0"/>
    <n v="0"/>
  </r>
  <r>
    <s v="Other Process Uses of Carbonates"/>
    <x v="3"/>
    <x v="4"/>
    <n v="0"/>
    <n v="0"/>
    <n v="0"/>
    <n v="0"/>
    <n v="0"/>
    <n v="0"/>
    <n v="0"/>
    <n v="0"/>
    <n v="0"/>
    <n v="0"/>
    <n v="0"/>
    <n v="0"/>
    <n v="0"/>
    <n v="0"/>
    <n v="0"/>
    <n v="0"/>
    <n v="0"/>
    <n v="0"/>
    <n v="0"/>
    <n v="0"/>
    <n v="0"/>
    <n v="0"/>
    <n v="0"/>
    <n v="0"/>
    <n v="0"/>
    <n v="0"/>
    <n v="0"/>
    <n v="0"/>
    <n v="0"/>
    <n v="0"/>
    <n v="0"/>
    <n v="0"/>
    <n v="0"/>
    <n v="0"/>
    <n v="0"/>
    <n v="0"/>
    <n v="0"/>
    <n v="0"/>
    <n v="0"/>
    <n v="0"/>
    <n v="0"/>
    <n v="0"/>
    <n v="0"/>
    <n v="0"/>
    <n v="0"/>
  </r>
  <r>
    <s v="Urea Fertilization"/>
    <x v="2"/>
    <x v="4"/>
    <n v="0"/>
    <n v="0"/>
    <n v="0"/>
    <n v="0"/>
    <n v="0"/>
    <n v="0"/>
    <n v="0"/>
    <n v="0"/>
    <n v="0"/>
    <n v="0"/>
    <n v="0"/>
    <n v="0"/>
    <n v="0"/>
    <n v="0"/>
    <n v="0"/>
    <n v="0"/>
    <n v="0"/>
    <n v="0"/>
    <n v="0"/>
    <n v="0"/>
    <n v="0"/>
    <n v="0"/>
    <n v="0"/>
    <n v="0"/>
    <n v="0"/>
    <n v="0"/>
    <n v="0"/>
    <n v="0"/>
    <n v="0"/>
    <n v="0"/>
    <n v="0"/>
    <n v="0"/>
    <n v="0"/>
    <n v="0"/>
    <n v="0"/>
    <n v="0"/>
    <n v="0"/>
    <n v="0"/>
    <n v="0"/>
    <n v="0"/>
    <n v="0"/>
    <n v="0"/>
    <n v="0"/>
    <n v="0"/>
    <n v="0"/>
  </r>
  <r>
    <s v="Incineration of Waste"/>
    <x v="7"/>
    <x v="4"/>
    <n v="0"/>
    <n v="0"/>
    <n v="0"/>
    <n v="0"/>
    <n v="0"/>
    <n v="0"/>
    <n v="0"/>
    <n v="0"/>
    <n v="0"/>
    <n v="0"/>
    <n v="0"/>
    <n v="0"/>
    <n v="0"/>
    <n v="0"/>
    <n v="0"/>
    <n v="0"/>
    <n v="0"/>
    <n v="0"/>
    <n v="0"/>
    <n v="0"/>
    <n v="0"/>
    <n v="0"/>
    <n v="0"/>
    <n v="0"/>
    <n v="0"/>
    <n v="0"/>
    <n v="0"/>
    <n v="0"/>
    <n v="0"/>
    <n v="0"/>
    <n v="0"/>
    <n v="0"/>
    <n v="0"/>
    <n v="0"/>
    <n v="0"/>
    <n v="0"/>
    <n v="0"/>
    <n v="0"/>
    <n v="0"/>
    <n v="0"/>
    <n v="0"/>
    <n v="0"/>
    <n v="0"/>
    <n v="0"/>
    <n v="0"/>
  </r>
  <r>
    <s v="Liming"/>
    <x v="2"/>
    <x v="4"/>
    <n v="0"/>
    <n v="0"/>
    <n v="0"/>
    <n v="0"/>
    <n v="0"/>
    <n v="0"/>
    <n v="0"/>
    <n v="0"/>
    <n v="0"/>
    <n v="0"/>
    <n v="0"/>
    <n v="0"/>
    <n v="0"/>
    <n v="0"/>
    <n v="0"/>
    <n v="0"/>
    <n v="0"/>
    <n v="0"/>
    <n v="0"/>
    <n v="0"/>
    <n v="0"/>
    <n v="0"/>
    <n v="0"/>
    <n v="0"/>
    <n v="0"/>
    <n v="0"/>
    <n v="0"/>
    <n v="0"/>
    <n v="0"/>
    <n v="0"/>
    <n v="0"/>
    <n v="0"/>
    <n v="0"/>
    <n v="0"/>
    <n v="0"/>
    <n v="0"/>
    <n v="0"/>
    <n v="0"/>
    <n v="0"/>
    <n v="0"/>
    <n v="0"/>
    <n v="0"/>
    <n v="0"/>
    <n v="0"/>
    <n v="0"/>
  </r>
  <r>
    <s v="Glass Production"/>
    <x v="2"/>
    <x v="4"/>
    <n v="0"/>
    <n v="0"/>
    <n v="0"/>
    <n v="0"/>
    <n v="0"/>
    <n v="0"/>
    <n v="0"/>
    <n v="0"/>
    <n v="0"/>
    <n v="0"/>
    <n v="0"/>
    <n v="0"/>
    <n v="0"/>
    <n v="0"/>
    <n v="0"/>
    <n v="0"/>
    <n v="0"/>
    <n v="0"/>
    <n v="0"/>
    <n v="0"/>
    <n v="0"/>
    <n v="0"/>
    <n v="0"/>
    <n v="0"/>
    <n v="0"/>
    <n v="0"/>
    <n v="0"/>
    <n v="0"/>
    <n v="0"/>
    <n v="0"/>
    <n v="0"/>
    <n v="0"/>
    <n v="0"/>
    <n v="0"/>
    <n v="0"/>
    <n v="0"/>
    <n v="0"/>
    <n v="0"/>
    <n v="0"/>
    <n v="0"/>
    <n v="0"/>
    <n v="0"/>
    <n v="0"/>
    <n v="0"/>
    <n v="0"/>
  </r>
  <r>
    <s v="Abandoned Underground Coal Mines"/>
    <x v="0"/>
    <x v="5"/>
    <n v="0"/>
    <n v="0"/>
    <n v="0"/>
    <n v="0"/>
    <n v="0"/>
    <n v="0"/>
    <n v="0"/>
    <n v="0"/>
    <n v="0"/>
    <n v="0"/>
    <n v="0"/>
    <n v="0"/>
    <n v="0"/>
    <n v="0"/>
    <n v="0"/>
    <n v="0"/>
    <n v="0"/>
    <n v="0"/>
    <n v="0"/>
    <n v="0"/>
    <n v="0"/>
    <n v="0"/>
    <n v="0"/>
    <n v="0"/>
    <n v="0"/>
    <n v="0"/>
    <n v="0"/>
    <n v="0"/>
    <n v="0"/>
    <n v="0"/>
    <n v="0"/>
    <n v="0"/>
    <n v="0"/>
    <n v="0"/>
    <n v="0"/>
    <n v="0"/>
    <n v="0"/>
    <n v="0"/>
    <n v="0"/>
    <n v="0"/>
    <n v="0"/>
    <n v="0"/>
    <n v="0"/>
    <n v="0"/>
    <n v="0"/>
  </r>
  <r>
    <s v="Nitric Acid Production"/>
    <x v="1"/>
    <x v="5"/>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5"/>
    <n v="0"/>
    <n v="0"/>
    <n v="0"/>
    <n v="0"/>
    <n v="0"/>
    <n v="0"/>
    <n v="0"/>
    <n v="0"/>
    <n v="0"/>
    <n v="0"/>
    <n v="0"/>
    <n v="0"/>
    <n v="0"/>
    <n v="0"/>
    <n v="0"/>
    <n v="0"/>
    <n v="0"/>
    <n v="0"/>
    <n v="0"/>
    <n v="0"/>
    <n v="0"/>
    <n v="0"/>
    <n v="0"/>
    <n v="0"/>
    <n v="0"/>
    <n v="0"/>
    <n v="0"/>
    <n v="0"/>
    <n v="0"/>
    <n v="0"/>
    <n v="0"/>
    <n v="0"/>
    <n v="0"/>
    <n v="0"/>
    <n v="0"/>
    <n v="0"/>
    <n v="0"/>
    <n v="0"/>
    <n v="0"/>
    <n v="0"/>
    <n v="0"/>
    <n v="0"/>
    <n v="0"/>
    <n v="0"/>
    <n v="0"/>
  </r>
  <r>
    <s v="Ferroalloy Production"/>
    <x v="2"/>
    <x v="5"/>
    <n v="0"/>
    <n v="0"/>
    <n v="0"/>
    <n v="0"/>
    <n v="0"/>
    <n v="0"/>
    <n v="0"/>
    <n v="0"/>
    <n v="0"/>
    <n v="0"/>
    <n v="0"/>
    <n v="0"/>
    <n v="0"/>
    <n v="0"/>
    <n v="0"/>
    <n v="0"/>
    <n v="0"/>
    <n v="0"/>
    <n v="0"/>
    <n v="0"/>
    <n v="0"/>
    <n v="0"/>
    <n v="0"/>
    <n v="0"/>
    <n v="0"/>
    <n v="0"/>
    <n v="0"/>
    <n v="0"/>
    <n v="0"/>
    <n v="0"/>
    <n v="0"/>
    <n v="0"/>
    <n v="0"/>
    <n v="0"/>
    <n v="0"/>
    <n v="0"/>
    <n v="0"/>
    <n v="0"/>
    <n v="0"/>
    <n v="0"/>
    <n v="0"/>
    <n v="0"/>
    <n v="0"/>
    <n v="0"/>
    <n v="0"/>
  </r>
  <r>
    <s v="Lime Production"/>
    <x v="3"/>
    <x v="5"/>
    <n v="0"/>
    <n v="0"/>
    <n v="0"/>
    <n v="0"/>
    <n v="0"/>
    <n v="0"/>
    <n v="0"/>
    <n v="0"/>
    <n v="0"/>
    <n v="0"/>
    <n v="0"/>
    <n v="0"/>
    <n v="0"/>
    <n v="0"/>
    <n v="0"/>
    <n v="0"/>
    <n v="0"/>
    <n v="0"/>
    <n v="0"/>
    <n v="0"/>
    <n v="0"/>
    <n v="0"/>
    <n v="0"/>
    <n v="0"/>
    <n v="0"/>
    <n v="0"/>
    <n v="0"/>
    <n v="0"/>
    <n v="0"/>
    <n v="0"/>
    <n v="0"/>
    <n v="0"/>
    <n v="0"/>
    <n v="0"/>
    <n v="0"/>
    <n v="0"/>
    <n v="0"/>
    <n v="0"/>
    <n v="0"/>
    <n v="0"/>
    <n v="0"/>
    <n v="0"/>
    <n v="0"/>
    <n v="0"/>
    <n v="0"/>
  </r>
  <r>
    <s v="Limestone and Dolomite Use"/>
    <x v="3"/>
    <x v="5"/>
    <n v="0"/>
    <n v="0"/>
    <n v="0"/>
    <n v="0"/>
    <n v="0"/>
    <n v="0"/>
    <n v="0"/>
    <n v="0"/>
    <n v="0"/>
    <n v="0"/>
    <n v="0"/>
    <n v="0"/>
    <n v="0"/>
    <n v="0"/>
    <n v="0"/>
    <n v="0"/>
    <n v="0"/>
    <n v="0"/>
    <n v="0"/>
    <n v="0"/>
    <n v="0"/>
    <n v="0"/>
    <n v="0"/>
    <n v="0"/>
    <n v="0"/>
    <n v="0"/>
    <n v="0"/>
    <n v="0"/>
    <n v="0"/>
    <n v="0"/>
    <n v="0"/>
    <n v="0"/>
    <n v="0"/>
    <n v="0"/>
    <n v="0"/>
    <n v="0"/>
    <n v="0"/>
    <n v="0"/>
    <n v="0"/>
    <n v="0"/>
    <n v="0"/>
    <n v="0"/>
    <n v="0"/>
    <n v="0"/>
    <n v="0"/>
  </r>
  <r>
    <s v="Ammonia Production"/>
    <x v="1"/>
    <x v="5"/>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5"/>
    <n v="0"/>
    <n v="0"/>
    <n v="0"/>
    <n v="0"/>
    <n v="0"/>
    <n v="0"/>
    <n v="0"/>
    <n v="0"/>
    <n v="0"/>
    <n v="0"/>
    <n v="0"/>
    <n v="0"/>
    <n v="0"/>
    <n v="0"/>
    <n v="0"/>
    <n v="0"/>
    <n v="0"/>
    <n v="0"/>
    <n v="0"/>
    <n v="0"/>
    <n v="0"/>
    <n v="0"/>
    <n v="0"/>
    <n v="0"/>
    <n v="0"/>
    <n v="0"/>
    <n v="0"/>
    <n v="0"/>
    <n v="0"/>
    <n v="0"/>
    <n v="0"/>
    <n v="0"/>
    <n v="0"/>
    <n v="0"/>
    <n v="0"/>
    <n v="0"/>
    <n v="0"/>
    <n v="0"/>
    <n v="0"/>
    <n v="0"/>
    <n v="0"/>
    <n v="0"/>
    <n v="0"/>
    <n v="0"/>
    <n v="0"/>
  </r>
  <r>
    <s v="Soda Ash Production and Consumption"/>
    <x v="1"/>
    <x v="5"/>
    <n v="0"/>
    <n v="0"/>
    <n v="0"/>
    <n v="0"/>
    <n v="0"/>
    <n v="0"/>
    <n v="0"/>
    <n v="0"/>
    <n v="0"/>
    <n v="0"/>
    <n v="0"/>
    <n v="0"/>
    <n v="0"/>
    <n v="0"/>
    <n v="0"/>
    <n v="0"/>
    <n v="0"/>
    <n v="0"/>
    <n v="0"/>
    <n v="0"/>
    <n v="0"/>
    <n v="0"/>
    <n v="0"/>
    <n v="0"/>
    <n v="0"/>
    <n v="0"/>
    <n v="0"/>
    <n v="0"/>
    <n v="0"/>
    <n v="0"/>
    <n v="0"/>
    <n v="0"/>
    <n v="0"/>
    <n v="0"/>
    <n v="0"/>
    <n v="0"/>
    <n v="0"/>
    <n v="0"/>
    <n v="0"/>
    <n v="0"/>
    <n v="0"/>
    <n v="0"/>
    <n v="0"/>
    <n v="0"/>
    <n v="0"/>
  </r>
  <r>
    <s v="Petrochemical Production"/>
    <x v="4"/>
    <x v="5"/>
    <n v="0"/>
    <n v="0"/>
    <n v="0"/>
    <n v="0"/>
    <n v="0"/>
    <n v="0"/>
    <n v="0"/>
    <n v="0"/>
    <n v="0"/>
    <n v="0"/>
    <n v="0"/>
    <n v="0"/>
    <n v="0"/>
    <n v="0"/>
    <n v="0"/>
    <n v="0"/>
    <n v="0"/>
    <n v="0"/>
    <n v="0"/>
    <n v="0"/>
    <n v="0"/>
    <n v="0"/>
    <n v="0"/>
    <n v="0"/>
    <n v="0"/>
    <n v="0"/>
    <n v="0"/>
    <n v="0"/>
    <n v="0"/>
    <n v="0"/>
    <n v="0"/>
    <n v="0"/>
    <n v="0"/>
    <n v="0"/>
    <n v="0"/>
    <n v="0"/>
    <n v="0"/>
    <n v="0"/>
    <n v="0"/>
    <n v="0"/>
    <n v="0"/>
    <n v="0"/>
    <n v="0"/>
    <n v="0"/>
    <n v="0"/>
  </r>
  <r>
    <s v="Carbon Dioxide Consumption"/>
    <x v="2"/>
    <x v="5"/>
    <n v="0"/>
    <n v="0"/>
    <n v="0"/>
    <n v="0"/>
    <n v="0"/>
    <n v="0"/>
    <n v="0"/>
    <n v="0"/>
    <n v="0"/>
    <n v="0"/>
    <n v="0"/>
    <n v="0"/>
    <n v="0"/>
    <n v="0"/>
    <n v="0"/>
    <n v="0"/>
    <n v="0"/>
    <n v="0"/>
    <n v="0"/>
    <n v="0"/>
    <n v="0"/>
    <n v="0"/>
    <n v="0"/>
    <n v="0"/>
    <n v="0"/>
    <n v="0"/>
    <n v="0"/>
    <n v="0"/>
    <n v="0"/>
    <n v="0"/>
    <n v="0"/>
    <n v="0"/>
    <n v="0"/>
    <n v="0"/>
    <n v="0"/>
    <n v="0"/>
    <n v="0"/>
    <n v="0"/>
    <n v="0"/>
    <n v="0"/>
    <n v="0"/>
    <n v="0"/>
    <n v="0"/>
    <n v="0"/>
    <n v="0"/>
  </r>
  <r>
    <s v="Titanium Dioxide Production"/>
    <x v="2"/>
    <x v="5"/>
    <n v="0"/>
    <n v="0"/>
    <n v="0"/>
    <n v="0"/>
    <n v="0"/>
    <n v="0"/>
    <n v="0"/>
    <n v="0"/>
    <n v="0"/>
    <n v="0"/>
    <n v="0"/>
    <n v="0"/>
    <n v="0"/>
    <n v="0"/>
    <n v="0"/>
    <n v="0"/>
    <n v="0"/>
    <n v="0"/>
    <n v="0"/>
    <n v="0"/>
    <n v="0"/>
    <n v="0"/>
    <n v="0"/>
    <n v="0"/>
    <n v="0"/>
    <n v="0"/>
    <n v="0"/>
    <n v="0"/>
    <n v="0"/>
    <n v="0"/>
    <n v="0"/>
    <n v="0"/>
    <n v="0"/>
    <n v="0"/>
    <n v="0"/>
    <n v="0"/>
    <n v="0"/>
    <n v="0"/>
    <n v="0"/>
    <n v="0"/>
    <n v="0"/>
    <n v="0"/>
    <n v="0"/>
    <n v="0"/>
    <n v="0"/>
  </r>
  <r>
    <s v="Zinc Production"/>
    <x v="2"/>
    <x v="5"/>
    <n v="0"/>
    <n v="0"/>
    <n v="0"/>
    <n v="0"/>
    <n v="0"/>
    <n v="0"/>
    <n v="0"/>
    <n v="0"/>
    <n v="0"/>
    <n v="0"/>
    <n v="0"/>
    <n v="0"/>
    <n v="0"/>
    <n v="0"/>
    <n v="0"/>
    <n v="0"/>
    <n v="0"/>
    <n v="0"/>
    <n v="0"/>
    <n v="0"/>
    <n v="0"/>
    <n v="0"/>
    <n v="0"/>
    <n v="0"/>
    <n v="0"/>
    <n v="0"/>
    <n v="0"/>
    <n v="0"/>
    <n v="0"/>
    <n v="0"/>
    <n v="0"/>
    <n v="0"/>
    <n v="0"/>
    <n v="0"/>
    <n v="0"/>
    <n v="0"/>
    <n v="0"/>
    <n v="0"/>
    <n v="0"/>
    <n v="0"/>
    <n v="0"/>
    <n v="0"/>
    <n v="0"/>
    <n v="0"/>
    <n v="0"/>
  </r>
  <r>
    <s v="Phosphoric Acid Production"/>
    <x v="1"/>
    <x v="5"/>
    <n v="0"/>
    <n v="0"/>
    <n v="0"/>
    <n v="0"/>
    <n v="0"/>
    <n v="0"/>
    <n v="0"/>
    <n v="0"/>
    <n v="0"/>
    <n v="0"/>
    <n v="0"/>
    <n v="0"/>
    <n v="0"/>
    <n v="0"/>
    <n v="0"/>
    <n v="0"/>
    <n v="0"/>
    <n v="0"/>
    <n v="0"/>
    <n v="0"/>
    <n v="0"/>
    <n v="0"/>
    <n v="0"/>
    <n v="0"/>
    <n v="0"/>
    <n v="0"/>
    <n v="0"/>
    <n v="0"/>
    <n v="0"/>
    <n v="0"/>
    <n v="0"/>
    <n v="0"/>
    <n v="0"/>
    <n v="0"/>
    <n v="0"/>
    <n v="0"/>
    <n v="0"/>
    <n v="0"/>
    <n v="0"/>
    <n v="0"/>
    <n v="0"/>
    <n v="0"/>
    <n v="0"/>
    <n v="0"/>
    <n v="0"/>
  </r>
  <r>
    <s v="Lead Production"/>
    <x v="2"/>
    <x v="5"/>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5"/>
    <n v="0"/>
    <n v="0"/>
    <n v="0"/>
    <n v="0"/>
    <n v="0"/>
    <n v="0"/>
    <n v="0"/>
    <n v="0"/>
    <n v="0"/>
    <n v="0"/>
    <n v="0"/>
    <n v="0"/>
    <n v="0"/>
    <n v="0"/>
    <n v="0"/>
    <n v="0"/>
    <n v="0"/>
    <n v="0"/>
    <n v="0"/>
    <n v="0"/>
    <n v="0"/>
    <n v="0"/>
    <n v="0"/>
    <n v="0"/>
    <n v="0"/>
    <n v="0"/>
    <n v="0"/>
    <n v="0"/>
    <n v="0"/>
    <n v="0"/>
    <n v="0"/>
    <n v="0"/>
    <n v="0"/>
    <n v="0"/>
    <n v="0"/>
    <n v="0"/>
    <n v="0"/>
    <n v="0"/>
    <n v="0"/>
    <n v="0"/>
    <n v="0"/>
    <n v="0"/>
    <n v="0"/>
    <n v="0"/>
    <n v="0"/>
  </r>
  <r>
    <s v="Wastewater Treatment (Industrial)"/>
    <x v="6"/>
    <x v="5"/>
    <n v="0"/>
    <n v="0"/>
    <n v="0"/>
    <n v="0"/>
    <n v="0"/>
    <n v="0"/>
    <n v="0"/>
    <n v="0"/>
    <n v="0"/>
    <n v="0"/>
    <n v="0"/>
    <n v="0"/>
    <n v="0"/>
    <n v="0"/>
    <n v="0"/>
    <n v="0"/>
    <n v="0"/>
    <n v="0"/>
    <n v="0"/>
    <n v="0"/>
    <n v="0"/>
    <n v="0"/>
    <n v="0"/>
    <n v="0"/>
    <n v="0"/>
    <n v="0"/>
    <n v="0"/>
    <n v="0"/>
    <n v="0"/>
    <n v="0"/>
    <n v="0"/>
    <n v="0"/>
    <n v="0"/>
    <n v="0"/>
    <n v="0"/>
    <n v="0"/>
    <n v="0"/>
    <n v="0"/>
    <n v="0"/>
    <n v="0"/>
    <n v="0"/>
    <n v="0"/>
    <n v="0"/>
    <n v="0"/>
    <n v="0"/>
  </r>
  <r>
    <s v="Composting"/>
    <x v="6"/>
    <x v="5"/>
    <n v="0"/>
    <n v="0"/>
    <n v="0"/>
    <n v="0"/>
    <n v="0"/>
    <n v="0"/>
    <n v="0"/>
    <n v="0"/>
    <n v="0"/>
    <n v="0"/>
    <n v="0"/>
    <n v="0"/>
    <n v="0"/>
    <n v="0"/>
    <n v="0"/>
    <n v="0"/>
    <n v="0"/>
    <n v="0"/>
    <n v="0"/>
    <n v="0"/>
    <n v="0"/>
    <n v="0"/>
    <n v="0"/>
    <n v="0"/>
    <n v="0"/>
    <n v="0"/>
    <n v="0"/>
    <n v="0"/>
    <n v="0"/>
    <n v="0"/>
    <n v="0"/>
    <n v="0"/>
    <n v="0"/>
    <n v="0"/>
    <n v="0"/>
    <n v="0"/>
    <n v="0"/>
    <n v="0"/>
    <n v="0"/>
    <n v="0"/>
    <n v="0"/>
    <n v="0"/>
    <n v="0"/>
    <n v="0"/>
    <n v="0"/>
  </r>
  <r>
    <s v="N₂O from Product Uses"/>
    <x v="2"/>
    <x v="5"/>
    <n v="0"/>
    <n v="0"/>
    <n v="0"/>
    <n v="0"/>
    <n v="0"/>
    <n v="0"/>
    <n v="0"/>
    <n v="0"/>
    <n v="0"/>
    <n v="0"/>
    <n v="0"/>
    <n v="0"/>
    <n v="0"/>
    <n v="0"/>
    <n v="0"/>
    <n v="0"/>
    <n v="0"/>
    <n v="0"/>
    <n v="0"/>
    <n v="0"/>
    <n v="0"/>
    <n v="0"/>
    <n v="0"/>
    <n v="0"/>
    <n v="0"/>
    <n v="0"/>
    <n v="0"/>
    <n v="0"/>
    <n v="0"/>
    <n v="0"/>
    <n v="0"/>
    <n v="0"/>
    <n v="0"/>
    <n v="0"/>
    <n v="0"/>
    <n v="0"/>
    <n v="0"/>
    <n v="0"/>
    <n v="0"/>
    <n v="0"/>
    <n v="0"/>
    <n v="0"/>
    <n v="0"/>
    <n v="0"/>
    <n v="0"/>
  </r>
  <r>
    <s v="Other Process Uses of Carbonates"/>
    <x v="3"/>
    <x v="5"/>
    <n v="0"/>
    <n v="0"/>
    <n v="0"/>
    <n v="0"/>
    <n v="0"/>
    <n v="0"/>
    <n v="0"/>
    <n v="0"/>
    <n v="0"/>
    <n v="0"/>
    <n v="0"/>
    <n v="0"/>
    <n v="0"/>
    <n v="0"/>
    <n v="0"/>
    <n v="0"/>
    <n v="0"/>
    <n v="0"/>
    <n v="0"/>
    <n v="0"/>
    <n v="0"/>
    <n v="0"/>
    <n v="0"/>
    <n v="0"/>
    <n v="0"/>
    <n v="0"/>
    <n v="0"/>
    <n v="0"/>
    <n v="0"/>
    <n v="0"/>
    <n v="0"/>
    <n v="0"/>
    <n v="0"/>
    <n v="0"/>
    <n v="0"/>
    <n v="0"/>
    <n v="0"/>
    <n v="0"/>
    <n v="0"/>
    <n v="0"/>
    <n v="0"/>
    <n v="0"/>
    <n v="0"/>
    <n v="0"/>
    <n v="0"/>
  </r>
  <r>
    <s v="Urea Fertilization"/>
    <x v="2"/>
    <x v="5"/>
    <n v="0"/>
    <n v="0"/>
    <n v="0"/>
    <n v="0"/>
    <n v="0"/>
    <n v="0"/>
    <n v="0"/>
    <n v="0"/>
    <n v="0"/>
    <n v="0"/>
    <n v="0"/>
    <n v="0"/>
    <n v="0"/>
    <n v="0"/>
    <n v="0"/>
    <n v="0"/>
    <n v="0"/>
    <n v="0"/>
    <n v="0"/>
    <n v="0"/>
    <n v="0"/>
    <n v="0"/>
    <n v="0"/>
    <n v="0"/>
    <n v="0"/>
    <n v="0"/>
    <n v="0"/>
    <n v="0"/>
    <n v="0"/>
    <n v="0"/>
    <n v="0"/>
    <n v="0"/>
    <n v="0"/>
    <n v="0"/>
    <n v="0"/>
    <n v="0"/>
    <n v="0"/>
    <n v="0"/>
    <n v="0"/>
    <n v="0"/>
    <n v="0"/>
    <n v="0"/>
    <n v="0"/>
    <n v="0"/>
    <n v="0"/>
  </r>
  <r>
    <s v="Incineration of Waste"/>
    <x v="7"/>
    <x v="5"/>
    <n v="0"/>
    <n v="0"/>
    <n v="0"/>
    <n v="0"/>
    <n v="0"/>
    <n v="0"/>
    <n v="0"/>
    <n v="0"/>
    <n v="0"/>
    <n v="0"/>
    <n v="0"/>
    <n v="0"/>
    <n v="0"/>
    <n v="0"/>
    <n v="0"/>
    <n v="0"/>
    <n v="0"/>
    <n v="0"/>
    <n v="0"/>
    <n v="0"/>
    <n v="0"/>
    <n v="0"/>
    <n v="0"/>
    <n v="0"/>
    <n v="0"/>
    <n v="0"/>
    <n v="0"/>
    <n v="0"/>
    <n v="0"/>
    <n v="0"/>
    <n v="0"/>
    <n v="0"/>
    <n v="0"/>
    <n v="0"/>
    <n v="0"/>
    <n v="0"/>
    <n v="0"/>
    <n v="0"/>
    <n v="0"/>
    <n v="0"/>
    <n v="0"/>
    <n v="0"/>
    <n v="0"/>
    <n v="0"/>
    <n v="0"/>
  </r>
  <r>
    <s v="Liming"/>
    <x v="2"/>
    <x v="5"/>
    <n v="0"/>
    <n v="0"/>
    <n v="0"/>
    <n v="0"/>
    <n v="0"/>
    <n v="0"/>
    <n v="0"/>
    <n v="0"/>
    <n v="0"/>
    <n v="0"/>
    <n v="0"/>
    <n v="0"/>
    <n v="0"/>
    <n v="0"/>
    <n v="0"/>
    <n v="0"/>
    <n v="0"/>
    <n v="0"/>
    <n v="0"/>
    <n v="0"/>
    <n v="0"/>
    <n v="0"/>
    <n v="0"/>
    <n v="0"/>
    <n v="0"/>
    <n v="0"/>
    <n v="0"/>
    <n v="0"/>
    <n v="0"/>
    <n v="0"/>
    <n v="0"/>
    <n v="0"/>
    <n v="0"/>
    <n v="0"/>
    <n v="0"/>
    <n v="0"/>
    <n v="0"/>
    <n v="0"/>
    <n v="0"/>
    <n v="0"/>
    <n v="0"/>
    <n v="0"/>
    <n v="0"/>
    <n v="0"/>
    <n v="0"/>
  </r>
  <r>
    <s v="Abandoned Underground Coal Mines"/>
    <x v="0"/>
    <x v="6"/>
    <n v="0"/>
    <n v="0"/>
    <n v="0"/>
    <n v="0"/>
    <n v="0"/>
    <n v="0"/>
    <n v="0"/>
    <n v="0"/>
    <n v="0"/>
    <n v="0"/>
    <n v="0"/>
    <n v="0"/>
    <n v="0"/>
    <n v="0"/>
    <n v="0"/>
    <n v="0"/>
    <n v="0"/>
    <n v="0"/>
    <n v="0"/>
    <n v="0"/>
    <n v="0"/>
    <n v="0"/>
    <n v="0"/>
    <n v="0"/>
    <n v="0"/>
    <n v="0"/>
    <n v="0"/>
    <n v="0"/>
    <n v="0"/>
    <n v="0"/>
    <n v="0"/>
    <n v="0"/>
    <n v="0"/>
    <n v="0"/>
    <n v="0"/>
    <n v="0"/>
    <n v="0"/>
    <n v="0"/>
    <n v="0"/>
    <n v="0"/>
    <n v="0"/>
    <n v="0"/>
    <n v="0"/>
    <n v="0"/>
    <n v="0"/>
  </r>
  <r>
    <s v="Nitric Acid Production"/>
    <x v="1"/>
    <x v="6"/>
    <n v="0"/>
    <n v="0"/>
    <n v="0"/>
    <n v="0"/>
    <n v="0"/>
    <n v="0"/>
    <n v="0"/>
    <n v="0"/>
    <n v="0"/>
    <n v="0"/>
    <n v="0"/>
    <n v="0"/>
    <n v="0"/>
    <n v="0"/>
    <n v="0"/>
    <n v="0"/>
    <n v="0"/>
    <n v="0"/>
    <n v="0"/>
    <n v="0"/>
    <n v="0"/>
    <n v="0"/>
    <n v="0"/>
    <n v="0"/>
    <n v="0"/>
    <n v="0"/>
    <n v="0"/>
    <n v="0"/>
    <n v="0"/>
    <n v="0"/>
    <n v="0"/>
    <n v="0"/>
    <n v="0"/>
    <n v="0"/>
    <n v="0"/>
    <n v="0"/>
    <n v="0"/>
    <n v="0"/>
    <n v="0"/>
    <n v="0"/>
    <n v="0"/>
    <n v="0"/>
    <n v="0"/>
    <n v="0"/>
    <n v="0"/>
  </r>
  <r>
    <s v="Silicon Carbide Production and Consumption"/>
    <x v="2"/>
    <x v="6"/>
    <n v="0"/>
    <n v="0"/>
    <n v="0"/>
    <n v="0"/>
    <n v="0"/>
    <n v="0"/>
    <n v="0"/>
    <n v="0"/>
    <n v="0"/>
    <n v="0"/>
    <n v="0"/>
    <n v="0"/>
    <n v="0"/>
    <n v="0"/>
    <n v="0"/>
    <n v="0"/>
    <n v="0"/>
    <n v="0"/>
    <n v="0"/>
    <n v="0"/>
    <n v="0"/>
    <n v="0"/>
    <n v="0"/>
    <n v="0"/>
    <n v="0"/>
    <n v="0"/>
    <n v="0"/>
    <n v="0"/>
    <n v="0"/>
    <n v="0"/>
    <n v="0"/>
    <n v="0"/>
    <n v="0"/>
    <n v="0"/>
    <n v="0"/>
    <n v="0"/>
    <n v="0"/>
    <n v="0"/>
    <n v="0"/>
    <n v="0"/>
    <n v="0"/>
    <n v="0"/>
    <n v="0"/>
    <n v="0"/>
    <n v="0"/>
  </r>
  <r>
    <s v="Ferroalloy Production"/>
    <x v="2"/>
    <x v="6"/>
    <n v="0"/>
    <n v="0"/>
    <n v="0"/>
    <n v="0"/>
    <n v="0"/>
    <n v="0"/>
    <n v="0"/>
    <n v="0"/>
    <n v="0"/>
    <n v="0"/>
    <n v="0"/>
    <n v="0"/>
    <n v="0"/>
    <n v="0"/>
    <n v="0"/>
    <n v="0"/>
    <n v="0"/>
    <n v="0"/>
    <n v="0"/>
    <n v="0"/>
    <n v="0"/>
    <n v="0"/>
    <n v="0"/>
    <n v="0"/>
    <n v="0"/>
    <n v="0"/>
    <n v="0"/>
    <n v="0"/>
    <n v="0"/>
    <n v="0"/>
    <n v="0"/>
    <n v="0"/>
    <n v="0"/>
    <n v="0"/>
    <n v="0"/>
    <n v="0"/>
    <n v="0"/>
    <n v="0"/>
    <n v="0"/>
    <n v="0"/>
    <n v="0"/>
    <n v="0"/>
    <n v="0"/>
    <n v="0"/>
    <n v="0"/>
  </r>
  <r>
    <s v="Lime Production"/>
    <x v="3"/>
    <x v="6"/>
    <n v="0"/>
    <n v="0"/>
    <n v="0"/>
    <n v="0"/>
    <n v="0"/>
    <n v="0"/>
    <n v="0"/>
    <n v="0"/>
    <n v="0"/>
    <n v="0"/>
    <n v="0"/>
    <n v="0"/>
    <n v="0"/>
    <n v="0"/>
    <n v="0"/>
    <n v="0"/>
    <n v="0"/>
    <n v="0"/>
    <n v="0"/>
    <n v="0"/>
    <n v="0"/>
    <n v="0"/>
    <n v="0"/>
    <n v="0"/>
    <n v="0"/>
    <n v="0"/>
    <n v="0"/>
    <n v="0"/>
    <n v="0"/>
    <n v="0"/>
    <n v="0"/>
    <n v="0"/>
    <n v="0"/>
    <n v="0"/>
    <n v="0"/>
    <n v="0"/>
    <n v="0"/>
    <n v="0"/>
    <n v="0"/>
    <n v="0"/>
    <n v="0"/>
    <n v="0"/>
    <n v="0"/>
    <n v="0"/>
    <n v="0"/>
  </r>
  <r>
    <s v="Limestone and Dolomite Use"/>
    <x v="3"/>
    <x v="6"/>
    <n v="0"/>
    <n v="0"/>
    <n v="0"/>
    <n v="0"/>
    <n v="0"/>
    <n v="0"/>
    <n v="0"/>
    <n v="0"/>
    <n v="0"/>
    <n v="0"/>
    <n v="0"/>
    <n v="0"/>
    <n v="0"/>
    <n v="0"/>
    <n v="0"/>
    <n v="0"/>
    <n v="0"/>
    <n v="0"/>
    <n v="0"/>
    <n v="0"/>
    <n v="0"/>
    <n v="0"/>
    <n v="0"/>
    <n v="0"/>
    <n v="0"/>
    <n v="0"/>
    <n v="0"/>
    <n v="0"/>
    <n v="0"/>
    <n v="0"/>
    <n v="0"/>
    <n v="0"/>
    <n v="0"/>
    <n v="0"/>
    <n v="0"/>
    <n v="0"/>
    <n v="0"/>
    <n v="0"/>
    <n v="0"/>
    <n v="0"/>
    <n v="0"/>
    <n v="0"/>
    <n v="0"/>
    <n v="0"/>
    <n v="0"/>
  </r>
  <r>
    <s v="Ammonia Production"/>
    <x v="1"/>
    <x v="6"/>
    <n v="0"/>
    <n v="0"/>
    <n v="0"/>
    <n v="0"/>
    <n v="0"/>
    <n v="0"/>
    <n v="0"/>
    <n v="0"/>
    <n v="0"/>
    <n v="0"/>
    <n v="0"/>
    <n v="0"/>
    <n v="0"/>
    <n v="0"/>
    <n v="0"/>
    <n v="0"/>
    <n v="0"/>
    <n v="0"/>
    <n v="0"/>
    <n v="0"/>
    <n v="0"/>
    <n v="0"/>
    <n v="0"/>
    <n v="0"/>
    <n v="0"/>
    <n v="0"/>
    <n v="0"/>
    <n v="0"/>
    <n v="0"/>
    <n v="0"/>
    <n v="0"/>
    <n v="0"/>
    <n v="0"/>
    <n v="0"/>
    <n v="0"/>
    <n v="0"/>
    <n v="0"/>
    <n v="0"/>
    <n v="0"/>
    <n v="0"/>
    <n v="0"/>
    <n v="0"/>
    <n v="0"/>
    <n v="0"/>
    <n v="0"/>
  </r>
  <r>
    <s v="Urea Consumption for Non- Agricultural Purposes"/>
    <x v="2"/>
    <x v="6"/>
    <n v="0"/>
    <n v="0"/>
    <n v="0"/>
    <n v="0"/>
    <n v="0"/>
    <n v="0"/>
    <n v="0"/>
    <n v="0"/>
    <n v="0"/>
    <n v="0"/>
    <n v="0"/>
    <n v="0"/>
    <n v="0"/>
    <n v="0"/>
    <n v="0"/>
    <n v="0"/>
    <n v="0"/>
    <n v="0"/>
    <n v="0"/>
    <n v="0"/>
    <n v="0"/>
    <n v="0"/>
    <n v="0"/>
    <n v="0"/>
    <n v="0"/>
    <n v="0"/>
    <n v="0"/>
    <n v="0"/>
    <n v="0"/>
    <n v="0"/>
    <n v="0"/>
    <n v="0"/>
    <n v="0"/>
    <n v="0"/>
    <n v="0"/>
    <n v="0"/>
    <n v="0"/>
    <n v="0"/>
    <n v="0"/>
    <n v="0"/>
    <n v="0"/>
    <n v="0"/>
    <n v="0"/>
    <n v="0"/>
    <n v="0"/>
  </r>
  <r>
    <s v="Soda Ash Production and Consumption"/>
    <x v="1"/>
    <x v="6"/>
    <n v="0"/>
    <n v="0"/>
    <n v="0"/>
    <n v="0"/>
    <n v="0"/>
    <n v="0"/>
    <n v="0"/>
    <n v="0"/>
    <n v="0"/>
    <n v="0"/>
    <n v="0"/>
    <n v="0"/>
    <n v="0"/>
    <n v="0"/>
    <n v="0"/>
    <n v="0"/>
    <n v="0"/>
    <n v="0"/>
    <n v="0"/>
    <n v="0"/>
    <n v="0"/>
    <n v="0"/>
    <n v="0"/>
    <n v="0"/>
    <n v="0"/>
    <n v="0"/>
    <n v="0"/>
    <n v="0"/>
    <n v="0"/>
    <n v="0"/>
    <n v="0"/>
    <n v="0"/>
    <n v="0"/>
    <n v="0"/>
    <n v="0"/>
    <n v="0"/>
    <n v="0"/>
    <n v="0"/>
    <n v="0"/>
    <n v="0"/>
    <n v="0"/>
    <n v="0"/>
    <n v="0"/>
    <n v="0"/>
    <n v="0"/>
  </r>
  <r>
    <s v="Petrochemical Production"/>
    <x v="4"/>
    <x v="6"/>
    <n v="0"/>
    <n v="0"/>
    <n v="0"/>
    <n v="0"/>
    <n v="0"/>
    <n v="0"/>
    <n v="0"/>
    <n v="0"/>
    <n v="0"/>
    <n v="0"/>
    <n v="0"/>
    <n v="0"/>
    <n v="0"/>
    <n v="0"/>
    <n v="0"/>
    <n v="0"/>
    <n v="0"/>
    <n v="0"/>
    <n v="0"/>
    <n v="0"/>
    <n v="0"/>
    <n v="0"/>
    <n v="0"/>
    <n v="0"/>
    <n v="0"/>
    <n v="0"/>
    <n v="0"/>
    <n v="0"/>
    <n v="0"/>
    <n v="0"/>
    <n v="0"/>
    <n v="0"/>
    <n v="0"/>
    <n v="0"/>
    <n v="0"/>
    <n v="0"/>
    <n v="0"/>
    <n v="0"/>
    <n v="0"/>
    <n v="0"/>
    <n v="0"/>
    <n v="0"/>
    <n v="0"/>
    <n v="0"/>
    <n v="0"/>
  </r>
  <r>
    <s v="Carbon Dioxide Consumption"/>
    <x v="2"/>
    <x v="6"/>
    <n v="0"/>
    <n v="0"/>
    <n v="0"/>
    <n v="0"/>
    <n v="0"/>
    <n v="0"/>
    <n v="0"/>
    <n v="0"/>
    <n v="0"/>
    <n v="0"/>
    <n v="0"/>
    <n v="0"/>
    <n v="0"/>
    <n v="0"/>
    <n v="0"/>
    <n v="0"/>
    <n v="0"/>
    <n v="0"/>
    <n v="0"/>
    <n v="0"/>
    <n v="0"/>
    <n v="0"/>
    <n v="0"/>
    <n v="0"/>
    <n v="0"/>
    <n v="0"/>
    <n v="0"/>
    <n v="0"/>
    <n v="0"/>
    <n v="0"/>
    <n v="0"/>
    <n v="0"/>
    <n v="0"/>
    <n v="0"/>
    <n v="0"/>
    <n v="0"/>
    <n v="0"/>
    <n v="0"/>
    <n v="0"/>
    <n v="0"/>
    <n v="0"/>
    <n v="0"/>
    <n v="0"/>
    <n v="0"/>
    <n v="0"/>
  </r>
  <r>
    <s v="Titanium Dioxide Production"/>
    <x v="2"/>
    <x v="6"/>
    <n v="0"/>
    <n v="0"/>
    <n v="0"/>
    <n v="0"/>
    <n v="0"/>
    <n v="0"/>
    <n v="0"/>
    <n v="0"/>
    <n v="0"/>
    <n v="0"/>
    <n v="0"/>
    <n v="0"/>
    <n v="0"/>
    <n v="0"/>
    <n v="0"/>
    <n v="0"/>
    <n v="0"/>
    <n v="0"/>
    <n v="0"/>
    <n v="0"/>
    <n v="0"/>
    <n v="0"/>
    <n v="0"/>
    <n v="0"/>
    <n v="0"/>
    <n v="0"/>
    <n v="0"/>
    <n v="0"/>
    <n v="0"/>
    <n v="0"/>
    <n v="0"/>
    <n v="0"/>
    <n v="0"/>
    <n v="0"/>
    <n v="0"/>
    <n v="0"/>
    <n v="0"/>
    <n v="0"/>
    <n v="0"/>
    <n v="0"/>
    <n v="0"/>
    <n v="0"/>
    <n v="0"/>
    <n v="0"/>
    <n v="0"/>
  </r>
  <r>
    <s v="Zinc Production"/>
    <x v="2"/>
    <x v="6"/>
    <n v="0"/>
    <n v="0"/>
    <n v="0"/>
    <n v="0"/>
    <n v="0"/>
    <n v="0"/>
    <n v="0"/>
    <n v="0"/>
    <n v="0"/>
    <n v="0"/>
    <n v="0"/>
    <n v="0"/>
    <n v="0"/>
    <n v="0"/>
    <n v="0"/>
    <n v="0"/>
    <n v="0"/>
    <n v="0"/>
    <n v="0"/>
    <n v="0"/>
    <n v="0"/>
    <n v="0"/>
    <n v="0"/>
    <n v="0"/>
    <n v="0"/>
    <n v="0"/>
    <n v="0"/>
    <n v="0"/>
    <n v="0"/>
    <n v="0"/>
    <n v="0"/>
    <n v="0"/>
    <n v="0"/>
    <n v="0"/>
    <n v="0"/>
    <n v="0"/>
    <n v="0"/>
    <n v="0"/>
    <n v="0"/>
    <n v="0"/>
    <n v="0"/>
    <n v="0"/>
    <n v="0"/>
    <n v="0"/>
    <n v="0"/>
  </r>
  <r>
    <s v="Phosphoric Acid Production"/>
    <x v="1"/>
    <x v="6"/>
    <n v="0"/>
    <n v="0"/>
    <n v="0"/>
    <n v="0"/>
    <n v="0"/>
    <n v="0"/>
    <n v="0"/>
    <n v="0"/>
    <n v="0"/>
    <n v="0"/>
    <n v="0"/>
    <n v="0"/>
    <n v="0"/>
    <n v="0"/>
    <n v="0"/>
    <n v="0"/>
    <n v="0"/>
    <n v="0"/>
    <n v="0"/>
    <n v="0"/>
    <n v="0"/>
    <n v="0"/>
    <n v="0"/>
    <n v="0"/>
    <n v="0"/>
    <n v="0"/>
    <n v="0"/>
    <n v="0"/>
    <n v="0"/>
    <n v="0"/>
    <n v="0"/>
    <n v="0"/>
    <n v="0"/>
    <n v="0"/>
    <n v="0"/>
    <n v="0"/>
    <n v="0"/>
    <n v="0"/>
    <n v="0"/>
    <n v="0"/>
    <n v="0"/>
    <n v="0"/>
    <n v="0"/>
    <n v="0"/>
    <n v="0"/>
  </r>
  <r>
    <s v="Lead Production"/>
    <x v="2"/>
    <x v="6"/>
    <n v="0"/>
    <n v="0"/>
    <n v="0"/>
    <n v="0"/>
    <n v="0"/>
    <n v="0"/>
    <n v="0"/>
    <n v="0"/>
    <n v="0"/>
    <n v="0"/>
    <n v="0"/>
    <n v="0"/>
    <n v="0"/>
    <n v="0"/>
    <n v="0"/>
    <n v="0"/>
    <n v="0"/>
    <n v="0"/>
    <n v="0"/>
    <n v="0"/>
    <n v="0"/>
    <n v="0"/>
    <n v="0"/>
    <n v="0"/>
    <n v="0"/>
    <n v="0"/>
    <n v="0"/>
    <n v="0"/>
    <n v="0"/>
    <n v="0"/>
    <n v="0"/>
    <n v="0"/>
    <n v="0"/>
    <n v="0"/>
    <n v="0"/>
    <n v="0"/>
    <n v="0"/>
    <n v="0"/>
    <n v="0"/>
    <n v="0"/>
    <n v="0"/>
    <n v="0"/>
    <n v="0"/>
    <n v="0"/>
    <n v="0"/>
  </r>
  <r>
    <s v="Field Burning of Agricultural Residues"/>
    <x v="5"/>
    <x v="6"/>
    <n v="0"/>
    <n v="0"/>
    <n v="0"/>
    <n v="0"/>
    <n v="0"/>
    <n v="0"/>
    <n v="0"/>
    <n v="0"/>
    <n v="0"/>
    <n v="0"/>
    <n v="0"/>
    <n v="0"/>
    <n v="0"/>
    <n v="0"/>
    <n v="0"/>
    <n v="0"/>
    <n v="0"/>
    <n v="0"/>
    <n v="0"/>
    <n v="0"/>
    <n v="0"/>
    <n v="0"/>
    <n v="0"/>
    <n v="0"/>
    <n v="0"/>
    <n v="0"/>
    <n v="0"/>
    <n v="0"/>
    <n v="0"/>
    <n v="0"/>
    <n v="0"/>
    <n v="0"/>
    <n v="0"/>
    <n v="0"/>
    <n v="0"/>
    <n v="0"/>
    <n v="0"/>
    <n v="0"/>
    <n v="0"/>
    <n v="0"/>
    <n v="0"/>
    <n v="0"/>
    <n v="0"/>
    <n v="0"/>
    <n v="0"/>
  </r>
  <r>
    <s v="Wastewater Treatment (Industrial)"/>
    <x v="6"/>
    <x v="6"/>
    <n v="0"/>
    <n v="0"/>
    <n v="0"/>
    <n v="0"/>
    <n v="0"/>
    <n v="0"/>
    <n v="0"/>
    <n v="0"/>
    <n v="0"/>
    <n v="0"/>
    <n v="0"/>
    <n v="0"/>
    <n v="0"/>
    <n v="0"/>
    <n v="0"/>
    <n v="0"/>
    <n v="0"/>
    <n v="0"/>
    <n v="0"/>
    <n v="0"/>
    <n v="0"/>
    <n v="0"/>
    <n v="0"/>
    <n v="0"/>
    <n v="0"/>
    <n v="0"/>
    <n v="0"/>
    <n v="0"/>
    <n v="0"/>
    <n v="0"/>
    <n v="0"/>
    <n v="0"/>
    <n v="0"/>
    <n v="0"/>
    <n v="0"/>
    <n v="0"/>
    <n v="0"/>
    <n v="0"/>
    <n v="0"/>
    <n v="0"/>
    <n v="0"/>
    <n v="0"/>
    <n v="0"/>
    <n v="0"/>
    <n v="0"/>
  </r>
  <r>
    <s v="Composting"/>
    <x v="6"/>
    <x v="6"/>
    <n v="0"/>
    <n v="0"/>
    <n v="0"/>
    <n v="0"/>
    <n v="0"/>
    <n v="0"/>
    <n v="0"/>
    <n v="0"/>
    <n v="0"/>
    <n v="0"/>
    <n v="0"/>
    <n v="0"/>
    <n v="0"/>
    <n v="0"/>
    <n v="0"/>
    <n v="0"/>
    <n v="0"/>
    <n v="0"/>
    <n v="0"/>
    <n v="0"/>
    <n v="0"/>
    <n v="0"/>
    <n v="0"/>
    <n v="0"/>
    <n v="0"/>
    <n v="0"/>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522:AL534" firstHeaderRow="0" firstDataRow="1" firstDataCol="2"/>
  <pivotFields count="48">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5"/>
        <item x="3"/>
        <item x="1"/>
        <item x="0"/>
        <item x="4"/>
        <item x="2"/>
        <item x="6"/>
        <item h="1" x="7"/>
      </items>
      <extLst>
        <ext xmlns:x14="http://schemas.microsoft.com/office/spreadsheetml/2009/9/main" uri="{2946ED86-A175-432a-8AC1-64E0C546D7DE}">
          <x14:pivotField fillDownLabels="1"/>
        </ext>
      </extLst>
    </pivotField>
    <pivotField axis="axisRow" compact="0" outline="0" showAll="0" measureFilter="1" defaultSubtotal="0">
      <items count="8">
        <item x="1"/>
        <item x="0"/>
        <item x="3"/>
        <item x="2"/>
        <item x="6"/>
        <item x="4"/>
        <item x="5"/>
        <item m="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1"/>
    <field x="2"/>
  </rowFields>
  <rowItems count="12">
    <i>
      <x/>
      <x/>
    </i>
    <i>
      <x v="1"/>
      <x v="1"/>
    </i>
    <i>
      <x v="2"/>
      <x v="1"/>
    </i>
    <i r="1">
      <x v="3"/>
    </i>
    <i>
      <x v="3"/>
      <x/>
    </i>
    <i>
      <x v="4"/>
      <x/>
    </i>
    <i r="1">
      <x v="1"/>
    </i>
    <i>
      <x v="5"/>
      <x/>
    </i>
    <i r="1">
      <x v="1"/>
    </i>
    <i r="1">
      <x v="3"/>
    </i>
    <i>
      <x v="6"/>
      <x/>
    </i>
    <i r="1">
      <x v="3"/>
    </i>
  </rowItems>
  <colFields count="1">
    <field x="-2"/>
  </colFields>
  <colItems count="3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colItems>
  <dataFields count="36">
    <dataField name="Sum of 2015" fld="12" baseField="1" baseItem="0"/>
    <dataField name="Sum of 2016" fld="13" baseField="0" baseItem="0"/>
    <dataField name="Sum of 2017" fld="14" baseField="0" baseItem="0"/>
    <dataField name="Sum of 2018" fld="15" baseField="0" baseItem="0"/>
    <dataField name="Sum of 2019" fld="16" baseField="0" baseItem="0"/>
    <dataField name="Sum of 2020" fld="17" baseField="0" baseItem="0"/>
    <dataField name="Sum of 2021" fld="18" baseField="0" baseItem="0"/>
    <dataField name="Sum of 2022" fld="19" baseField="0" baseItem="0"/>
    <dataField name="Sum of 2023" fld="20" baseField="0" baseItem="0"/>
    <dataField name="Sum of 2024" fld="21" baseField="0" baseItem="0"/>
    <dataField name="Sum of 2025" fld="22" baseField="0" baseItem="0"/>
    <dataField name="Sum of 2026" fld="23" baseField="0" baseItem="0"/>
    <dataField name="Sum of 2027" fld="24" baseField="0" baseItem="0"/>
    <dataField name="Sum of 2028" fld="25" baseField="0" baseItem="0"/>
    <dataField name="Sum of 2029" fld="26" baseField="0" baseItem="0"/>
    <dataField name="Sum of 2030" fld="27" baseField="0" baseItem="0"/>
    <dataField name="Sum of 2031" fld="28" baseField="0" baseItem="0"/>
    <dataField name="Sum of 2032" fld="29" baseField="0" baseItem="0"/>
    <dataField name="Sum of 2033" fld="30" baseField="0" baseItem="0"/>
    <dataField name="Sum of 2034" fld="31" baseField="0" baseItem="0"/>
    <dataField name="Sum of 2035" fld="32" baseField="0" baseItem="0"/>
    <dataField name="Sum of 2036" fld="33" baseField="0" baseItem="0"/>
    <dataField name="Sum of 2037" fld="34" baseField="0" baseItem="0"/>
    <dataField name="Sum of 2038" fld="35" baseField="0" baseItem="0"/>
    <dataField name="Sum of 2039" fld="36" baseField="0" baseItem="0"/>
    <dataField name="Sum of 2040" fld="37" baseField="0" baseItem="0"/>
    <dataField name="Sum of 2041" fld="38" baseField="0" baseItem="0"/>
    <dataField name="Sum of 2042" fld="39" baseField="0" baseItem="0"/>
    <dataField name="Sum of 2043" fld="40" baseField="0" baseItem="0"/>
    <dataField name="Sum of 2044" fld="41" baseField="0" baseItem="0"/>
    <dataField name="Sum of 2045" fld="42" baseField="0" baseItem="0"/>
    <dataField name="Sum of 2046" fld="43" baseField="0" baseItem="0"/>
    <dataField name="Sum of 2047" fld="44" baseField="0" baseItem="0"/>
    <dataField name="Sum of 2048" fld="45" baseField="0" baseItem="0"/>
    <dataField name="Sum of 2049" fld="46" baseField="0" baseItem="0"/>
    <dataField name="Sum of 2050" fld="47" baseField="0" baseItem="0"/>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filters count="1">
    <filter fld="2" type="valueNotEqual" evalOrder="-1" id="3"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hyperlink" Target="https://energy.gov/sites/prod/files/2015/07/f24/ElectricityAppendix.pdf"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0.bin"/><Relationship Id="rId1" Type="http://schemas.openxmlformats.org/officeDocument/2006/relationships/hyperlink" Target="https://www.usda.gov/oce/commodity/projections/USDA_Agricultural_Projections_to_2026.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eia.gov/opendata/qb.php?sdid=PET.MCRFPUS1.A"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99"/>
  <sheetViews>
    <sheetView tabSelected="1" topLeftCell="A28" zoomScale="55" zoomScaleNormal="55" workbookViewId="0">
      <selection activeCell="F61" sqref="F61"/>
    </sheetView>
  </sheetViews>
  <sheetFormatPr defaultRowHeight="15" x14ac:dyDescent="0.25"/>
  <cols>
    <col min="1" max="1" width="9.85546875" customWidth="1"/>
    <col min="2" max="2" width="80.140625" customWidth="1"/>
    <col min="3" max="3" width="21.28515625" customWidth="1"/>
    <col min="4" max="4" width="104.140625" customWidth="1"/>
    <col min="5" max="5" width="18" customWidth="1"/>
    <col min="6" max="6" width="89.7109375" customWidth="1"/>
    <col min="7" max="7" width="5.5703125" customWidth="1"/>
    <col min="8" max="8" width="106" customWidth="1"/>
    <col min="9" max="15" width="74" customWidth="1"/>
  </cols>
  <sheetData>
    <row r="1" spans="1:8" x14ac:dyDescent="0.25">
      <c r="A1" s="55" t="s">
        <v>447</v>
      </c>
      <c r="B1" s="74" t="s">
        <v>468</v>
      </c>
      <c r="D1" s="74" t="s">
        <v>466</v>
      </c>
      <c r="F1" s="74" t="s">
        <v>1657</v>
      </c>
      <c r="H1" s="74" t="s">
        <v>458</v>
      </c>
    </row>
    <row r="2" spans="1:8" x14ac:dyDescent="0.25">
      <c r="B2" s="56" t="s">
        <v>1078</v>
      </c>
      <c r="D2" s="56" t="s">
        <v>1284</v>
      </c>
      <c r="F2" s="56" t="s">
        <v>1658</v>
      </c>
      <c r="H2" s="56" t="s">
        <v>1892</v>
      </c>
    </row>
    <row r="3" spans="1:8" x14ac:dyDescent="0.25">
      <c r="B3" t="s">
        <v>1079</v>
      </c>
      <c r="D3" t="s">
        <v>1085</v>
      </c>
      <c r="F3" t="s">
        <v>1085</v>
      </c>
      <c r="H3" t="s">
        <v>1085</v>
      </c>
    </row>
    <row r="4" spans="1:8" x14ac:dyDescent="0.25">
      <c r="B4" s="98">
        <v>2017</v>
      </c>
      <c r="D4" s="98">
        <v>2017</v>
      </c>
      <c r="F4" s="98">
        <v>2017</v>
      </c>
      <c r="H4" s="98">
        <v>2002</v>
      </c>
    </row>
    <row r="5" spans="1:8" x14ac:dyDescent="0.25">
      <c r="B5" t="s">
        <v>1080</v>
      </c>
      <c r="D5" t="s">
        <v>1858</v>
      </c>
      <c r="F5" t="s">
        <v>1659</v>
      </c>
      <c r="H5" t="s">
        <v>1893</v>
      </c>
    </row>
    <row r="6" spans="1:8" ht="30" x14ac:dyDescent="0.25">
      <c r="B6" s="141" t="s">
        <v>1082</v>
      </c>
      <c r="D6" s="141" t="s">
        <v>1859</v>
      </c>
      <c r="F6" s="141" t="s">
        <v>1660</v>
      </c>
      <c r="H6" t="s">
        <v>1872</v>
      </c>
    </row>
    <row r="7" spans="1:8" x14ac:dyDescent="0.25">
      <c r="B7" t="s">
        <v>1280</v>
      </c>
      <c r="D7" s="141" t="s">
        <v>1288</v>
      </c>
      <c r="F7" s="141" t="s">
        <v>1661</v>
      </c>
      <c r="H7" t="s">
        <v>1894</v>
      </c>
    </row>
    <row r="9" spans="1:8" x14ac:dyDescent="0.25">
      <c r="B9" s="56" t="s">
        <v>741</v>
      </c>
      <c r="D9" s="56" t="s">
        <v>1289</v>
      </c>
      <c r="H9" s="56" t="s">
        <v>1895</v>
      </c>
    </row>
    <row r="10" spans="1:8" x14ac:dyDescent="0.25">
      <c r="B10" t="s">
        <v>1085</v>
      </c>
      <c r="D10" t="s">
        <v>1271</v>
      </c>
      <c r="F10" s="56" t="s">
        <v>1662</v>
      </c>
      <c r="H10" t="s">
        <v>1896</v>
      </c>
    </row>
    <row r="11" spans="1:8" x14ac:dyDescent="0.25">
      <c r="B11" s="98">
        <v>2013</v>
      </c>
      <c r="D11" s="98">
        <v>2017</v>
      </c>
      <c r="F11" t="s">
        <v>1087</v>
      </c>
      <c r="H11" s="98">
        <v>2015</v>
      </c>
    </row>
    <row r="12" spans="1:8" ht="30" x14ac:dyDescent="0.25">
      <c r="B12" s="141" t="s">
        <v>1089</v>
      </c>
      <c r="D12" t="s">
        <v>1272</v>
      </c>
      <c r="F12" s="98">
        <v>2017</v>
      </c>
      <c r="H12" t="s">
        <v>1897</v>
      </c>
    </row>
    <row r="13" spans="1:8" ht="45" x14ac:dyDescent="0.25">
      <c r="B13" s="141" t="s">
        <v>8</v>
      </c>
      <c r="D13" t="s">
        <v>1291</v>
      </c>
      <c r="F13" t="s">
        <v>17</v>
      </c>
      <c r="H13" t="s">
        <v>1866</v>
      </c>
    </row>
    <row r="14" spans="1:8" x14ac:dyDescent="0.25">
      <c r="B14" t="s">
        <v>1090</v>
      </c>
      <c r="D14" s="141" t="s">
        <v>1290</v>
      </c>
      <c r="F14" s="141" t="s">
        <v>1663</v>
      </c>
      <c r="H14" t="s">
        <v>1898</v>
      </c>
    </row>
    <row r="15" spans="1:8" x14ac:dyDescent="0.25">
      <c r="F15" s="141" t="s">
        <v>1664</v>
      </c>
    </row>
    <row r="16" spans="1:8" x14ac:dyDescent="0.25">
      <c r="B16" s="74" t="s">
        <v>1674</v>
      </c>
      <c r="D16" s="74" t="s">
        <v>1084</v>
      </c>
    </row>
    <row r="17" spans="2:8" x14ac:dyDescent="0.25">
      <c r="B17" s="56" t="s">
        <v>1675</v>
      </c>
      <c r="D17" s="56" t="s">
        <v>1658</v>
      </c>
      <c r="F17" s="56" t="s">
        <v>1665</v>
      </c>
      <c r="H17" s="56" t="s">
        <v>1899</v>
      </c>
    </row>
    <row r="18" spans="2:8" x14ac:dyDescent="0.25">
      <c r="B18" t="s">
        <v>1087</v>
      </c>
      <c r="D18" t="s">
        <v>1085</v>
      </c>
      <c r="F18" t="s">
        <v>1087</v>
      </c>
      <c r="H18" t="s">
        <v>1085</v>
      </c>
    </row>
    <row r="19" spans="2:8" x14ac:dyDescent="0.25">
      <c r="B19" s="98">
        <v>2017</v>
      </c>
      <c r="D19" s="98">
        <v>2017</v>
      </c>
      <c r="F19" s="98">
        <v>2017</v>
      </c>
      <c r="H19" s="98">
        <v>2017</v>
      </c>
    </row>
    <row r="20" spans="2:8" x14ac:dyDescent="0.25">
      <c r="B20" t="s">
        <v>1676</v>
      </c>
      <c r="D20" t="s">
        <v>1858</v>
      </c>
      <c r="F20" t="s">
        <v>17</v>
      </c>
      <c r="H20" t="s">
        <v>1086</v>
      </c>
    </row>
    <row r="21" spans="2:8" x14ac:dyDescent="0.25">
      <c r="B21" t="s">
        <v>475</v>
      </c>
      <c r="D21" s="141" t="s">
        <v>1859</v>
      </c>
      <c r="F21" s="141" t="s">
        <v>1666</v>
      </c>
      <c r="H21" s="141" t="s">
        <v>474</v>
      </c>
    </row>
    <row r="22" spans="2:8" ht="60" x14ac:dyDescent="0.25">
      <c r="D22" s="141" t="s">
        <v>1943</v>
      </c>
      <c r="F22" s="141" t="s">
        <v>1667</v>
      </c>
      <c r="H22" s="141" t="s">
        <v>1900</v>
      </c>
    </row>
    <row r="24" spans="2:8" x14ac:dyDescent="0.25">
      <c r="B24" s="56" t="s">
        <v>1677</v>
      </c>
      <c r="D24" s="56" t="s">
        <v>1083</v>
      </c>
    </row>
    <row r="25" spans="2:8" x14ac:dyDescent="0.25">
      <c r="B25" t="s">
        <v>1087</v>
      </c>
      <c r="D25" t="s">
        <v>1087</v>
      </c>
      <c r="F25" s="74" t="s">
        <v>1940</v>
      </c>
      <c r="H25" s="74" t="s">
        <v>1849</v>
      </c>
    </row>
    <row r="26" spans="2:8" x14ac:dyDescent="0.25">
      <c r="B26" s="98">
        <v>2017</v>
      </c>
      <c r="D26" s="98">
        <v>2017</v>
      </c>
      <c r="F26" s="56" t="s">
        <v>1938</v>
      </c>
      <c r="H26" s="56" t="s">
        <v>497</v>
      </c>
    </row>
    <row r="27" spans="2:8" x14ac:dyDescent="0.25">
      <c r="B27" t="s">
        <v>1678</v>
      </c>
      <c r="D27" t="s">
        <v>17</v>
      </c>
      <c r="F27" t="s">
        <v>1087</v>
      </c>
      <c r="H27" t="s">
        <v>1085</v>
      </c>
    </row>
    <row r="28" spans="2:8" x14ac:dyDescent="0.25">
      <c r="B28" t="s">
        <v>485</v>
      </c>
      <c r="D28" t="s">
        <v>1274</v>
      </c>
      <c r="F28" s="98">
        <v>2017</v>
      </c>
      <c r="H28" s="98">
        <v>2016</v>
      </c>
    </row>
    <row r="29" spans="2:8" x14ac:dyDescent="0.25">
      <c r="D29" t="s">
        <v>1088</v>
      </c>
      <c r="F29" t="s">
        <v>1272</v>
      </c>
      <c r="H29" t="s">
        <v>1994</v>
      </c>
    </row>
    <row r="30" spans="2:8" x14ac:dyDescent="0.25">
      <c r="F30" t="s">
        <v>1936</v>
      </c>
      <c r="H30" t="s">
        <v>1995</v>
      </c>
    </row>
    <row r="31" spans="2:8" x14ac:dyDescent="0.25">
      <c r="B31" s="74" t="s">
        <v>1847</v>
      </c>
      <c r="F31" t="s">
        <v>1934</v>
      </c>
      <c r="H31" t="s">
        <v>1996</v>
      </c>
    </row>
    <row r="32" spans="2:8" x14ac:dyDescent="0.25">
      <c r="B32" s="56" t="s">
        <v>1845</v>
      </c>
      <c r="D32" s="56" t="s">
        <v>1942</v>
      </c>
    </row>
    <row r="33" spans="2:8" x14ac:dyDescent="0.25">
      <c r="B33" t="s">
        <v>1085</v>
      </c>
      <c r="D33" t="s">
        <v>1903</v>
      </c>
      <c r="F33" s="56" t="s">
        <v>1932</v>
      </c>
      <c r="H33" s="74" t="s">
        <v>1851</v>
      </c>
    </row>
    <row r="34" spans="2:8" x14ac:dyDescent="0.25">
      <c r="B34" s="98">
        <v>2013</v>
      </c>
      <c r="D34" s="98">
        <v>2017</v>
      </c>
      <c r="F34" t="s">
        <v>1085</v>
      </c>
      <c r="H34" s="56" t="s">
        <v>1857</v>
      </c>
    </row>
    <row r="35" spans="2:8" ht="30" x14ac:dyDescent="0.25">
      <c r="B35" s="141" t="s">
        <v>1089</v>
      </c>
      <c r="D35" t="s">
        <v>1904</v>
      </c>
      <c r="F35" s="98">
        <v>2013</v>
      </c>
      <c r="H35" t="s">
        <v>1852</v>
      </c>
    </row>
    <row r="36" spans="2:8" ht="45" x14ac:dyDescent="0.25">
      <c r="B36" s="141" t="s">
        <v>8</v>
      </c>
      <c r="D36" t="s">
        <v>755</v>
      </c>
      <c r="F36" s="141" t="s">
        <v>1089</v>
      </c>
      <c r="H36" s="98">
        <v>2012</v>
      </c>
    </row>
    <row r="37" spans="2:8" ht="30" x14ac:dyDescent="0.25">
      <c r="B37" t="s">
        <v>1846</v>
      </c>
      <c r="D37" t="s">
        <v>1905</v>
      </c>
      <c r="F37" s="141" t="s">
        <v>8</v>
      </c>
      <c r="H37" t="s">
        <v>1853</v>
      </c>
    </row>
    <row r="38" spans="2:8" x14ac:dyDescent="0.25">
      <c r="F38" t="s">
        <v>1927</v>
      </c>
      <c r="H38" s="141" t="s">
        <v>1854</v>
      </c>
    </row>
    <row r="39" spans="2:8" x14ac:dyDescent="0.25">
      <c r="H39" s="141" t="s">
        <v>1856</v>
      </c>
    </row>
    <row r="40" spans="2:8" x14ac:dyDescent="0.25">
      <c r="B40" s="74" t="s">
        <v>460</v>
      </c>
      <c r="D40" s="74" t="s">
        <v>1941</v>
      </c>
    </row>
    <row r="41" spans="2:8" x14ac:dyDescent="0.25">
      <c r="B41" s="56" t="s">
        <v>1906</v>
      </c>
      <c r="D41" s="56" t="s">
        <v>1939</v>
      </c>
      <c r="F41" s="56" t="s">
        <v>1926</v>
      </c>
      <c r="H41" s="74" t="s">
        <v>1269</v>
      </c>
    </row>
    <row r="42" spans="2:8" x14ac:dyDescent="0.25">
      <c r="B42" t="s">
        <v>1085</v>
      </c>
      <c r="D42" t="s">
        <v>1085</v>
      </c>
      <c r="F42" t="s">
        <v>1085</v>
      </c>
      <c r="H42" s="56" t="s">
        <v>1270</v>
      </c>
    </row>
    <row r="43" spans="2:8" x14ac:dyDescent="0.25">
      <c r="B43" s="98">
        <v>2013</v>
      </c>
      <c r="D43" s="98">
        <v>2017</v>
      </c>
      <c r="F43" s="98">
        <v>2017</v>
      </c>
      <c r="H43" t="s">
        <v>1087</v>
      </c>
    </row>
    <row r="44" spans="2:8" ht="30" x14ac:dyDescent="0.25">
      <c r="B44" s="141" t="s">
        <v>1089</v>
      </c>
      <c r="D44" t="s">
        <v>1937</v>
      </c>
      <c r="F44" t="s">
        <v>1086</v>
      </c>
      <c r="H44" s="98">
        <v>2017</v>
      </c>
    </row>
    <row r="45" spans="2:8" ht="45" x14ac:dyDescent="0.25">
      <c r="B45" s="141" t="s">
        <v>8</v>
      </c>
      <c r="D45" s="141" t="s">
        <v>971</v>
      </c>
      <c r="F45" s="141" t="s">
        <v>474</v>
      </c>
      <c r="H45" t="s">
        <v>1272</v>
      </c>
    </row>
    <row r="46" spans="2:8" x14ac:dyDescent="0.25">
      <c r="B46" t="s">
        <v>1907</v>
      </c>
      <c r="D46" s="141" t="s">
        <v>1935</v>
      </c>
      <c r="F46" s="141" t="s">
        <v>1925</v>
      </c>
      <c r="H46" t="s">
        <v>1273</v>
      </c>
    </row>
    <row r="47" spans="2:8" x14ac:dyDescent="0.25">
      <c r="H47" s="141" t="s">
        <v>1275</v>
      </c>
    </row>
    <row r="48" spans="2:8" x14ac:dyDescent="0.25">
      <c r="D48" s="56" t="s">
        <v>1933</v>
      </c>
      <c r="F48" s="56" t="s">
        <v>1924</v>
      </c>
    </row>
    <row r="49" spans="1:6" x14ac:dyDescent="0.25">
      <c r="D49" t="s">
        <v>1931</v>
      </c>
      <c r="F49" t="s">
        <v>1085</v>
      </c>
    </row>
    <row r="50" spans="1:6" x14ac:dyDescent="0.25">
      <c r="D50" s="98">
        <v>2006</v>
      </c>
      <c r="F50" s="98">
        <v>2017</v>
      </c>
    </row>
    <row r="51" spans="1:6" x14ac:dyDescent="0.25">
      <c r="D51" t="s">
        <v>1930</v>
      </c>
      <c r="F51" t="s">
        <v>1086</v>
      </c>
    </row>
    <row r="52" spans="1:6" x14ac:dyDescent="0.25">
      <c r="D52" s="141" t="s">
        <v>1929</v>
      </c>
      <c r="F52" s="141" t="s">
        <v>474</v>
      </c>
    </row>
    <row r="53" spans="1:6" x14ac:dyDescent="0.25">
      <c r="D53" s="141" t="s">
        <v>1928</v>
      </c>
      <c r="F53" s="141" t="s">
        <v>1923</v>
      </c>
    </row>
    <row r="55" spans="1:6" x14ac:dyDescent="0.25">
      <c r="A55" s="55" t="s">
        <v>1922</v>
      </c>
      <c r="B55" t="s">
        <v>1921</v>
      </c>
    </row>
    <row r="56" spans="1:6" x14ac:dyDescent="0.25">
      <c r="B56" t="s">
        <v>1944</v>
      </c>
    </row>
    <row r="58" spans="1:6" x14ac:dyDescent="0.25">
      <c r="A58" s="56" t="s">
        <v>1279</v>
      </c>
      <c r="B58" s="56"/>
      <c r="C58" s="56"/>
      <c r="D58" s="56"/>
      <c r="E58" s="56"/>
      <c r="F58" s="59"/>
    </row>
    <row r="59" spans="1:6" x14ac:dyDescent="0.25">
      <c r="A59" t="s">
        <v>449</v>
      </c>
      <c r="B59" t="s">
        <v>448</v>
      </c>
      <c r="C59" t="s">
        <v>465</v>
      </c>
      <c r="D59" t="s">
        <v>1077</v>
      </c>
      <c r="E59" s="339" t="s">
        <v>1091</v>
      </c>
    </row>
    <row r="60" spans="1:6" x14ac:dyDescent="0.25">
      <c r="A60" t="s">
        <v>450</v>
      </c>
      <c r="B60" t="s">
        <v>451</v>
      </c>
      <c r="C60" t="s">
        <v>947</v>
      </c>
      <c r="D60" t="s">
        <v>947</v>
      </c>
      <c r="E60" s="339" t="s">
        <v>947</v>
      </c>
    </row>
    <row r="61" spans="1:6" x14ac:dyDescent="0.25">
      <c r="A61" t="s">
        <v>450</v>
      </c>
      <c r="B61" t="s">
        <v>452</v>
      </c>
      <c r="C61" t="s">
        <v>947</v>
      </c>
      <c r="D61" t="s">
        <v>947</v>
      </c>
      <c r="E61" s="339" t="s">
        <v>947</v>
      </c>
    </row>
    <row r="62" spans="1:6" ht="45" x14ac:dyDescent="0.25">
      <c r="A62" t="s">
        <v>450</v>
      </c>
      <c r="B62" t="s">
        <v>948</v>
      </c>
      <c r="C62" t="s">
        <v>1276</v>
      </c>
      <c r="D62" s="141" t="s">
        <v>1277</v>
      </c>
      <c r="E62" s="339" t="s">
        <v>1278</v>
      </c>
    </row>
    <row r="63" spans="1:6" ht="60" x14ac:dyDescent="0.25">
      <c r="A63" t="s">
        <v>450</v>
      </c>
      <c r="B63" t="s">
        <v>949</v>
      </c>
      <c r="C63" t="s">
        <v>466</v>
      </c>
      <c r="D63" s="141" t="s">
        <v>1671</v>
      </c>
      <c r="E63" s="339" t="s">
        <v>1283</v>
      </c>
    </row>
    <row r="64" spans="1:6" ht="150" x14ac:dyDescent="0.25">
      <c r="A64" t="s">
        <v>450</v>
      </c>
      <c r="B64" t="s">
        <v>950</v>
      </c>
      <c r="C64" t="s">
        <v>272</v>
      </c>
      <c r="D64" s="141" t="s">
        <v>1970</v>
      </c>
      <c r="E64" s="339" t="s">
        <v>1668</v>
      </c>
      <c r="F64" s="141"/>
    </row>
    <row r="65" spans="1:5" ht="75" x14ac:dyDescent="0.25">
      <c r="A65" t="s">
        <v>450</v>
      </c>
      <c r="B65" t="s">
        <v>951</v>
      </c>
      <c r="C65" t="s">
        <v>272</v>
      </c>
      <c r="D65" s="141" t="s">
        <v>1673</v>
      </c>
      <c r="E65" s="339" t="s">
        <v>1672</v>
      </c>
    </row>
    <row r="66" spans="1:5" ht="45" x14ac:dyDescent="0.25">
      <c r="A66" t="s">
        <v>453</v>
      </c>
      <c r="B66" t="s">
        <v>952</v>
      </c>
      <c r="C66" t="s">
        <v>468</v>
      </c>
      <c r="D66" s="141" t="s">
        <v>1670</v>
      </c>
      <c r="E66" s="339" t="s">
        <v>1092</v>
      </c>
    </row>
    <row r="67" spans="1:5" x14ac:dyDescent="0.25">
      <c r="A67" t="s">
        <v>453</v>
      </c>
      <c r="B67" t="s">
        <v>953</v>
      </c>
      <c r="C67" t="s">
        <v>273</v>
      </c>
      <c r="D67" s="141" t="s">
        <v>1683</v>
      </c>
      <c r="E67" s="339" t="s">
        <v>1684</v>
      </c>
    </row>
    <row r="68" spans="1:5" ht="30" x14ac:dyDescent="0.25">
      <c r="A68" t="s">
        <v>453</v>
      </c>
      <c r="B68" t="s">
        <v>954</v>
      </c>
      <c r="C68" t="s">
        <v>271</v>
      </c>
      <c r="D68" s="141" t="s">
        <v>1282</v>
      </c>
      <c r="E68" s="339" t="s">
        <v>1281</v>
      </c>
    </row>
    <row r="69" spans="1:5" ht="45" x14ac:dyDescent="0.25">
      <c r="A69" t="s">
        <v>453</v>
      </c>
      <c r="B69" t="s">
        <v>955</v>
      </c>
      <c r="C69" t="s">
        <v>469</v>
      </c>
      <c r="D69" s="141" t="s">
        <v>1855</v>
      </c>
      <c r="E69" s="339" t="s">
        <v>1850</v>
      </c>
    </row>
    <row r="70" spans="1:5" x14ac:dyDescent="0.25">
      <c r="A70" t="s">
        <v>453</v>
      </c>
      <c r="B70" t="s">
        <v>454</v>
      </c>
      <c r="C70" t="s">
        <v>469</v>
      </c>
      <c r="D70" s="141" t="s">
        <v>1860</v>
      </c>
      <c r="E70" s="339" t="s">
        <v>1861</v>
      </c>
    </row>
    <row r="71" spans="1:5" ht="45" x14ac:dyDescent="0.25">
      <c r="A71" t="s">
        <v>453</v>
      </c>
      <c r="B71" t="s">
        <v>455</v>
      </c>
      <c r="C71" t="s">
        <v>273</v>
      </c>
      <c r="D71" s="141" t="s">
        <v>1685</v>
      </c>
      <c r="E71" s="339" t="s">
        <v>1686</v>
      </c>
    </row>
    <row r="72" spans="1:5" ht="135" x14ac:dyDescent="0.25">
      <c r="A72" t="s">
        <v>453</v>
      </c>
      <c r="B72" t="s">
        <v>456</v>
      </c>
      <c r="C72" t="s">
        <v>273</v>
      </c>
      <c r="D72" s="141" t="s">
        <v>1987</v>
      </c>
      <c r="E72" s="339" t="s">
        <v>1848</v>
      </c>
    </row>
    <row r="73" spans="1:5" ht="75" x14ac:dyDescent="0.25">
      <c r="A73" t="s">
        <v>453</v>
      </c>
      <c r="B73" t="s">
        <v>457</v>
      </c>
      <c r="C73" t="s">
        <v>469</v>
      </c>
      <c r="D73" s="340" t="s">
        <v>1863</v>
      </c>
      <c r="E73" s="338" t="s">
        <v>1864</v>
      </c>
    </row>
    <row r="74" spans="1:5" ht="120" x14ac:dyDescent="0.25">
      <c r="A74" t="s">
        <v>453</v>
      </c>
      <c r="B74" t="s">
        <v>458</v>
      </c>
      <c r="C74" t="s">
        <v>469</v>
      </c>
      <c r="D74" s="340" t="s">
        <v>1890</v>
      </c>
      <c r="E74" s="338" t="s">
        <v>1891</v>
      </c>
    </row>
    <row r="75" spans="1:5" ht="90" x14ac:dyDescent="0.25">
      <c r="A75" t="s">
        <v>459</v>
      </c>
      <c r="B75" t="s">
        <v>460</v>
      </c>
      <c r="C75" t="s">
        <v>459</v>
      </c>
      <c r="D75" s="340" t="s">
        <v>1901</v>
      </c>
      <c r="E75" s="338" t="s">
        <v>1902</v>
      </c>
    </row>
    <row r="76" spans="1:5" ht="75" x14ac:dyDescent="0.25">
      <c r="A76" t="s">
        <v>459</v>
      </c>
      <c r="B76" t="s">
        <v>461</v>
      </c>
      <c r="C76" t="s">
        <v>459</v>
      </c>
      <c r="D76" s="340" t="s">
        <v>1909</v>
      </c>
      <c r="E76" s="338" t="s">
        <v>1908</v>
      </c>
    </row>
    <row r="77" spans="1:5" ht="45" x14ac:dyDescent="0.25">
      <c r="A77" t="s">
        <v>459</v>
      </c>
      <c r="B77" t="s">
        <v>1910</v>
      </c>
      <c r="C77" t="s">
        <v>459</v>
      </c>
      <c r="D77" s="340" t="s">
        <v>1911</v>
      </c>
      <c r="E77" s="338" t="s">
        <v>1912</v>
      </c>
    </row>
    <row r="78" spans="1:5" ht="285" x14ac:dyDescent="0.25">
      <c r="A78" t="s">
        <v>459</v>
      </c>
      <c r="B78" t="s">
        <v>462</v>
      </c>
      <c r="C78" t="s">
        <v>459</v>
      </c>
      <c r="D78" s="340" t="s">
        <v>1920</v>
      </c>
      <c r="E78" s="338" t="s">
        <v>1919</v>
      </c>
    </row>
    <row r="79" spans="1:5" ht="150" x14ac:dyDescent="0.25">
      <c r="A79" t="s">
        <v>463</v>
      </c>
      <c r="B79" t="s">
        <v>464</v>
      </c>
      <c r="C79" t="s">
        <v>463</v>
      </c>
      <c r="D79" s="340" t="s">
        <v>1918</v>
      </c>
      <c r="E79" s="338" t="s">
        <v>1917</v>
      </c>
    </row>
    <row r="80" spans="1:5" ht="315" customHeight="1" x14ac:dyDescent="0.25">
      <c r="A80" t="s">
        <v>463</v>
      </c>
      <c r="B80" s="62" t="s">
        <v>1916</v>
      </c>
      <c r="C80" t="s">
        <v>463</v>
      </c>
      <c r="D80" s="340" t="s">
        <v>1915</v>
      </c>
      <c r="E80" s="338" t="s">
        <v>1914</v>
      </c>
    </row>
    <row r="81" spans="1:5" x14ac:dyDescent="0.25">
      <c r="A81" t="s">
        <v>450</v>
      </c>
      <c r="B81" t="s">
        <v>1688</v>
      </c>
      <c r="C81" t="s">
        <v>1709</v>
      </c>
      <c r="D81" s="360" t="s">
        <v>1844</v>
      </c>
      <c r="E81" s="361" t="s">
        <v>1843</v>
      </c>
    </row>
    <row r="82" spans="1:5" x14ac:dyDescent="0.25">
      <c r="A82" t="s">
        <v>453</v>
      </c>
      <c r="B82" t="s">
        <v>1689</v>
      </c>
      <c r="C82" t="s">
        <v>273</v>
      </c>
      <c r="D82" s="360"/>
      <c r="E82" s="361"/>
    </row>
    <row r="83" spans="1:5" x14ac:dyDescent="0.25">
      <c r="A83" t="s">
        <v>453</v>
      </c>
      <c r="B83" t="s">
        <v>1690</v>
      </c>
      <c r="C83" t="s">
        <v>469</v>
      </c>
      <c r="D83" s="360"/>
      <c r="E83" s="361"/>
    </row>
    <row r="84" spans="1:5" x14ac:dyDescent="0.25">
      <c r="A84" t="s">
        <v>453</v>
      </c>
      <c r="B84" t="s">
        <v>1691</v>
      </c>
      <c r="C84" t="s">
        <v>469</v>
      </c>
      <c r="D84" s="360"/>
      <c r="E84" s="361"/>
    </row>
    <row r="85" spans="1:5" x14ac:dyDescent="0.25">
      <c r="A85" t="s">
        <v>453</v>
      </c>
      <c r="B85" t="s">
        <v>1692</v>
      </c>
      <c r="C85" t="s">
        <v>1710</v>
      </c>
      <c r="D85" s="360"/>
      <c r="E85" s="361"/>
    </row>
    <row r="86" spans="1:5" x14ac:dyDescent="0.25">
      <c r="A86" t="s">
        <v>453</v>
      </c>
      <c r="B86" t="s">
        <v>1693</v>
      </c>
      <c r="C86" t="s">
        <v>1710</v>
      </c>
      <c r="D86" s="360"/>
      <c r="E86" s="361"/>
    </row>
    <row r="87" spans="1:5" x14ac:dyDescent="0.25">
      <c r="A87" t="s">
        <v>453</v>
      </c>
      <c r="B87" t="s">
        <v>1694</v>
      </c>
      <c r="C87" t="s">
        <v>273</v>
      </c>
      <c r="D87" s="360"/>
      <c r="E87" s="361"/>
    </row>
    <row r="88" spans="1:5" x14ac:dyDescent="0.25">
      <c r="A88" t="s">
        <v>453</v>
      </c>
      <c r="B88" t="s">
        <v>1695</v>
      </c>
      <c r="C88" t="s">
        <v>469</v>
      </c>
      <c r="D88" s="360"/>
      <c r="E88" s="361"/>
    </row>
    <row r="89" spans="1:5" x14ac:dyDescent="0.25">
      <c r="A89" t="s">
        <v>453</v>
      </c>
      <c r="B89" t="s">
        <v>1696</v>
      </c>
      <c r="C89" t="s">
        <v>273</v>
      </c>
      <c r="D89" s="360"/>
      <c r="E89" s="361"/>
    </row>
    <row r="90" spans="1:5" x14ac:dyDescent="0.25">
      <c r="A90" t="s">
        <v>453</v>
      </c>
      <c r="B90" t="s">
        <v>1697</v>
      </c>
      <c r="C90" t="s">
        <v>272</v>
      </c>
      <c r="D90" s="360"/>
      <c r="E90" s="361"/>
    </row>
    <row r="91" spans="1:5" x14ac:dyDescent="0.25">
      <c r="A91" t="s">
        <v>453</v>
      </c>
      <c r="B91" t="s">
        <v>1698</v>
      </c>
      <c r="C91" t="s">
        <v>469</v>
      </c>
      <c r="D91" s="360"/>
      <c r="E91" s="361"/>
    </row>
    <row r="92" spans="1:5" x14ac:dyDescent="0.25">
      <c r="A92" t="s">
        <v>453</v>
      </c>
      <c r="B92" t="s">
        <v>1699</v>
      </c>
      <c r="C92" t="s">
        <v>469</v>
      </c>
      <c r="D92" s="360"/>
      <c r="E92" s="361"/>
    </row>
    <row r="93" spans="1:5" x14ac:dyDescent="0.25">
      <c r="A93" t="s">
        <v>453</v>
      </c>
      <c r="B93" t="s">
        <v>1700</v>
      </c>
      <c r="C93" t="s">
        <v>469</v>
      </c>
      <c r="D93" s="360"/>
      <c r="E93" s="361"/>
    </row>
    <row r="94" spans="1:5" x14ac:dyDescent="0.25">
      <c r="A94" t="s">
        <v>453</v>
      </c>
      <c r="B94" t="s">
        <v>1701</v>
      </c>
      <c r="C94" t="s">
        <v>273</v>
      </c>
      <c r="D94" s="360"/>
      <c r="E94" s="361"/>
    </row>
    <row r="95" spans="1:5" x14ac:dyDescent="0.25">
      <c r="A95" t="s">
        <v>453</v>
      </c>
      <c r="B95" t="s">
        <v>1702</v>
      </c>
      <c r="C95" t="s">
        <v>469</v>
      </c>
      <c r="D95" s="360"/>
      <c r="E95" s="361"/>
    </row>
    <row r="96" spans="1:5" x14ac:dyDescent="0.25">
      <c r="A96" t="s">
        <v>459</v>
      </c>
      <c r="B96" t="s">
        <v>1703</v>
      </c>
      <c r="C96" t="s">
        <v>459</v>
      </c>
      <c r="D96" s="360"/>
      <c r="E96" s="361"/>
    </row>
    <row r="97" spans="1:5" s="105" customFormat="1" x14ac:dyDescent="0.25">
      <c r="A97" s="106" t="s">
        <v>463</v>
      </c>
      <c r="B97" s="106" t="s">
        <v>1704</v>
      </c>
      <c r="C97" s="106" t="s">
        <v>463</v>
      </c>
      <c r="D97" s="360"/>
      <c r="E97" s="361"/>
    </row>
    <row r="98" spans="1:5" x14ac:dyDescent="0.25">
      <c r="A98" t="s">
        <v>463</v>
      </c>
      <c r="B98" t="s">
        <v>1705</v>
      </c>
      <c r="C98" t="s">
        <v>463</v>
      </c>
      <c r="D98" s="360"/>
      <c r="E98" s="361"/>
    </row>
    <row r="99" spans="1:5" x14ac:dyDescent="0.25">
      <c r="A99" t="s">
        <v>463</v>
      </c>
      <c r="B99" t="s">
        <v>1706</v>
      </c>
      <c r="C99" t="s">
        <v>469</v>
      </c>
      <c r="D99" s="360"/>
      <c r="E99" s="361"/>
    </row>
  </sheetData>
  <mergeCells count="2">
    <mergeCell ref="D81:D99"/>
    <mergeCell ref="E81:E9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K11"/>
  <sheetViews>
    <sheetView zoomScaleNormal="100" workbookViewId="0">
      <pane xSplit="2" topLeftCell="C1" activePane="topRight" state="frozen"/>
      <selection pane="topRight" activeCell="G16" sqref="G16"/>
    </sheetView>
  </sheetViews>
  <sheetFormatPr defaultRowHeight="15" x14ac:dyDescent="0.25"/>
  <cols>
    <col min="1" max="1" width="38.28515625" customWidth="1"/>
    <col min="2" max="2" width="31.28515625" customWidth="1"/>
    <col min="3" max="3" width="18.7109375" customWidth="1"/>
    <col min="4" max="4" width="24.140625" customWidth="1"/>
    <col min="5" max="5" width="21.85546875" customWidth="1"/>
    <col min="6" max="6" width="14.28515625" customWidth="1"/>
    <col min="7" max="7" width="22" customWidth="1"/>
    <col min="8" max="8" width="12" bestFit="1" customWidth="1"/>
    <col min="9" max="9" width="14.5703125" customWidth="1"/>
    <col min="10" max="10" width="24" customWidth="1"/>
    <col min="11" max="11" width="12" bestFit="1" customWidth="1"/>
    <col min="12" max="12" width="12.85546875" customWidth="1"/>
    <col min="13" max="13" width="22" customWidth="1"/>
    <col min="14" max="16" width="12" bestFit="1" customWidth="1"/>
    <col min="17" max="17" width="12" customWidth="1"/>
    <col min="18" max="18" width="12" bestFit="1" customWidth="1"/>
    <col min="19" max="19" width="12" customWidth="1"/>
    <col min="20" max="37" width="12" bestFit="1" customWidth="1"/>
    <col min="38" max="38" width="10.7109375" customWidth="1"/>
  </cols>
  <sheetData>
    <row r="1" spans="1:37" x14ac:dyDescent="0.25">
      <c r="A1" s="56" t="s">
        <v>1990</v>
      </c>
      <c r="B1" s="59"/>
      <c r="C1" s="56"/>
      <c r="D1" s="56"/>
      <c r="E1" s="56"/>
      <c r="F1" s="56"/>
      <c r="G1" s="56"/>
      <c r="H1" s="56"/>
      <c r="I1" s="56"/>
    </row>
    <row r="2" spans="1:37" x14ac:dyDescent="0.25">
      <c r="B2">
        <v>2015</v>
      </c>
      <c r="C2">
        <v>2020</v>
      </c>
      <c r="D2">
        <v>2025</v>
      </c>
      <c r="E2">
        <v>2030</v>
      </c>
      <c r="F2">
        <v>2035</v>
      </c>
      <c r="G2">
        <v>2040</v>
      </c>
      <c r="H2">
        <v>2045</v>
      </c>
      <c r="I2">
        <v>2050</v>
      </c>
    </row>
    <row r="3" spans="1:37" x14ac:dyDescent="0.25">
      <c r="A3" t="s">
        <v>1989</v>
      </c>
      <c r="B3">
        <v>215</v>
      </c>
      <c r="C3">
        <v>285</v>
      </c>
      <c r="D3">
        <v>373</v>
      </c>
      <c r="E3">
        <v>420</v>
      </c>
      <c r="F3">
        <v>463</v>
      </c>
      <c r="G3">
        <v>500</v>
      </c>
      <c r="H3">
        <v>531</v>
      </c>
      <c r="I3">
        <v>556</v>
      </c>
    </row>
    <row r="4" spans="1:37" x14ac:dyDescent="0.25">
      <c r="A4" t="s">
        <v>1993</v>
      </c>
      <c r="B4">
        <v>212</v>
      </c>
      <c r="C4">
        <v>252</v>
      </c>
      <c r="D4">
        <v>305</v>
      </c>
      <c r="E4">
        <v>313</v>
      </c>
      <c r="F4">
        <v>335</v>
      </c>
      <c r="G4">
        <v>359</v>
      </c>
      <c r="H4">
        <v>379</v>
      </c>
      <c r="I4">
        <v>394</v>
      </c>
    </row>
    <row r="6" spans="1:37" x14ac:dyDescent="0.25">
      <c r="A6" s="56" t="s">
        <v>1991</v>
      </c>
      <c r="B6" s="59"/>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row>
    <row r="7" spans="1:37" x14ac:dyDescent="0.25">
      <c r="B7" s="62">
        <v>2015</v>
      </c>
      <c r="C7" s="62">
        <v>2016</v>
      </c>
      <c r="D7" s="62">
        <v>2017</v>
      </c>
      <c r="E7" s="62">
        <v>2018</v>
      </c>
      <c r="F7" s="62">
        <v>2019</v>
      </c>
      <c r="G7" s="62">
        <v>2020</v>
      </c>
      <c r="H7" s="62">
        <v>2021</v>
      </c>
      <c r="I7" s="62">
        <v>2022</v>
      </c>
      <c r="J7" s="62">
        <v>2023</v>
      </c>
      <c r="K7" s="62">
        <v>2024</v>
      </c>
      <c r="L7" s="62">
        <v>2025</v>
      </c>
      <c r="M7" s="62">
        <v>2026</v>
      </c>
      <c r="N7" s="62">
        <v>2027</v>
      </c>
      <c r="O7" s="62">
        <v>2028</v>
      </c>
      <c r="P7" s="62">
        <v>2029</v>
      </c>
      <c r="Q7" s="62">
        <v>2030</v>
      </c>
      <c r="R7" s="62">
        <v>2031</v>
      </c>
      <c r="S7" s="62">
        <v>2032</v>
      </c>
      <c r="T7" s="62">
        <v>2033</v>
      </c>
      <c r="U7" s="62">
        <v>2034</v>
      </c>
      <c r="V7" s="62">
        <v>2035</v>
      </c>
      <c r="W7" s="62">
        <v>2036</v>
      </c>
      <c r="X7" s="62">
        <v>2037</v>
      </c>
      <c r="Y7" s="62">
        <v>2038</v>
      </c>
      <c r="Z7" s="62">
        <v>2039</v>
      </c>
      <c r="AA7" s="62">
        <v>2040</v>
      </c>
      <c r="AB7" s="62">
        <v>2041</v>
      </c>
      <c r="AC7" s="62">
        <v>2042</v>
      </c>
      <c r="AD7" s="62">
        <v>2043</v>
      </c>
      <c r="AE7" s="62">
        <v>2044</v>
      </c>
      <c r="AF7" s="62">
        <v>2045</v>
      </c>
      <c r="AG7" s="62">
        <v>2046</v>
      </c>
      <c r="AH7" s="62">
        <v>2047</v>
      </c>
      <c r="AI7" s="62">
        <v>2048</v>
      </c>
      <c r="AJ7" s="62">
        <v>2049</v>
      </c>
      <c r="AK7" s="62">
        <v>2050</v>
      </c>
    </row>
    <row r="8" spans="1:37" x14ac:dyDescent="0.25">
      <c r="A8" t="s">
        <v>1989</v>
      </c>
      <c r="B8">
        <f>TREND($B$3:$C$3,$B$2:$C$2,B7)</f>
        <v>215</v>
      </c>
      <c r="C8">
        <f>TREND($B$3:$C$3,$B$2:$C$2,C7)</f>
        <v>229</v>
      </c>
      <c r="D8">
        <f>TREND($B$3:$C$3,$B$2:$C$2,D7)</f>
        <v>243</v>
      </c>
      <c r="E8">
        <f>TREND($B$3:$C$3,$B$2:$C$2,E7)</f>
        <v>257</v>
      </c>
      <c r="F8">
        <f>TREND($B$3:$C$3,$B$2:$C$2,F7)</f>
        <v>271</v>
      </c>
      <c r="G8">
        <f>TREND($B$3:$C$3,$B$2:$C$2,G7)</f>
        <v>285</v>
      </c>
      <c r="H8">
        <f>TREND($C$3:$D$3,$C$2:$D$2,H7)</f>
        <v>302.60000000000582</v>
      </c>
      <c r="I8">
        <f>TREND($C$3:$D$3,$C$2:$D$2,I7)</f>
        <v>320.20000000000437</v>
      </c>
      <c r="J8">
        <f>TREND($C$3:$D$3,$C$2:$D$2,J7)</f>
        <v>337.80000000000291</v>
      </c>
      <c r="K8">
        <f>TREND($C$3:$D$3,$C$2:$D$2,K7)</f>
        <v>355.40000000000146</v>
      </c>
      <c r="L8">
        <f>TREND($C$3:$D$3,$C$2:$D$2,L7)</f>
        <v>373</v>
      </c>
      <c r="M8">
        <f>TREND($D$3:$E$3,$D$2:$E$2,M7)</f>
        <v>382.40000000000146</v>
      </c>
      <c r="N8">
        <f>TREND($D$3:$E$3,$D$2:$E$2,N7)</f>
        <v>391.79999999999927</v>
      </c>
      <c r="O8">
        <f>TREND($D$3:$E$3,$D$2:$E$2,O7)</f>
        <v>401.20000000000073</v>
      </c>
      <c r="P8">
        <f>TREND($D$3:$E$3,$D$2:$E$2,P7)</f>
        <v>410.60000000000218</v>
      </c>
      <c r="Q8">
        <f>TREND($D$3:$E$3,$D$2:$E$2,Q7)</f>
        <v>420</v>
      </c>
      <c r="R8">
        <f>TREND($E$3:$F$3,$E$2:$F$2,R7)</f>
        <v>428.59999999999854</v>
      </c>
      <c r="S8">
        <f>TREND($E$3:$F$3,$E$2:$F$2,S7)</f>
        <v>437.20000000000073</v>
      </c>
      <c r="T8">
        <f>TREND($E$3:$F$3,$E$2:$F$2,T7)</f>
        <v>445.79999999999927</v>
      </c>
      <c r="U8">
        <f>TREND($E$3:$F$3,$E$2:$F$2,U7)</f>
        <v>454.39999999999782</v>
      </c>
      <c r="V8">
        <f>TREND($E$3:$F$3,$E$2:$F$2,V7)</f>
        <v>463</v>
      </c>
      <c r="W8">
        <f>TREND($F$3:$G$3,$F$2:$G$2,W7)</f>
        <v>470.40000000000146</v>
      </c>
      <c r="X8">
        <f>TREND($F$3:$G$3,$F$2:$G$2,X7)</f>
        <v>477.80000000000109</v>
      </c>
      <c r="Y8">
        <f>TREND($F$3:$G$3,$F$2:$G$2,Y7)</f>
        <v>485.20000000000073</v>
      </c>
      <c r="Z8">
        <f>TREND($F$3:$G$3,$F$2:$G$2,Z7)</f>
        <v>492.60000000000036</v>
      </c>
      <c r="AA8">
        <f>TREND($F$3:$G$3,$F$2:$G$2,AA7)</f>
        <v>500</v>
      </c>
      <c r="AB8">
        <f>TREND($G$3:$H$3,$G$2:$H$2,AB7)</f>
        <v>506.20000000000073</v>
      </c>
      <c r="AC8">
        <f>TREND($G$3:$H$3,$G$2:$H$2,AC7)</f>
        <v>512.39999999999964</v>
      </c>
      <c r="AD8">
        <f>TREND($G$3:$H$3,$G$2:$H$2,AD7)</f>
        <v>518.60000000000036</v>
      </c>
      <c r="AE8">
        <f>TREND($G$3:$H$3,$G$2:$H$2,AE7)</f>
        <v>524.80000000000109</v>
      </c>
      <c r="AF8">
        <f>TREND($G$3:$H$3,$G$2:$H$2,AF7)</f>
        <v>531</v>
      </c>
      <c r="AG8">
        <f>TREND($H$3:$I$3,$H$2:$I$2,AG7)</f>
        <v>536</v>
      </c>
      <c r="AH8">
        <f>TREND($H$3:$I$3,$H$2:$I$2,AH7)</f>
        <v>541</v>
      </c>
      <c r="AI8">
        <f>TREND($H$3:$I$3,$H$2:$I$2,AI7)</f>
        <v>546</v>
      </c>
      <c r="AJ8">
        <f>TREND($H$3:$I$3,$H$2:$I$2,AJ7)</f>
        <v>551</v>
      </c>
      <c r="AK8">
        <f>TREND($H$3:$I$3,$H$2:$I$2,AK7)</f>
        <v>556</v>
      </c>
    </row>
    <row r="9" spans="1:37" x14ac:dyDescent="0.25">
      <c r="A9" t="s">
        <v>1992</v>
      </c>
      <c r="B9">
        <f>TREND($B$4:$C$4,$B$2:$C$2,B7)</f>
        <v>212</v>
      </c>
      <c r="C9">
        <f>TREND($B$4:$C$4,$B$2:$C$2,C7)</f>
        <v>220</v>
      </c>
      <c r="D9">
        <f>TREND($B$4:$C$4,$B$2:$C$2,D7)</f>
        <v>228</v>
      </c>
      <c r="E9">
        <f>TREND($B$4:$C$4,$B$2:$C$2,E7)</f>
        <v>236</v>
      </c>
      <c r="F9">
        <f>TREND($B$4:$C$4,$B$2:$C$2,F7)</f>
        <v>244</v>
      </c>
      <c r="G9">
        <f>TREND($B$4:$C$4,$B$2:$C$2,G7)</f>
        <v>252</v>
      </c>
      <c r="H9">
        <f>TREND($C$4:$D$4,$C$2:$D$2,H7)</f>
        <v>262.59999999999854</v>
      </c>
      <c r="I9">
        <f>TREND($C$4:$D$4,$C$2:$D$2,I7)</f>
        <v>273.20000000000073</v>
      </c>
      <c r="J9">
        <f>TREND($C$4:$D$4,$C$2:$D$2,J7)</f>
        <v>283.79999999999927</v>
      </c>
      <c r="K9">
        <f>TREND($C$4:$D$4,$C$2:$D$2,K7)</f>
        <v>294.39999999999782</v>
      </c>
      <c r="L9">
        <f>TREND($C$4:$D$4,$C$2:$D$2,L7)</f>
        <v>305</v>
      </c>
      <c r="M9">
        <f>TREND($D$4:$E$4,$D$2:$E$2,M7)</f>
        <v>306.60000000000036</v>
      </c>
      <c r="N9">
        <f>TREND($D$4:$E$4,$D$2:$E$2,N7)</f>
        <v>308.20000000000027</v>
      </c>
      <c r="O9">
        <f>TREND($D$4:$E$4,$D$2:$E$2,O7)</f>
        <v>309.80000000000018</v>
      </c>
      <c r="P9">
        <f>TREND($D$4:$E$4,$D$2:$E$2,P7)</f>
        <v>311.40000000000009</v>
      </c>
      <c r="Q9">
        <f>TREND($D$4:$E$4,$D$2:$E$2,Q7)</f>
        <v>313</v>
      </c>
      <c r="R9">
        <f>TREND($E$4:$F$4,$E$2:$F$2,R7)</f>
        <v>317.40000000000146</v>
      </c>
      <c r="S9">
        <f>TREND($E$4:$F$4,$E$2:$F$2,S7)</f>
        <v>321.80000000000109</v>
      </c>
      <c r="T9">
        <f>TREND($E$4:$F$4,$E$2:$F$2,T7)</f>
        <v>326.20000000000073</v>
      </c>
      <c r="U9">
        <f>TREND($E$4:$F$4,$E$2:$F$2,U7)</f>
        <v>330.60000000000036</v>
      </c>
      <c r="V9">
        <f>TREND($E$4:$F$4,$E$2:$F$2,V7)</f>
        <v>335</v>
      </c>
      <c r="W9">
        <f>TREND($F$4:$G$4,$F$2:$G$2,W7)</f>
        <v>339.79999999999927</v>
      </c>
      <c r="X9">
        <f>TREND($F$4:$G$4,$F$2:$G$2,X7)</f>
        <v>344.60000000000036</v>
      </c>
      <c r="Y9">
        <f>TREND($F$4:$G$4,$F$2:$G$2,Y7)</f>
        <v>349.39999999999964</v>
      </c>
      <c r="Z9">
        <f>TREND($F$4:$G$4,$F$2:$G$2,Z7)</f>
        <v>354.19999999999891</v>
      </c>
      <c r="AA9">
        <f>TREND($F$4:$G$4,$F$2:$G$2,AA7)</f>
        <v>359</v>
      </c>
      <c r="AB9">
        <f>TREND($G$4:$H$4,$G$2:$H$2,AB7)</f>
        <v>363</v>
      </c>
      <c r="AC9">
        <f>TREND($G$4:$H$4,$G$2:$H$2,AC7)</f>
        <v>367</v>
      </c>
      <c r="AD9">
        <f>TREND($G$4:$H$4,$G$2:$H$2,AD7)</f>
        <v>371</v>
      </c>
      <c r="AE9">
        <f>TREND($G$4:$H$4,$G$2:$H$2,AE7)</f>
        <v>375</v>
      </c>
      <c r="AF9">
        <f>TREND($G$4:$H$4,$G$2:$H$2,AF7)</f>
        <v>379</v>
      </c>
      <c r="AG9">
        <f>TREND($H$4:$I$4,$H$2:$I$2,AG7)</f>
        <v>382</v>
      </c>
      <c r="AH9">
        <f>TREND($H$4:$I$4,$H$2:$I$2,AH7)</f>
        <v>385</v>
      </c>
      <c r="AI9">
        <f>TREND($H$4:$I$4,$H$2:$I$2,AI7)</f>
        <v>388</v>
      </c>
      <c r="AJ9">
        <f>TREND($H$4:$I$4,$H$2:$I$2,AJ7)</f>
        <v>391</v>
      </c>
      <c r="AK9">
        <f>TREND($H$4:$I$4,$H$2:$I$2,AK7)</f>
        <v>394</v>
      </c>
    </row>
    <row r="11" spans="1:37" x14ac:dyDescent="0.25">
      <c r="A11" t="s">
        <v>486</v>
      </c>
      <c r="B11" s="64">
        <f>B9*10^6</f>
        <v>212000000</v>
      </c>
      <c r="C11" s="64">
        <f t="shared" ref="C11:AK11" si="0">C9*10^6</f>
        <v>220000000</v>
      </c>
      <c r="D11" s="64">
        <f t="shared" si="0"/>
        <v>228000000</v>
      </c>
      <c r="E11" s="64">
        <f t="shared" si="0"/>
        <v>236000000</v>
      </c>
      <c r="F11" s="64">
        <f t="shared" si="0"/>
        <v>244000000</v>
      </c>
      <c r="G11" s="64">
        <f t="shared" si="0"/>
        <v>252000000</v>
      </c>
      <c r="H11" s="64">
        <f t="shared" si="0"/>
        <v>262599999.99999854</v>
      </c>
      <c r="I11" s="64">
        <f t="shared" si="0"/>
        <v>273200000.00000072</v>
      </c>
      <c r="J11" s="64">
        <f t="shared" si="0"/>
        <v>283799999.99999928</v>
      </c>
      <c r="K11" s="64">
        <f t="shared" si="0"/>
        <v>294399999.99999779</v>
      </c>
      <c r="L11" s="64">
        <f t="shared" si="0"/>
        <v>305000000</v>
      </c>
      <c r="M11" s="64">
        <f t="shared" si="0"/>
        <v>306600000.00000036</v>
      </c>
      <c r="N11" s="64">
        <f t="shared" si="0"/>
        <v>308200000.0000003</v>
      </c>
      <c r="O11" s="64">
        <f t="shared" si="0"/>
        <v>309800000.00000018</v>
      </c>
      <c r="P11" s="64">
        <f t="shared" si="0"/>
        <v>311400000.00000012</v>
      </c>
      <c r="Q11" s="64">
        <f t="shared" si="0"/>
        <v>313000000</v>
      </c>
      <c r="R11" s="64">
        <f t="shared" si="0"/>
        <v>317400000.00000143</v>
      </c>
      <c r="S11" s="64">
        <f t="shared" si="0"/>
        <v>321800000.00000107</v>
      </c>
      <c r="T11" s="64">
        <f t="shared" si="0"/>
        <v>326200000.00000072</v>
      </c>
      <c r="U11" s="64">
        <f t="shared" si="0"/>
        <v>330600000.00000036</v>
      </c>
      <c r="V11" s="64">
        <f t="shared" si="0"/>
        <v>335000000</v>
      </c>
      <c r="W11" s="64">
        <f t="shared" si="0"/>
        <v>339799999.99999928</v>
      </c>
      <c r="X11" s="64">
        <f t="shared" si="0"/>
        <v>344600000.00000036</v>
      </c>
      <c r="Y11" s="64">
        <f t="shared" si="0"/>
        <v>349399999.99999964</v>
      </c>
      <c r="Z11" s="64">
        <f t="shared" si="0"/>
        <v>354199999.99999893</v>
      </c>
      <c r="AA11" s="64">
        <f t="shared" si="0"/>
        <v>359000000</v>
      </c>
      <c r="AB11" s="64">
        <f t="shared" si="0"/>
        <v>363000000</v>
      </c>
      <c r="AC11" s="64">
        <f t="shared" si="0"/>
        <v>367000000</v>
      </c>
      <c r="AD11" s="64">
        <f t="shared" si="0"/>
        <v>371000000</v>
      </c>
      <c r="AE11" s="64">
        <f t="shared" si="0"/>
        <v>375000000</v>
      </c>
      <c r="AF11" s="64">
        <f t="shared" si="0"/>
        <v>379000000</v>
      </c>
      <c r="AG11" s="64">
        <f t="shared" si="0"/>
        <v>382000000</v>
      </c>
      <c r="AH11" s="64">
        <f t="shared" si="0"/>
        <v>385000000</v>
      </c>
      <c r="AI11" s="64">
        <f t="shared" si="0"/>
        <v>388000000</v>
      </c>
      <c r="AJ11" s="64">
        <f t="shared" si="0"/>
        <v>391000000</v>
      </c>
      <c r="AK11" s="64">
        <f t="shared" si="0"/>
        <v>394000000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19"/>
  <sheetViews>
    <sheetView workbookViewId="0">
      <selection activeCell="B19" sqref="B19"/>
    </sheetView>
  </sheetViews>
  <sheetFormatPr defaultRowHeight="15" x14ac:dyDescent="0.25"/>
  <cols>
    <col min="1" max="1" width="30" bestFit="1" customWidth="1"/>
    <col min="2" max="2" width="12.42578125" customWidth="1"/>
  </cols>
  <sheetData>
    <row r="1" spans="1:37" x14ac:dyDescent="0.25">
      <c r="A1" s="56" t="s">
        <v>956</v>
      </c>
      <c r="B1" s="56"/>
      <c r="C1" s="56"/>
      <c r="D1" s="56"/>
      <c r="E1" s="56"/>
      <c r="F1" s="56"/>
      <c r="G1" s="56"/>
    </row>
    <row r="2" spans="1:37" x14ac:dyDescent="0.25">
      <c r="B2">
        <v>2006</v>
      </c>
      <c r="C2">
        <v>2011</v>
      </c>
      <c r="D2">
        <v>2012</v>
      </c>
      <c r="E2">
        <v>2013</v>
      </c>
      <c r="F2">
        <v>2014</v>
      </c>
      <c r="G2">
        <v>2015</v>
      </c>
    </row>
    <row r="3" spans="1:37" x14ac:dyDescent="0.25">
      <c r="A3" t="s">
        <v>957</v>
      </c>
      <c r="B3">
        <v>2284</v>
      </c>
      <c r="C3">
        <v>1986</v>
      </c>
      <c r="D3">
        <v>2070</v>
      </c>
      <c r="E3">
        <v>1948</v>
      </c>
      <c r="F3">
        <v>1710</v>
      </c>
      <c r="G3">
        <v>1587</v>
      </c>
    </row>
    <row r="5" spans="1:37" x14ac:dyDescent="0.25">
      <c r="A5" s="56" t="s">
        <v>958</v>
      </c>
      <c r="B5" s="56"/>
      <c r="C5" s="56"/>
      <c r="D5" s="56"/>
      <c r="E5" s="56"/>
      <c r="F5" s="56"/>
      <c r="G5" s="56"/>
    </row>
    <row r="6" spans="1:37" x14ac:dyDescent="0.25">
      <c r="B6">
        <v>2006</v>
      </c>
      <c r="C6">
        <v>2011</v>
      </c>
      <c r="D6">
        <v>2012</v>
      </c>
      <c r="E6">
        <v>2013</v>
      </c>
      <c r="F6">
        <v>2014</v>
      </c>
      <c r="G6">
        <v>2015</v>
      </c>
    </row>
    <row r="7" spans="1:37" x14ac:dyDescent="0.25">
      <c r="A7" t="s">
        <v>643</v>
      </c>
      <c r="B7" s="341">
        <f>'Cross-Page Data'!R43/1000</f>
        <v>3.8010000000000002</v>
      </c>
      <c r="C7" s="341">
        <f>'Cross-Page Data'!W43/1000</f>
        <v>3.2919999999999998</v>
      </c>
      <c r="D7" s="341">
        <f>'Cross-Page Data'!X43/1000</f>
        <v>3.4390000000000001</v>
      </c>
      <c r="E7" s="341">
        <f>'Cross-Page Data'!Y43/1000</f>
        <v>3.2549999999999999</v>
      </c>
      <c r="F7" s="341">
        <f>'Cross-Page Data'!Z43/1000</f>
        <v>2.8330000000000002</v>
      </c>
      <c r="G7" s="341">
        <f>'Cross-Page Data'!AA43/1000</f>
        <v>2.7669999999999999</v>
      </c>
    </row>
    <row r="8" spans="1:37" x14ac:dyDescent="0.25">
      <c r="A8" t="s">
        <v>959</v>
      </c>
      <c r="B8">
        <f>'Cross-Page Data'!R183</f>
        <v>2.9</v>
      </c>
      <c r="C8">
        <f>'Cross-Page Data'!W183</f>
        <v>3.5</v>
      </c>
      <c r="D8">
        <f>'Cross-Page Data'!X183</f>
        <v>2.9</v>
      </c>
      <c r="E8">
        <f>'Cross-Page Data'!Y183</f>
        <v>3</v>
      </c>
      <c r="F8">
        <f>'Cross-Page Data'!Z183</f>
        <v>2.5</v>
      </c>
      <c r="G8">
        <f>'Cross-Page Data'!AA183</f>
        <v>2</v>
      </c>
    </row>
    <row r="10" spans="1:37" x14ac:dyDescent="0.25">
      <c r="A10" s="56" t="s">
        <v>960</v>
      </c>
      <c r="B10" s="56"/>
      <c r="C10" s="56"/>
      <c r="D10" s="56"/>
      <c r="E10" s="56"/>
      <c r="F10" s="56"/>
      <c r="G10" s="56"/>
      <c r="H10" s="59"/>
      <c r="I10" s="59"/>
    </row>
    <row r="11" spans="1:37" x14ac:dyDescent="0.25">
      <c r="B11">
        <v>2006</v>
      </c>
      <c r="C11">
        <v>2011</v>
      </c>
      <c r="D11">
        <v>2012</v>
      </c>
      <c r="E11">
        <v>2013</v>
      </c>
      <c r="F11">
        <v>2014</v>
      </c>
      <c r="G11">
        <v>2015</v>
      </c>
      <c r="H11" t="s">
        <v>763</v>
      </c>
      <c r="I11" t="s">
        <v>963</v>
      </c>
    </row>
    <row r="12" spans="1:37" x14ac:dyDescent="0.25">
      <c r="A12" t="s">
        <v>961</v>
      </c>
      <c r="B12" s="104">
        <f>B7/B3</f>
        <v>1.6641856392294221E-3</v>
      </c>
      <c r="C12">
        <f>C7/C3</f>
        <v>1.6576032225579052E-3</v>
      </c>
      <c r="D12">
        <f t="shared" ref="D12:G12" si="0">D7/D3</f>
        <v>1.661352657004831E-3</v>
      </c>
      <c r="E12">
        <f t="shared" si="0"/>
        <v>1.6709445585215605E-3</v>
      </c>
      <c r="F12">
        <f t="shared" si="0"/>
        <v>1.6567251461988306E-3</v>
      </c>
      <c r="G12">
        <f t="shared" si="0"/>
        <v>1.74354127284184E-3</v>
      </c>
      <c r="H12">
        <f>AVERAGE(C12:G12)</f>
        <v>1.6780333714249934E-3</v>
      </c>
      <c r="I12" t="s">
        <v>775</v>
      </c>
    </row>
    <row r="13" spans="1:37" x14ac:dyDescent="0.25">
      <c r="A13" t="s">
        <v>962</v>
      </c>
      <c r="B13" s="104">
        <f>B8/B3</f>
        <v>1.2697022767075305E-3</v>
      </c>
      <c r="C13">
        <f>C8/C3</f>
        <v>1.7623363544813696E-3</v>
      </c>
      <c r="D13">
        <f t="shared" ref="D13:G13" si="1">D8/D3</f>
        <v>1.4009661835748793E-3</v>
      </c>
      <c r="E13">
        <f t="shared" si="1"/>
        <v>1.540041067761807E-3</v>
      </c>
      <c r="F13">
        <f t="shared" si="1"/>
        <v>1.4619883040935672E-3</v>
      </c>
      <c r="G13">
        <f t="shared" si="1"/>
        <v>1.260239445494644E-3</v>
      </c>
      <c r="H13">
        <f>AVERAGE(C13:G13)</f>
        <v>1.4851142710812534E-3</v>
      </c>
      <c r="I13">
        <f>0.5*B13</f>
        <v>6.3485113835376526E-4</v>
      </c>
    </row>
    <row r="16" spans="1:37" x14ac:dyDescent="0.25">
      <c r="A16" s="56" t="s">
        <v>737</v>
      </c>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row>
    <row r="17" spans="1:37" x14ac:dyDescent="0.25">
      <c r="B17">
        <v>2015</v>
      </c>
      <c r="C17">
        <v>2016</v>
      </c>
      <c r="D17">
        <v>2017</v>
      </c>
      <c r="E17">
        <v>2018</v>
      </c>
      <c r="F17">
        <v>2019</v>
      </c>
      <c r="G17">
        <v>2020</v>
      </c>
      <c r="H17">
        <v>2021</v>
      </c>
      <c r="I17">
        <v>2022</v>
      </c>
      <c r="J17">
        <v>2023</v>
      </c>
      <c r="K17">
        <v>2024</v>
      </c>
      <c r="L17">
        <v>2025</v>
      </c>
      <c r="M17">
        <v>2026</v>
      </c>
      <c r="N17">
        <v>2027</v>
      </c>
      <c r="O17">
        <v>2028</v>
      </c>
      <c r="P17">
        <v>2029</v>
      </c>
      <c r="Q17">
        <v>2030</v>
      </c>
      <c r="R17">
        <v>2031</v>
      </c>
      <c r="S17">
        <v>2032</v>
      </c>
      <c r="T17">
        <v>2033</v>
      </c>
      <c r="U17">
        <v>2034</v>
      </c>
      <c r="V17">
        <v>2035</v>
      </c>
      <c r="W17">
        <v>2036</v>
      </c>
      <c r="X17">
        <v>2037</v>
      </c>
      <c r="Y17">
        <v>2038</v>
      </c>
      <c r="Z17">
        <v>2039</v>
      </c>
      <c r="AA17">
        <v>2040</v>
      </c>
      <c r="AB17">
        <v>2041</v>
      </c>
      <c r="AC17">
        <v>2042</v>
      </c>
      <c r="AD17">
        <v>2043</v>
      </c>
      <c r="AE17">
        <v>2044</v>
      </c>
      <c r="AF17">
        <v>2045</v>
      </c>
      <c r="AG17">
        <v>2046</v>
      </c>
      <c r="AH17">
        <v>2047</v>
      </c>
      <c r="AI17">
        <v>2048</v>
      </c>
      <c r="AJ17">
        <v>2049</v>
      </c>
      <c r="AK17">
        <v>2050</v>
      </c>
    </row>
    <row r="18" spans="1:37" x14ac:dyDescent="0.25">
      <c r="A18" t="s">
        <v>964</v>
      </c>
      <c r="B18">
        <f>G7</f>
        <v>2.7669999999999999</v>
      </c>
      <c r="C18">
        <f>H12*G3</f>
        <v>2.6630389604514644</v>
      </c>
      <c r="D18">
        <f>C18</f>
        <v>2.6630389604514644</v>
      </c>
      <c r="E18">
        <f t="shared" ref="E18:AK18" si="2">D18</f>
        <v>2.6630389604514644</v>
      </c>
      <c r="F18">
        <f t="shared" si="2"/>
        <v>2.6630389604514644</v>
      </c>
      <c r="G18">
        <f t="shared" si="2"/>
        <v>2.6630389604514644</v>
      </c>
      <c r="H18">
        <f t="shared" si="2"/>
        <v>2.6630389604514644</v>
      </c>
      <c r="I18">
        <f t="shared" si="2"/>
        <v>2.6630389604514644</v>
      </c>
      <c r="J18">
        <f t="shared" si="2"/>
        <v>2.6630389604514644</v>
      </c>
      <c r="K18">
        <f t="shared" si="2"/>
        <v>2.6630389604514644</v>
      </c>
      <c r="L18">
        <f t="shared" si="2"/>
        <v>2.6630389604514644</v>
      </c>
      <c r="M18">
        <f t="shared" si="2"/>
        <v>2.6630389604514644</v>
      </c>
      <c r="N18">
        <f t="shared" si="2"/>
        <v>2.6630389604514644</v>
      </c>
      <c r="O18">
        <f t="shared" si="2"/>
        <v>2.6630389604514644</v>
      </c>
      <c r="P18">
        <f t="shared" si="2"/>
        <v>2.6630389604514644</v>
      </c>
      <c r="Q18">
        <f t="shared" si="2"/>
        <v>2.6630389604514644</v>
      </c>
      <c r="R18">
        <f t="shared" si="2"/>
        <v>2.6630389604514644</v>
      </c>
      <c r="S18">
        <f t="shared" si="2"/>
        <v>2.6630389604514644</v>
      </c>
      <c r="T18">
        <f t="shared" si="2"/>
        <v>2.6630389604514644</v>
      </c>
      <c r="U18">
        <f t="shared" si="2"/>
        <v>2.6630389604514644</v>
      </c>
      <c r="V18">
        <f t="shared" si="2"/>
        <v>2.6630389604514644</v>
      </c>
      <c r="W18">
        <f t="shared" si="2"/>
        <v>2.6630389604514644</v>
      </c>
      <c r="X18">
        <f t="shared" si="2"/>
        <v>2.6630389604514644</v>
      </c>
      <c r="Y18">
        <f t="shared" si="2"/>
        <v>2.6630389604514644</v>
      </c>
      <c r="Z18">
        <f t="shared" si="2"/>
        <v>2.6630389604514644</v>
      </c>
      <c r="AA18">
        <f t="shared" si="2"/>
        <v>2.6630389604514644</v>
      </c>
      <c r="AB18">
        <f t="shared" si="2"/>
        <v>2.6630389604514644</v>
      </c>
      <c r="AC18">
        <f t="shared" si="2"/>
        <v>2.6630389604514644</v>
      </c>
      <c r="AD18">
        <f t="shared" si="2"/>
        <v>2.6630389604514644</v>
      </c>
      <c r="AE18">
        <f t="shared" si="2"/>
        <v>2.6630389604514644</v>
      </c>
      <c r="AF18">
        <f t="shared" si="2"/>
        <v>2.6630389604514644</v>
      </c>
      <c r="AG18">
        <f t="shared" si="2"/>
        <v>2.6630389604514644</v>
      </c>
      <c r="AH18">
        <f t="shared" si="2"/>
        <v>2.6630389604514644</v>
      </c>
      <c r="AI18">
        <f t="shared" si="2"/>
        <v>2.6630389604514644</v>
      </c>
      <c r="AJ18">
        <f t="shared" si="2"/>
        <v>2.6630389604514644</v>
      </c>
      <c r="AK18">
        <f t="shared" si="2"/>
        <v>2.6630389604514644</v>
      </c>
    </row>
    <row r="19" spans="1:37" x14ac:dyDescent="0.25">
      <c r="A19" t="s">
        <v>959</v>
      </c>
      <c r="B19">
        <f>G8</f>
        <v>2</v>
      </c>
      <c r="C19" s="102">
        <f>(($I$13-$G$13)/5*COUNTIF($C$17:C17,"&lt;="&amp;2020)+$G$13)*$G$3</f>
        <v>1.801501751313485</v>
      </c>
      <c r="D19" s="102">
        <f>(($I$13-$G$13)/5*COUNTIF($C$17:D17,"&lt;="&amp;2020)+$G$13)*$G$3</f>
        <v>1.60300350262697</v>
      </c>
      <c r="E19" s="102">
        <f>(($I$13-$G$13)/5*COUNTIF($C$17:E17,"&lt;="&amp;2020)+$G$13)*$G$3</f>
        <v>1.4045052539404554</v>
      </c>
      <c r="F19" s="102">
        <f>(($I$13-$G$13)/5*COUNTIF($C$17:F17,"&lt;="&amp;2020)+$G$13)*$G$3</f>
        <v>1.2060070052539402</v>
      </c>
      <c r="G19" s="102">
        <f>(($I$13-$G$13)/5*COUNTIF($C$17:G17,"&lt;="&amp;2020)+$G$13)*$G$3</f>
        <v>1.0075087565674252</v>
      </c>
      <c r="H19" s="102">
        <f>(($I$13-$G$13)/5*COUNTIF($C$17:H17,"&lt;="&amp;2020)+$G$13)*$G$3</f>
        <v>1.0075087565674252</v>
      </c>
      <c r="I19" s="102">
        <f>(($I$13-$G$13)/5*COUNTIF($C$17:I17,"&lt;="&amp;2020)+$G$13)*$G$3</f>
        <v>1.0075087565674252</v>
      </c>
      <c r="J19" s="102">
        <f>(($I$13-$G$13)/5*COUNTIF($C$17:J17,"&lt;="&amp;2020)+$G$13)*$G$3</f>
        <v>1.0075087565674252</v>
      </c>
      <c r="K19" s="102">
        <f>(($I$13-$G$13)/5*COUNTIF($C$17:K17,"&lt;="&amp;2020)+$G$13)*$G$3</f>
        <v>1.0075087565674252</v>
      </c>
      <c r="L19" s="102">
        <f>(($I$13-$G$13)/5*COUNTIF($C$17:L17,"&lt;="&amp;2020)+$G$13)*$G$3</f>
        <v>1.0075087565674252</v>
      </c>
      <c r="M19" s="102">
        <f>(($I$13-$G$13)/5*COUNTIF($C$17:M17,"&lt;="&amp;2020)+$G$13)*$G$3</f>
        <v>1.0075087565674252</v>
      </c>
      <c r="N19" s="102">
        <f>(($I$13-$G$13)/5*COUNTIF($C$17:N17,"&lt;="&amp;2020)+$G$13)*$G$3</f>
        <v>1.0075087565674252</v>
      </c>
      <c r="O19" s="102">
        <f>(($I$13-$G$13)/5*COUNTIF($C$17:O17,"&lt;="&amp;2020)+$G$13)*$G$3</f>
        <v>1.0075087565674252</v>
      </c>
      <c r="P19" s="102">
        <f>(($I$13-$G$13)/5*COUNTIF($C$17:P17,"&lt;="&amp;2020)+$G$13)*$G$3</f>
        <v>1.0075087565674252</v>
      </c>
      <c r="Q19" s="102">
        <f>(($I$13-$G$13)/5*COUNTIF($C$17:Q17,"&lt;="&amp;2020)+$G$13)*$G$3</f>
        <v>1.0075087565674252</v>
      </c>
      <c r="R19" s="102">
        <f>(($I$13-$G$13)/5*COUNTIF($C$17:R17,"&lt;="&amp;2020)+$G$13)*$G$3</f>
        <v>1.0075087565674252</v>
      </c>
      <c r="S19" s="102">
        <f>(($I$13-$G$13)/5*COUNTIF($C$17:S17,"&lt;="&amp;2020)+$G$13)*$G$3</f>
        <v>1.0075087565674252</v>
      </c>
      <c r="T19" s="102">
        <f>(($I$13-$G$13)/5*COUNTIF($C$17:T17,"&lt;="&amp;2020)+$G$13)*$G$3</f>
        <v>1.0075087565674252</v>
      </c>
      <c r="U19" s="102">
        <f>(($I$13-$G$13)/5*COUNTIF($C$17:U17,"&lt;="&amp;2020)+$G$13)*$G$3</f>
        <v>1.0075087565674252</v>
      </c>
      <c r="V19" s="102">
        <f>(($I$13-$G$13)/5*COUNTIF($C$17:V17,"&lt;="&amp;2020)+$G$13)*$G$3</f>
        <v>1.0075087565674252</v>
      </c>
      <c r="W19" s="102">
        <f>(($I$13-$G$13)/5*COUNTIF($C$17:W17,"&lt;="&amp;2020)+$G$13)*$G$3</f>
        <v>1.0075087565674252</v>
      </c>
      <c r="X19" s="102">
        <f>(($I$13-$G$13)/5*COUNTIF($C$17:X17,"&lt;="&amp;2020)+$G$13)*$G$3</f>
        <v>1.0075087565674252</v>
      </c>
      <c r="Y19" s="102">
        <f>(($I$13-$G$13)/5*COUNTIF($C$17:Y17,"&lt;="&amp;2020)+$G$13)*$G$3</f>
        <v>1.0075087565674252</v>
      </c>
      <c r="Z19" s="102">
        <f>(($I$13-$G$13)/5*COUNTIF($C$17:Z17,"&lt;="&amp;2020)+$G$13)*$G$3</f>
        <v>1.0075087565674252</v>
      </c>
      <c r="AA19" s="102">
        <f>(($I$13-$G$13)/5*COUNTIF($C$17:AA17,"&lt;="&amp;2020)+$G$13)*$G$3</f>
        <v>1.0075087565674252</v>
      </c>
      <c r="AB19" s="102">
        <f>(($I$13-$G$13)/5*COUNTIF($C$17:AB17,"&lt;="&amp;2020)+$G$13)*$G$3</f>
        <v>1.0075087565674252</v>
      </c>
      <c r="AC19" s="102">
        <f>(($I$13-$G$13)/5*COUNTIF($C$17:AC17,"&lt;="&amp;2020)+$G$13)*$G$3</f>
        <v>1.0075087565674252</v>
      </c>
      <c r="AD19" s="102">
        <f>(($I$13-$G$13)/5*COUNTIF($C$17:AD17,"&lt;="&amp;2020)+$G$13)*$G$3</f>
        <v>1.0075087565674252</v>
      </c>
      <c r="AE19" s="102">
        <f>(($I$13-$G$13)/5*COUNTIF($C$17:AE17,"&lt;="&amp;2020)+$G$13)*$G$3</f>
        <v>1.0075087565674252</v>
      </c>
      <c r="AF19" s="102">
        <f>(($I$13-$G$13)/5*COUNTIF($C$17:AF17,"&lt;="&amp;2020)+$G$13)*$G$3</f>
        <v>1.0075087565674252</v>
      </c>
      <c r="AG19" s="102">
        <f>(($I$13-$G$13)/5*COUNTIF($C$17:AG17,"&lt;="&amp;2020)+$G$13)*$G$3</f>
        <v>1.0075087565674252</v>
      </c>
      <c r="AH19" s="102">
        <f>(($I$13-$G$13)/5*COUNTIF($C$17:AH17,"&lt;="&amp;2020)+$G$13)*$G$3</f>
        <v>1.0075087565674252</v>
      </c>
      <c r="AI19" s="102">
        <f>(($I$13-$G$13)/5*COUNTIF($C$17:AI17,"&lt;="&amp;2020)+$G$13)*$G$3</f>
        <v>1.0075087565674252</v>
      </c>
      <c r="AJ19" s="102">
        <f>(($I$13-$G$13)/5*COUNTIF($C$17:AJ17,"&lt;="&amp;2020)+$G$13)*$G$3</f>
        <v>1.0075087565674252</v>
      </c>
      <c r="AK19" s="102">
        <f>(($I$13-$G$13)/5*COUNTIF($C$17:AK17,"&lt;="&amp;2020)+$G$13)*$G$3</f>
        <v>1.0075087565674252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4"/>
  <sheetViews>
    <sheetView workbookViewId="0">
      <selection activeCell="B4" sqref="B4"/>
    </sheetView>
  </sheetViews>
  <sheetFormatPr defaultRowHeight="15" x14ac:dyDescent="0.25"/>
  <cols>
    <col min="1" max="1" width="31.85546875" customWidth="1"/>
  </cols>
  <sheetData>
    <row r="1" spans="1:41" x14ac:dyDescent="0.25">
      <c r="A1" s="56" t="s">
        <v>966</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row>
    <row r="2" spans="1:41" x14ac:dyDescent="0.25">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41" x14ac:dyDescent="0.25">
      <c r="A3" t="s">
        <v>643</v>
      </c>
      <c r="B3">
        <f>'Cross-Page Data'!AA52</f>
        <v>3</v>
      </c>
      <c r="C3">
        <f>B3</f>
        <v>3</v>
      </c>
      <c r="D3">
        <f t="shared" ref="D3:AK3" si="0">C3</f>
        <v>3</v>
      </c>
      <c r="E3">
        <f t="shared" si="0"/>
        <v>3</v>
      </c>
      <c r="F3">
        <f t="shared" si="0"/>
        <v>3</v>
      </c>
      <c r="G3">
        <f t="shared" si="0"/>
        <v>3</v>
      </c>
      <c r="H3">
        <f t="shared" si="0"/>
        <v>3</v>
      </c>
      <c r="I3">
        <f t="shared" si="0"/>
        <v>3</v>
      </c>
      <c r="J3">
        <f t="shared" si="0"/>
        <v>3</v>
      </c>
      <c r="K3">
        <f t="shared" si="0"/>
        <v>3</v>
      </c>
      <c r="L3">
        <f t="shared" si="0"/>
        <v>3</v>
      </c>
      <c r="M3">
        <f t="shared" si="0"/>
        <v>3</v>
      </c>
      <c r="N3">
        <f t="shared" si="0"/>
        <v>3</v>
      </c>
      <c r="O3">
        <f t="shared" si="0"/>
        <v>3</v>
      </c>
      <c r="P3">
        <f t="shared" si="0"/>
        <v>3</v>
      </c>
      <c r="Q3">
        <f t="shared" si="0"/>
        <v>3</v>
      </c>
      <c r="R3">
        <f t="shared" si="0"/>
        <v>3</v>
      </c>
      <c r="S3">
        <f t="shared" si="0"/>
        <v>3</v>
      </c>
      <c r="T3">
        <f t="shared" si="0"/>
        <v>3</v>
      </c>
      <c r="U3">
        <f t="shared" si="0"/>
        <v>3</v>
      </c>
      <c r="V3">
        <f t="shared" si="0"/>
        <v>3</v>
      </c>
      <c r="W3">
        <f t="shared" si="0"/>
        <v>3</v>
      </c>
      <c r="X3">
        <f t="shared" si="0"/>
        <v>3</v>
      </c>
      <c r="Y3">
        <f t="shared" si="0"/>
        <v>3</v>
      </c>
      <c r="Z3">
        <f t="shared" si="0"/>
        <v>3</v>
      </c>
      <c r="AA3">
        <f t="shared" si="0"/>
        <v>3</v>
      </c>
      <c r="AB3">
        <f t="shared" si="0"/>
        <v>3</v>
      </c>
      <c r="AC3">
        <f t="shared" si="0"/>
        <v>3</v>
      </c>
      <c r="AD3">
        <f t="shared" si="0"/>
        <v>3</v>
      </c>
      <c r="AE3">
        <f t="shared" si="0"/>
        <v>3</v>
      </c>
      <c r="AF3">
        <f t="shared" si="0"/>
        <v>3</v>
      </c>
      <c r="AG3">
        <f t="shared" si="0"/>
        <v>3</v>
      </c>
      <c r="AH3">
        <f t="shared" si="0"/>
        <v>3</v>
      </c>
      <c r="AI3">
        <f t="shared" si="0"/>
        <v>3</v>
      </c>
      <c r="AJ3">
        <f t="shared" si="0"/>
        <v>3</v>
      </c>
      <c r="AK3">
        <f t="shared" si="0"/>
        <v>3</v>
      </c>
    </row>
    <row r="4" spans="1:41" x14ac:dyDescent="0.25">
      <c r="A4" t="s">
        <v>965</v>
      </c>
      <c r="B4">
        <f>SUM('Cross-Page Data'!AA180,'Cross-Page Data'!AA187)</f>
        <v>1</v>
      </c>
      <c r="C4">
        <f>B4</f>
        <v>1</v>
      </c>
      <c r="D4">
        <f t="shared" ref="D4:AK4" si="1">C4</f>
        <v>1</v>
      </c>
      <c r="E4">
        <f t="shared" si="1"/>
        <v>1</v>
      </c>
      <c r="F4">
        <f t="shared" si="1"/>
        <v>1</v>
      </c>
      <c r="G4">
        <f t="shared" si="1"/>
        <v>1</v>
      </c>
      <c r="H4">
        <f t="shared" si="1"/>
        <v>1</v>
      </c>
      <c r="I4">
        <f t="shared" si="1"/>
        <v>1</v>
      </c>
      <c r="J4">
        <f t="shared" si="1"/>
        <v>1</v>
      </c>
      <c r="K4">
        <f t="shared" si="1"/>
        <v>1</v>
      </c>
      <c r="L4">
        <f t="shared" si="1"/>
        <v>1</v>
      </c>
      <c r="M4">
        <f t="shared" si="1"/>
        <v>1</v>
      </c>
      <c r="N4">
        <f t="shared" si="1"/>
        <v>1</v>
      </c>
      <c r="O4">
        <f t="shared" si="1"/>
        <v>1</v>
      </c>
      <c r="P4">
        <f t="shared" si="1"/>
        <v>1</v>
      </c>
      <c r="Q4">
        <f t="shared" si="1"/>
        <v>1</v>
      </c>
      <c r="R4">
        <f t="shared" si="1"/>
        <v>1</v>
      </c>
      <c r="S4">
        <f t="shared" si="1"/>
        <v>1</v>
      </c>
      <c r="T4">
        <f t="shared" si="1"/>
        <v>1</v>
      </c>
      <c r="U4">
        <f t="shared" si="1"/>
        <v>1</v>
      </c>
      <c r="V4">
        <f t="shared" si="1"/>
        <v>1</v>
      </c>
      <c r="W4">
        <f t="shared" si="1"/>
        <v>1</v>
      </c>
      <c r="X4">
        <f t="shared" si="1"/>
        <v>1</v>
      </c>
      <c r="Y4">
        <f t="shared" si="1"/>
        <v>1</v>
      </c>
      <c r="Z4">
        <f t="shared" si="1"/>
        <v>1</v>
      </c>
      <c r="AA4">
        <f t="shared" si="1"/>
        <v>1</v>
      </c>
      <c r="AB4">
        <f t="shared" si="1"/>
        <v>1</v>
      </c>
      <c r="AC4">
        <f t="shared" si="1"/>
        <v>1</v>
      </c>
      <c r="AD4">
        <f t="shared" si="1"/>
        <v>1</v>
      </c>
      <c r="AE4">
        <f t="shared" si="1"/>
        <v>1</v>
      </c>
      <c r="AF4">
        <f t="shared" si="1"/>
        <v>1</v>
      </c>
      <c r="AG4">
        <f t="shared" si="1"/>
        <v>1</v>
      </c>
      <c r="AH4">
        <f t="shared" si="1"/>
        <v>1</v>
      </c>
      <c r="AI4">
        <f t="shared" si="1"/>
        <v>1</v>
      </c>
      <c r="AJ4">
        <f t="shared" si="1"/>
        <v>1</v>
      </c>
      <c r="AK4">
        <f t="shared" si="1"/>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N15"/>
  <sheetViews>
    <sheetView workbookViewId="0">
      <selection activeCell="B14" sqref="B14"/>
    </sheetView>
  </sheetViews>
  <sheetFormatPr defaultRowHeight="15" x14ac:dyDescent="0.25"/>
  <cols>
    <col min="1" max="1" width="19.5703125" customWidth="1"/>
  </cols>
  <sheetData>
    <row r="1" spans="1:40" x14ac:dyDescent="0.25">
      <c r="A1" s="56" t="s">
        <v>967</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row>
    <row r="2" spans="1:40" x14ac:dyDescent="0.25">
      <c r="A2">
        <v>2012</v>
      </c>
      <c r="B2">
        <v>2013</v>
      </c>
      <c r="C2">
        <v>2014</v>
      </c>
      <c r="D2">
        <v>2015</v>
      </c>
      <c r="E2">
        <v>2016</v>
      </c>
      <c r="F2">
        <v>2017</v>
      </c>
      <c r="G2">
        <v>2018</v>
      </c>
      <c r="H2">
        <v>2019</v>
      </c>
      <c r="I2">
        <v>2020</v>
      </c>
      <c r="J2">
        <v>2021</v>
      </c>
      <c r="K2">
        <v>2022</v>
      </c>
      <c r="L2">
        <v>2023</v>
      </c>
      <c r="M2">
        <v>2024</v>
      </c>
      <c r="N2">
        <v>2025</v>
      </c>
      <c r="O2">
        <v>2026</v>
      </c>
      <c r="P2">
        <v>2027</v>
      </c>
      <c r="Q2">
        <v>2028</v>
      </c>
      <c r="R2">
        <v>2029</v>
      </c>
      <c r="S2">
        <v>2030</v>
      </c>
      <c r="T2">
        <v>2031</v>
      </c>
      <c r="U2">
        <v>2032</v>
      </c>
      <c r="V2">
        <v>2033</v>
      </c>
      <c r="W2">
        <v>2034</v>
      </c>
      <c r="X2">
        <v>2035</v>
      </c>
      <c r="Y2">
        <v>2036</v>
      </c>
      <c r="Z2">
        <v>2037</v>
      </c>
      <c r="AA2">
        <v>2038</v>
      </c>
      <c r="AB2">
        <v>2039</v>
      </c>
      <c r="AC2">
        <v>2040</v>
      </c>
      <c r="AD2">
        <v>2041</v>
      </c>
      <c r="AE2">
        <v>2042</v>
      </c>
      <c r="AF2">
        <v>2043</v>
      </c>
      <c r="AG2">
        <v>2044</v>
      </c>
      <c r="AH2">
        <v>2045</v>
      </c>
      <c r="AI2">
        <v>2046</v>
      </c>
      <c r="AJ2">
        <v>2047</v>
      </c>
      <c r="AK2">
        <v>2048</v>
      </c>
      <c r="AL2">
        <v>2049</v>
      </c>
      <c r="AM2">
        <v>2050</v>
      </c>
    </row>
    <row r="3" spans="1:40" x14ac:dyDescent="0.25">
      <c r="A3">
        <v>0.12</v>
      </c>
      <c r="B3">
        <f>($I$3-$A$3)/COUNT($B$2:$I$2)+A3</f>
        <v>0.11125</v>
      </c>
      <c r="C3">
        <f t="shared" ref="C3:H3" si="0">($I$3-$A$3)/COUNT($B$2:$I$2)+B3</f>
        <v>0.10250000000000001</v>
      </c>
      <c r="D3">
        <f t="shared" si="0"/>
        <v>9.3750000000000014E-2</v>
      </c>
      <c r="E3">
        <f t="shared" si="0"/>
        <v>8.500000000000002E-2</v>
      </c>
      <c r="F3">
        <f t="shared" si="0"/>
        <v>7.6250000000000026E-2</v>
      </c>
      <c r="G3">
        <f t="shared" si="0"/>
        <v>6.7500000000000032E-2</v>
      </c>
      <c r="H3">
        <f t="shared" si="0"/>
        <v>5.8750000000000031E-2</v>
      </c>
      <c r="I3">
        <v>0.05</v>
      </c>
      <c r="J3">
        <f>I3</f>
        <v>0.05</v>
      </c>
      <c r="K3">
        <f>J3</f>
        <v>0.05</v>
      </c>
      <c r="L3">
        <f t="shared" ref="L3:AM3" si="1">K3</f>
        <v>0.05</v>
      </c>
      <c r="M3">
        <f t="shared" si="1"/>
        <v>0.05</v>
      </c>
      <c r="N3">
        <f t="shared" si="1"/>
        <v>0.05</v>
      </c>
      <c r="O3">
        <f t="shared" si="1"/>
        <v>0.05</v>
      </c>
      <c r="P3">
        <f t="shared" si="1"/>
        <v>0.05</v>
      </c>
      <c r="Q3">
        <f t="shared" si="1"/>
        <v>0.05</v>
      </c>
      <c r="R3">
        <f t="shared" si="1"/>
        <v>0.05</v>
      </c>
      <c r="S3">
        <f t="shared" si="1"/>
        <v>0.05</v>
      </c>
      <c r="T3">
        <f t="shared" si="1"/>
        <v>0.05</v>
      </c>
      <c r="U3">
        <f t="shared" si="1"/>
        <v>0.05</v>
      </c>
      <c r="V3">
        <f t="shared" si="1"/>
        <v>0.05</v>
      </c>
      <c r="W3">
        <f t="shared" si="1"/>
        <v>0.05</v>
      </c>
      <c r="X3">
        <f t="shared" si="1"/>
        <v>0.05</v>
      </c>
      <c r="Y3">
        <f t="shared" si="1"/>
        <v>0.05</v>
      </c>
      <c r="Z3">
        <f t="shared" si="1"/>
        <v>0.05</v>
      </c>
      <c r="AA3">
        <f t="shared" si="1"/>
        <v>0.05</v>
      </c>
      <c r="AB3">
        <f t="shared" si="1"/>
        <v>0.05</v>
      </c>
      <c r="AC3">
        <f t="shared" si="1"/>
        <v>0.05</v>
      </c>
      <c r="AD3">
        <f t="shared" si="1"/>
        <v>0.05</v>
      </c>
      <c r="AE3">
        <f t="shared" si="1"/>
        <v>0.05</v>
      </c>
      <c r="AF3">
        <f t="shared" si="1"/>
        <v>0.05</v>
      </c>
      <c r="AG3">
        <f t="shared" si="1"/>
        <v>0.05</v>
      </c>
      <c r="AH3">
        <f t="shared" si="1"/>
        <v>0.05</v>
      </c>
      <c r="AI3">
        <f t="shared" si="1"/>
        <v>0.05</v>
      </c>
      <c r="AJ3">
        <f t="shared" si="1"/>
        <v>0.05</v>
      </c>
      <c r="AK3">
        <f t="shared" si="1"/>
        <v>0.05</v>
      </c>
      <c r="AL3">
        <f t="shared" si="1"/>
        <v>0.05</v>
      </c>
      <c r="AM3">
        <f t="shared" si="1"/>
        <v>0.05</v>
      </c>
    </row>
    <row r="5" spans="1:40" x14ac:dyDescent="0.25">
      <c r="A5" s="56" t="s">
        <v>1862</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row>
    <row r="6" spans="1:40" x14ac:dyDescent="0.25">
      <c r="A6">
        <v>2015</v>
      </c>
      <c r="B6">
        <v>2016</v>
      </c>
      <c r="C6">
        <v>2017</v>
      </c>
      <c r="D6">
        <v>2018</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row>
    <row r="7" spans="1:40" x14ac:dyDescent="0.25">
      <c r="A7">
        <v>1</v>
      </c>
      <c r="B7">
        <f t="shared" ref="B7:AJ7" si="2">A7*(1+E3)</f>
        <v>1.085</v>
      </c>
      <c r="C7">
        <f t="shared" si="2"/>
        <v>1.1677312499999999</v>
      </c>
      <c r="D7">
        <f t="shared" si="2"/>
        <v>1.246553109375</v>
      </c>
      <c r="E7">
        <f t="shared" si="2"/>
        <v>1.3197881045507813</v>
      </c>
      <c r="F7">
        <f t="shared" si="2"/>
        <v>1.3857775097783205</v>
      </c>
      <c r="G7">
        <f t="shared" si="2"/>
        <v>1.4550663852672365</v>
      </c>
      <c r="H7">
        <f t="shared" si="2"/>
        <v>1.5278197045305983</v>
      </c>
      <c r="I7">
        <f t="shared" si="2"/>
        <v>1.6042106897571284</v>
      </c>
      <c r="J7">
        <f t="shared" si="2"/>
        <v>1.684421224244985</v>
      </c>
      <c r="K7">
        <f t="shared" si="2"/>
        <v>1.7686422854572343</v>
      </c>
      <c r="L7">
        <f t="shared" si="2"/>
        <v>1.8570743997300962</v>
      </c>
      <c r="M7">
        <f t="shared" si="2"/>
        <v>1.9499281197166012</v>
      </c>
      <c r="N7">
        <f t="shared" si="2"/>
        <v>2.0474245257024313</v>
      </c>
      <c r="O7">
        <f t="shared" si="2"/>
        <v>2.1497957519875528</v>
      </c>
      <c r="P7">
        <f t="shared" si="2"/>
        <v>2.2572855395869307</v>
      </c>
      <c r="Q7">
        <f t="shared" si="2"/>
        <v>2.3701498165662773</v>
      </c>
      <c r="R7">
        <f t="shared" si="2"/>
        <v>2.4886573073945915</v>
      </c>
      <c r="S7">
        <f t="shared" si="2"/>
        <v>2.6130901727643212</v>
      </c>
      <c r="T7">
        <f t="shared" si="2"/>
        <v>2.7437446814025375</v>
      </c>
      <c r="U7">
        <f t="shared" si="2"/>
        <v>2.8809319154726643</v>
      </c>
      <c r="V7">
        <f t="shared" si="2"/>
        <v>3.0249785112462977</v>
      </c>
      <c r="W7">
        <f t="shared" si="2"/>
        <v>3.1762274368086127</v>
      </c>
      <c r="X7">
        <f t="shared" si="2"/>
        <v>3.3350388086490437</v>
      </c>
      <c r="Y7">
        <f t="shared" si="2"/>
        <v>3.5017907490814961</v>
      </c>
      <c r="Z7">
        <f t="shared" si="2"/>
        <v>3.676880286535571</v>
      </c>
      <c r="AA7">
        <f t="shared" si="2"/>
        <v>3.8607243008623495</v>
      </c>
      <c r="AB7">
        <f t="shared" si="2"/>
        <v>4.0537605159054673</v>
      </c>
      <c r="AC7">
        <f t="shared" si="2"/>
        <v>4.2564485417007409</v>
      </c>
      <c r="AD7">
        <f t="shared" si="2"/>
        <v>4.4692709687857786</v>
      </c>
      <c r="AE7">
        <f t="shared" si="2"/>
        <v>4.6927345172250678</v>
      </c>
      <c r="AF7">
        <f t="shared" si="2"/>
        <v>4.9273712430863217</v>
      </c>
      <c r="AG7">
        <f t="shared" si="2"/>
        <v>5.173739805240638</v>
      </c>
      <c r="AH7">
        <f t="shared" si="2"/>
        <v>5.4324267955026704</v>
      </c>
      <c r="AI7">
        <f t="shared" si="2"/>
        <v>5.7040481352778043</v>
      </c>
      <c r="AJ7">
        <f t="shared" si="2"/>
        <v>5.9892505420416944</v>
      </c>
    </row>
    <row r="9" spans="1:40" x14ac:dyDescent="0.25">
      <c r="A9" s="56" t="s">
        <v>969</v>
      </c>
      <c r="B9" s="56"/>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row>
    <row r="10" spans="1:40" x14ac:dyDescent="0.25">
      <c r="A10" s="99">
        <v>0.15</v>
      </c>
      <c r="B10" t="s">
        <v>970</v>
      </c>
    </row>
    <row r="12" spans="1:40" x14ac:dyDescent="0.25">
      <c r="A12" s="56" t="s">
        <v>737</v>
      </c>
      <c r="B12" s="56"/>
      <c r="C12" s="56"/>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row>
    <row r="13" spans="1:40" x14ac:dyDescent="0.25">
      <c r="B13">
        <v>2015</v>
      </c>
      <c r="C13">
        <v>2016</v>
      </c>
      <c r="D13">
        <v>2017</v>
      </c>
      <c r="E13">
        <v>2018</v>
      </c>
      <c r="F13">
        <v>2019</v>
      </c>
      <c r="G13">
        <v>2020</v>
      </c>
      <c r="H13">
        <v>2021</v>
      </c>
      <c r="I13">
        <v>2022</v>
      </c>
      <c r="J13">
        <v>2023</v>
      </c>
      <c r="K13">
        <v>2024</v>
      </c>
      <c r="L13">
        <v>2025</v>
      </c>
      <c r="M13">
        <v>2026</v>
      </c>
      <c r="N13">
        <v>2027</v>
      </c>
      <c r="O13">
        <v>2028</v>
      </c>
      <c r="P13">
        <v>2029</v>
      </c>
      <c r="Q13">
        <v>2030</v>
      </c>
      <c r="R13">
        <v>2031</v>
      </c>
      <c r="S13">
        <v>2032</v>
      </c>
      <c r="T13">
        <v>2033</v>
      </c>
      <c r="U13">
        <v>2034</v>
      </c>
      <c r="V13">
        <v>2035</v>
      </c>
      <c r="W13">
        <v>2036</v>
      </c>
      <c r="X13">
        <v>2037</v>
      </c>
      <c r="Y13">
        <v>2038</v>
      </c>
      <c r="Z13">
        <v>2039</v>
      </c>
      <c r="AA13">
        <v>2040</v>
      </c>
      <c r="AB13">
        <v>2041</v>
      </c>
      <c r="AC13">
        <v>2042</v>
      </c>
      <c r="AD13">
        <v>2043</v>
      </c>
      <c r="AE13">
        <v>2044</v>
      </c>
      <c r="AF13">
        <v>2045</v>
      </c>
      <c r="AG13">
        <v>2046</v>
      </c>
      <c r="AH13">
        <v>2047</v>
      </c>
      <c r="AI13">
        <v>2048</v>
      </c>
      <c r="AJ13">
        <v>2049</v>
      </c>
      <c r="AK13">
        <v>2050</v>
      </c>
    </row>
    <row r="14" spans="1:40" x14ac:dyDescent="0.25">
      <c r="A14" t="s">
        <v>968</v>
      </c>
      <c r="B14">
        <f>SUM('Cross-Page Data'!AA179,'Cross-Page Data'!AA182,'Cross-Page Data'!AA188,'Cross-Page Data'!AA190)</f>
        <v>4.8</v>
      </c>
      <c r="C14">
        <f t="shared" ref="C14:AK14" si="3">$B14*B7-(B7-1)*$A$10*$B14</f>
        <v>5.1467999999999989</v>
      </c>
      <c r="D14">
        <f t="shared" si="3"/>
        <v>5.4843434999999987</v>
      </c>
      <c r="E14">
        <f t="shared" si="3"/>
        <v>5.805936686249999</v>
      </c>
      <c r="F14">
        <f t="shared" si="3"/>
        <v>6.1047354665671874</v>
      </c>
      <c r="G14">
        <f t="shared" si="3"/>
        <v>6.3739722398955472</v>
      </c>
      <c r="H14">
        <f t="shared" si="3"/>
        <v>6.6566708518903246</v>
      </c>
      <c r="I14">
        <f t="shared" si="3"/>
        <v>6.9535043944848409</v>
      </c>
      <c r="J14">
        <f t="shared" si="3"/>
        <v>7.2651796142090843</v>
      </c>
      <c r="K14">
        <f t="shared" si="3"/>
        <v>7.5924385949195381</v>
      </c>
      <c r="L14">
        <f t="shared" si="3"/>
        <v>7.9360605246655167</v>
      </c>
      <c r="M14">
        <f t="shared" si="3"/>
        <v>8.2968635508987916</v>
      </c>
      <c r="N14">
        <f t="shared" si="3"/>
        <v>8.6757067284437319</v>
      </c>
      <c r="O14">
        <f t="shared" si="3"/>
        <v>9.0734920648659187</v>
      </c>
      <c r="P14">
        <f t="shared" si="3"/>
        <v>9.4911666681092157</v>
      </c>
      <c r="Q14">
        <f t="shared" si="3"/>
        <v>9.9297250015146776</v>
      </c>
      <c r="R14">
        <f t="shared" si="3"/>
        <v>10.39021125159041</v>
      </c>
      <c r="S14">
        <f t="shared" si="3"/>
        <v>10.873721814169933</v>
      </c>
      <c r="T14">
        <f t="shared" si="3"/>
        <v>11.381407904878429</v>
      </c>
      <c r="U14">
        <f t="shared" si="3"/>
        <v>11.914478300122353</v>
      </c>
      <c r="V14">
        <f t="shared" si="3"/>
        <v>12.47420221512847</v>
      </c>
      <c r="W14">
        <f t="shared" si="3"/>
        <v>13.061912325884894</v>
      </c>
      <c r="X14">
        <f t="shared" si="3"/>
        <v>13.679007942179139</v>
      </c>
      <c r="Y14">
        <f t="shared" si="3"/>
        <v>14.326958339288099</v>
      </c>
      <c r="Z14">
        <f t="shared" si="3"/>
        <v>15.007306256252505</v>
      </c>
      <c r="AA14">
        <f t="shared" si="3"/>
        <v>15.72167156906513</v>
      </c>
      <c r="AB14">
        <f t="shared" si="3"/>
        <v>16.471755147518387</v>
      </c>
      <c r="AC14">
        <f t="shared" si="3"/>
        <v>17.259342904894304</v>
      </c>
      <c r="AD14">
        <f t="shared" si="3"/>
        <v>18.086310050139023</v>
      </c>
      <c r="AE14">
        <f t="shared" si="3"/>
        <v>18.954625552645975</v>
      </c>
      <c r="AF14">
        <f t="shared" si="3"/>
        <v>19.866356830278278</v>
      </c>
      <c r="AG14">
        <f t="shared" si="3"/>
        <v>20.823674671792194</v>
      </c>
      <c r="AH14">
        <f t="shared" si="3"/>
        <v>21.828858405381805</v>
      </c>
      <c r="AI14">
        <f t="shared" si="3"/>
        <v>22.884301325650895</v>
      </c>
      <c r="AJ14">
        <f t="shared" si="3"/>
        <v>23.992516391933439</v>
      </c>
      <c r="AK14">
        <f t="shared" si="3"/>
        <v>25.156142211530113</v>
      </c>
    </row>
    <row r="15" spans="1:40" x14ac:dyDescent="0.25">
      <c r="A15" t="s">
        <v>941</v>
      </c>
      <c r="B15">
        <f>'Cross-Page Data'!AA86</f>
        <v>1</v>
      </c>
      <c r="C15">
        <f t="shared" ref="C15:AK15" si="4">$B15*B7-(B7-1)*$A$10*$B15</f>
        <v>1.0722499999999999</v>
      </c>
      <c r="D15">
        <f t="shared" si="4"/>
        <v>1.1425715624999999</v>
      </c>
      <c r="E15">
        <f t="shared" si="4"/>
        <v>1.20957014296875</v>
      </c>
      <c r="F15">
        <f t="shared" si="4"/>
        <v>1.2718198888681642</v>
      </c>
      <c r="G15">
        <f t="shared" si="4"/>
        <v>1.3279108833115725</v>
      </c>
      <c r="H15">
        <f t="shared" si="4"/>
        <v>1.386806427477151</v>
      </c>
      <c r="I15">
        <f t="shared" si="4"/>
        <v>1.4486467488510086</v>
      </c>
      <c r="J15">
        <f t="shared" si="4"/>
        <v>1.5135790862935592</v>
      </c>
      <c r="K15">
        <f t="shared" si="4"/>
        <v>1.5817580406082372</v>
      </c>
      <c r="L15">
        <f t="shared" si="4"/>
        <v>1.6533459426386492</v>
      </c>
      <c r="M15">
        <f t="shared" si="4"/>
        <v>1.7285132397705818</v>
      </c>
      <c r="N15">
        <f t="shared" si="4"/>
        <v>1.807438901759111</v>
      </c>
      <c r="O15">
        <f t="shared" si="4"/>
        <v>1.8903108468470666</v>
      </c>
      <c r="P15">
        <f t="shared" si="4"/>
        <v>1.9773263891894199</v>
      </c>
      <c r="Q15">
        <f t="shared" si="4"/>
        <v>2.0686927086488911</v>
      </c>
      <c r="R15">
        <f t="shared" si="4"/>
        <v>2.1646273440813357</v>
      </c>
      <c r="S15">
        <f t="shared" si="4"/>
        <v>2.2653587112854026</v>
      </c>
      <c r="T15">
        <f t="shared" si="4"/>
        <v>2.3711266468496732</v>
      </c>
      <c r="U15">
        <f t="shared" si="4"/>
        <v>2.482182979192157</v>
      </c>
      <c r="V15">
        <f t="shared" si="4"/>
        <v>2.5987921281517647</v>
      </c>
      <c r="W15">
        <f t="shared" si="4"/>
        <v>2.7212317345593529</v>
      </c>
      <c r="X15">
        <f t="shared" si="4"/>
        <v>2.8497933212873208</v>
      </c>
      <c r="Y15">
        <f t="shared" si="4"/>
        <v>2.9847829873516871</v>
      </c>
      <c r="Z15">
        <f t="shared" si="4"/>
        <v>3.1265221367192719</v>
      </c>
      <c r="AA15">
        <f t="shared" si="4"/>
        <v>3.2753482435552352</v>
      </c>
      <c r="AB15">
        <f t="shared" si="4"/>
        <v>3.4316156557329971</v>
      </c>
      <c r="AC15">
        <f t="shared" si="4"/>
        <v>3.595696438519647</v>
      </c>
      <c r="AD15">
        <f t="shared" si="4"/>
        <v>3.7679812604456298</v>
      </c>
      <c r="AE15">
        <f t="shared" si="4"/>
        <v>3.948880323467912</v>
      </c>
      <c r="AF15">
        <f t="shared" si="4"/>
        <v>4.1388243396413076</v>
      </c>
      <c r="AG15">
        <f t="shared" si="4"/>
        <v>4.338265556623373</v>
      </c>
      <c r="AH15">
        <f t="shared" si="4"/>
        <v>4.5476788344545422</v>
      </c>
      <c r="AI15">
        <f t="shared" si="4"/>
        <v>4.7675627761772699</v>
      </c>
      <c r="AJ15">
        <f t="shared" si="4"/>
        <v>4.9984409149861335</v>
      </c>
      <c r="AK15">
        <f t="shared" si="4"/>
        <v>5.2408629607354404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K45"/>
  <sheetViews>
    <sheetView topLeftCell="A22" workbookViewId="0">
      <selection activeCell="B45" sqref="B45"/>
    </sheetView>
  </sheetViews>
  <sheetFormatPr defaultRowHeight="15" x14ac:dyDescent="0.25"/>
  <cols>
    <col min="1" max="1" width="35" bestFit="1" customWidth="1"/>
  </cols>
  <sheetData>
    <row r="1" spans="1:4" x14ac:dyDescent="0.25">
      <c r="A1" s="56" t="s">
        <v>1887</v>
      </c>
      <c r="B1" s="56"/>
    </row>
    <row r="2" spans="1:4" x14ac:dyDescent="0.25">
      <c r="A2" t="s">
        <v>1888</v>
      </c>
      <c r="B2" s="96">
        <v>0.11</v>
      </c>
    </row>
    <row r="3" spans="1:4" x14ac:dyDescent="0.25">
      <c r="A3" t="s">
        <v>1889</v>
      </c>
      <c r="B3" s="96">
        <f>1-B2</f>
        <v>0.89</v>
      </c>
    </row>
    <row r="5" spans="1:4" x14ac:dyDescent="0.25">
      <c r="A5" s="56" t="s">
        <v>1881</v>
      </c>
      <c r="B5" s="56"/>
    </row>
    <row r="6" spans="1:4" x14ac:dyDescent="0.25">
      <c r="A6" t="s">
        <v>1867</v>
      </c>
      <c r="B6" s="2">
        <v>642000</v>
      </c>
      <c r="C6" t="s">
        <v>1865</v>
      </c>
      <c r="D6" s="3" t="s">
        <v>1866</v>
      </c>
    </row>
    <row r="7" spans="1:4" x14ac:dyDescent="0.25">
      <c r="A7" t="s">
        <v>1868</v>
      </c>
      <c r="B7" s="2">
        <f>B6*0.66</f>
        <v>423720</v>
      </c>
    </row>
    <row r="8" spans="1:4" x14ac:dyDescent="0.25">
      <c r="A8" t="s">
        <v>1869</v>
      </c>
      <c r="B8" s="2">
        <f>B7*0.11</f>
        <v>46609.2</v>
      </c>
      <c r="C8" t="s">
        <v>1872</v>
      </c>
    </row>
    <row r="9" spans="1:4" x14ac:dyDescent="0.25">
      <c r="A9" t="s">
        <v>1870</v>
      </c>
      <c r="B9" s="2">
        <f>B7-B8</f>
        <v>377110.8</v>
      </c>
      <c r="C9" t="s">
        <v>1872</v>
      </c>
    </row>
    <row r="10" spans="1:4" x14ac:dyDescent="0.25">
      <c r="A10" t="s">
        <v>1871</v>
      </c>
      <c r="B10" s="2">
        <f>B6-B7</f>
        <v>218280</v>
      </c>
      <c r="C10" t="s">
        <v>1873</v>
      </c>
    </row>
    <row r="11" spans="1:4" x14ac:dyDescent="0.25">
      <c r="A11" t="s">
        <v>1879</v>
      </c>
      <c r="B11" s="2">
        <f>B8/B7*B10</f>
        <v>24010.799999999996</v>
      </c>
    </row>
    <row r="12" spans="1:4" x14ac:dyDescent="0.25">
      <c r="A12" t="s">
        <v>1880</v>
      </c>
      <c r="B12" s="2">
        <f>B9/B7*B10</f>
        <v>194269.2</v>
      </c>
    </row>
    <row r="15" spans="1:4" x14ac:dyDescent="0.25">
      <c r="A15" s="56" t="s">
        <v>1882</v>
      </c>
      <c r="B15" s="56"/>
    </row>
    <row r="16" spans="1:4" x14ac:dyDescent="0.25">
      <c r="A16" t="s">
        <v>1883</v>
      </c>
      <c r="B16" s="67">
        <f>0.2</f>
        <v>0.2</v>
      </c>
    </row>
    <row r="17" spans="1:37" x14ac:dyDescent="0.25">
      <c r="A17" t="s">
        <v>1868</v>
      </c>
      <c r="B17" s="67">
        <f>B16-B20</f>
        <v>0.12002220800000001</v>
      </c>
    </row>
    <row r="18" spans="1:37" x14ac:dyDescent="0.25">
      <c r="A18" t="s">
        <v>1869</v>
      </c>
      <c r="B18" s="67">
        <f>B2*B17</f>
        <v>1.320244288E-2</v>
      </c>
    </row>
    <row r="19" spans="1:37" x14ac:dyDescent="0.25">
      <c r="A19" t="s">
        <v>1870</v>
      </c>
      <c r="B19" s="67">
        <f>B3*B17</f>
        <v>0.10681976512000001</v>
      </c>
    </row>
    <row r="20" spans="1:37" x14ac:dyDescent="0.25">
      <c r="A20" t="s">
        <v>1884</v>
      </c>
      <c r="B20" s="67">
        <f>SUM(B21:B22)</f>
        <v>7.9977792000000006E-2</v>
      </c>
    </row>
    <row r="21" spans="1:37" x14ac:dyDescent="0.25">
      <c r="A21" t="s">
        <v>1879</v>
      </c>
      <c r="B21" s="67">
        <f>B11*0.58/10^6</f>
        <v>1.3926263999999997E-2</v>
      </c>
    </row>
    <row r="22" spans="1:37" x14ac:dyDescent="0.25">
      <c r="A22" t="s">
        <v>1880</v>
      </c>
      <c r="B22" s="67">
        <f>B12*0.34/10^6</f>
        <v>6.6051528000000012E-2</v>
      </c>
    </row>
    <row r="24" spans="1:37" x14ac:dyDescent="0.25">
      <c r="A24" s="56" t="s">
        <v>1874</v>
      </c>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row>
    <row r="25" spans="1:37" x14ac:dyDescent="0.25">
      <c r="B25">
        <v>2015</v>
      </c>
      <c r="C25">
        <v>2016</v>
      </c>
      <c r="D25">
        <v>2017</v>
      </c>
      <c r="E25">
        <v>2018</v>
      </c>
      <c r="F25">
        <v>2019</v>
      </c>
      <c r="G25">
        <v>2020</v>
      </c>
      <c r="H25">
        <v>2021</v>
      </c>
      <c r="I25">
        <v>2022</v>
      </c>
      <c r="J25">
        <v>2023</v>
      </c>
      <c r="K25">
        <v>2024</v>
      </c>
      <c r="L25">
        <v>2025</v>
      </c>
      <c r="M25">
        <v>2026</v>
      </c>
      <c r="N25">
        <v>2027</v>
      </c>
      <c r="O25">
        <v>2028</v>
      </c>
      <c r="P25">
        <v>2029</v>
      </c>
      <c r="Q25">
        <v>2030</v>
      </c>
      <c r="R25">
        <v>2031</v>
      </c>
      <c r="S25">
        <v>2032</v>
      </c>
      <c r="T25">
        <v>2033</v>
      </c>
      <c r="U25">
        <v>2034</v>
      </c>
      <c r="V25">
        <v>2035</v>
      </c>
      <c r="W25">
        <v>2036</v>
      </c>
      <c r="X25">
        <v>2037</v>
      </c>
      <c r="Y25">
        <v>2038</v>
      </c>
      <c r="Z25">
        <v>2039</v>
      </c>
      <c r="AA25">
        <v>2040</v>
      </c>
      <c r="AB25">
        <v>2041</v>
      </c>
      <c r="AC25">
        <v>2042</v>
      </c>
      <c r="AD25">
        <v>2043</v>
      </c>
      <c r="AE25">
        <v>2044</v>
      </c>
      <c r="AF25">
        <v>2045</v>
      </c>
      <c r="AG25">
        <v>2046</v>
      </c>
      <c r="AH25">
        <v>2047</v>
      </c>
      <c r="AI25">
        <v>2048</v>
      </c>
      <c r="AJ25">
        <v>2049</v>
      </c>
      <c r="AK25">
        <v>2050</v>
      </c>
    </row>
    <row r="26" spans="1:37" x14ac:dyDescent="0.25">
      <c r="A26" t="s">
        <v>1875</v>
      </c>
      <c r="B26" s="2">
        <f>B8</f>
        <v>46609.2</v>
      </c>
      <c r="C26" s="2">
        <f>B26*(1-0.017)</f>
        <v>45816.843599999993</v>
      </c>
      <c r="D26" s="2">
        <f>C26*(1-0.017)</f>
        <v>45037.957258799994</v>
      </c>
      <c r="E26" s="2">
        <f t="shared" ref="E26:AK26" si="0">D26*(1-0.017)</f>
        <v>44272.311985400396</v>
      </c>
      <c r="F26" s="2">
        <f t="shared" si="0"/>
        <v>43519.682681648592</v>
      </c>
      <c r="G26" s="2">
        <f t="shared" si="0"/>
        <v>42779.848076060567</v>
      </c>
      <c r="H26" s="2">
        <f t="shared" si="0"/>
        <v>42052.590658767534</v>
      </c>
      <c r="I26" s="2">
        <f t="shared" si="0"/>
        <v>41337.696617568487</v>
      </c>
      <c r="J26" s="2">
        <f t="shared" si="0"/>
        <v>40634.955775069822</v>
      </c>
      <c r="K26" s="2">
        <f t="shared" si="0"/>
        <v>39944.161526893637</v>
      </c>
      <c r="L26" s="2">
        <f t="shared" si="0"/>
        <v>39265.110780936448</v>
      </c>
      <c r="M26" s="2">
        <f t="shared" si="0"/>
        <v>38597.603897660527</v>
      </c>
      <c r="N26" s="2">
        <f t="shared" si="0"/>
        <v>37941.4446314003</v>
      </c>
      <c r="O26" s="2">
        <f t="shared" si="0"/>
        <v>37296.440072666497</v>
      </c>
      <c r="P26" s="2">
        <f t="shared" si="0"/>
        <v>36662.400591431164</v>
      </c>
      <c r="Q26" s="2">
        <f t="shared" si="0"/>
        <v>36039.139781376834</v>
      </c>
      <c r="R26" s="2">
        <f t="shared" si="0"/>
        <v>35426.474405093424</v>
      </c>
      <c r="S26" s="2">
        <f t="shared" si="0"/>
        <v>34824.224340206834</v>
      </c>
      <c r="T26" s="2">
        <f t="shared" si="0"/>
        <v>34232.212526423318</v>
      </c>
      <c r="U26" s="2">
        <f t="shared" si="0"/>
        <v>33650.264913474122</v>
      </c>
      <c r="V26" s="2">
        <f t="shared" si="0"/>
        <v>33078.210409945059</v>
      </c>
      <c r="W26" s="2">
        <f t="shared" si="0"/>
        <v>32515.880832975992</v>
      </c>
      <c r="X26" s="2">
        <f t="shared" si="0"/>
        <v>31963.110858815398</v>
      </c>
      <c r="Y26" s="2">
        <f t="shared" si="0"/>
        <v>31419.737974215535</v>
      </c>
      <c r="Z26" s="2">
        <f t="shared" si="0"/>
        <v>30885.60242865387</v>
      </c>
      <c r="AA26" s="2">
        <f t="shared" si="0"/>
        <v>30360.547187366756</v>
      </c>
      <c r="AB26" s="2">
        <f t="shared" si="0"/>
        <v>29844.41788518152</v>
      </c>
      <c r="AC26" s="2">
        <f t="shared" si="0"/>
        <v>29337.062781133434</v>
      </c>
      <c r="AD26" s="2">
        <f t="shared" si="0"/>
        <v>28838.332713854164</v>
      </c>
      <c r="AE26" s="2">
        <f t="shared" si="0"/>
        <v>28348.081057718642</v>
      </c>
      <c r="AF26" s="2">
        <f t="shared" si="0"/>
        <v>27866.163679737423</v>
      </c>
      <c r="AG26" s="2">
        <f t="shared" si="0"/>
        <v>27392.438897181888</v>
      </c>
      <c r="AH26" s="2">
        <f t="shared" si="0"/>
        <v>26926.767435929796</v>
      </c>
      <c r="AI26" s="2">
        <f t="shared" si="0"/>
        <v>26469.01238951899</v>
      </c>
      <c r="AJ26" s="2">
        <f t="shared" si="0"/>
        <v>26019.039178897168</v>
      </c>
      <c r="AK26" s="2">
        <f t="shared" si="0"/>
        <v>25576.715512855917</v>
      </c>
    </row>
    <row r="27" spans="1:37" x14ac:dyDescent="0.25">
      <c r="A27" t="s">
        <v>1876</v>
      </c>
      <c r="B27" s="2">
        <f>B9</f>
        <v>377110.8</v>
      </c>
      <c r="C27" s="2">
        <f>B27*(1+0.032)</f>
        <v>389178.3456</v>
      </c>
      <c r="D27" s="2">
        <f>C27*(1+0.032)</f>
        <v>401632.05265920004</v>
      </c>
      <c r="E27" s="2">
        <f t="shared" ref="E27:AK27" si="1">D27*(1+0.032)</f>
        <v>414484.27834429446</v>
      </c>
      <c r="F27" s="2">
        <f t="shared" si="1"/>
        <v>427747.77525131189</v>
      </c>
      <c r="G27" s="2">
        <f t="shared" si="1"/>
        <v>441435.70405935385</v>
      </c>
      <c r="H27" s="2">
        <f t="shared" si="1"/>
        <v>455561.64658925321</v>
      </c>
      <c r="I27" s="2">
        <f t="shared" si="1"/>
        <v>470139.61928010936</v>
      </c>
      <c r="J27" s="2">
        <f t="shared" si="1"/>
        <v>485184.08709707286</v>
      </c>
      <c r="K27" s="2">
        <f t="shared" si="1"/>
        <v>500709.97788417921</v>
      </c>
      <c r="L27" s="2">
        <f t="shared" si="1"/>
        <v>516732.69717647298</v>
      </c>
      <c r="M27" s="2">
        <f t="shared" si="1"/>
        <v>533268.14348612016</v>
      </c>
      <c r="N27" s="2">
        <f t="shared" si="1"/>
        <v>550332.72407767607</v>
      </c>
      <c r="O27" s="2">
        <f t="shared" si="1"/>
        <v>567943.37124816177</v>
      </c>
      <c r="P27" s="2">
        <f t="shared" si="1"/>
        <v>586117.55912810296</v>
      </c>
      <c r="Q27" s="2">
        <f t="shared" si="1"/>
        <v>604873.32102020225</v>
      </c>
      <c r="R27" s="2">
        <f t="shared" si="1"/>
        <v>624229.26729284879</v>
      </c>
      <c r="S27" s="2">
        <f t="shared" si="1"/>
        <v>644204.60384621995</v>
      </c>
      <c r="T27" s="2">
        <f t="shared" si="1"/>
        <v>664819.15116929903</v>
      </c>
      <c r="U27" s="2">
        <f t="shared" si="1"/>
        <v>686093.36400671664</v>
      </c>
      <c r="V27" s="2">
        <f t="shared" si="1"/>
        <v>708048.35165493155</v>
      </c>
      <c r="W27" s="2">
        <f t="shared" si="1"/>
        <v>730705.89890788938</v>
      </c>
      <c r="X27" s="2">
        <f t="shared" si="1"/>
        <v>754088.48767294188</v>
      </c>
      <c r="Y27" s="2">
        <f t="shared" si="1"/>
        <v>778219.31927847606</v>
      </c>
      <c r="Z27" s="2">
        <f t="shared" si="1"/>
        <v>803122.3374953873</v>
      </c>
      <c r="AA27" s="2">
        <f t="shared" si="1"/>
        <v>828822.25229523971</v>
      </c>
      <c r="AB27" s="2">
        <f t="shared" si="1"/>
        <v>855344.56436868745</v>
      </c>
      <c r="AC27" s="2">
        <f t="shared" si="1"/>
        <v>882715.59042848542</v>
      </c>
      <c r="AD27" s="2">
        <f t="shared" si="1"/>
        <v>910962.48932219693</v>
      </c>
      <c r="AE27" s="2">
        <f t="shared" si="1"/>
        <v>940113.28898050729</v>
      </c>
      <c r="AF27" s="2">
        <f t="shared" si="1"/>
        <v>970196.91422788356</v>
      </c>
      <c r="AG27" s="2">
        <f t="shared" si="1"/>
        <v>1001243.2154831758</v>
      </c>
      <c r="AH27" s="2">
        <f t="shared" si="1"/>
        <v>1033282.9983786375</v>
      </c>
      <c r="AI27" s="2">
        <f t="shared" si="1"/>
        <v>1066348.0543267538</v>
      </c>
      <c r="AJ27" s="2">
        <f t="shared" si="1"/>
        <v>1100471.1920652101</v>
      </c>
      <c r="AK27" s="2">
        <f t="shared" si="1"/>
        <v>1135686.2702112969</v>
      </c>
    </row>
    <row r="28" spans="1:37" x14ac:dyDescent="0.25">
      <c r="A28" t="s">
        <v>1877</v>
      </c>
      <c r="B28" s="2">
        <f>B11</f>
        <v>24010.799999999996</v>
      </c>
      <c r="C28" s="2">
        <f>B28*(1+0.064)</f>
        <v>25547.491199999997</v>
      </c>
      <c r="D28" s="2">
        <f>C28*(1+0.064)</f>
        <v>27182.530636799998</v>
      </c>
      <c r="E28" s="2">
        <f t="shared" ref="E28:AK28" si="2">D28*(1+0.064)</f>
        <v>28922.212597555201</v>
      </c>
      <c r="F28" s="2">
        <f t="shared" si="2"/>
        <v>30773.234203798736</v>
      </c>
      <c r="G28" s="2">
        <f t="shared" si="2"/>
        <v>32742.721192841858</v>
      </c>
      <c r="H28" s="2">
        <f t="shared" si="2"/>
        <v>34838.255349183739</v>
      </c>
      <c r="I28" s="2">
        <f t="shared" si="2"/>
        <v>37067.903691531501</v>
      </c>
      <c r="J28" s="2">
        <f t="shared" si="2"/>
        <v>39440.249527789521</v>
      </c>
      <c r="K28" s="2">
        <f t="shared" si="2"/>
        <v>41964.425497568052</v>
      </c>
      <c r="L28" s="2">
        <f t="shared" si="2"/>
        <v>44650.148729412409</v>
      </c>
      <c r="M28" s="2">
        <f t="shared" si="2"/>
        <v>47507.758248094804</v>
      </c>
      <c r="N28" s="2">
        <f t="shared" si="2"/>
        <v>50548.254775972877</v>
      </c>
      <c r="O28" s="2">
        <f t="shared" si="2"/>
        <v>53783.343081635147</v>
      </c>
      <c r="P28" s="2">
        <f t="shared" si="2"/>
        <v>57225.477038859797</v>
      </c>
      <c r="Q28" s="2">
        <f t="shared" si="2"/>
        <v>60887.907569346826</v>
      </c>
      <c r="R28" s="2">
        <f t="shared" si="2"/>
        <v>64784.733653785028</v>
      </c>
      <c r="S28" s="2">
        <f t="shared" si="2"/>
        <v>68930.956607627275</v>
      </c>
      <c r="T28" s="2">
        <f t="shared" si="2"/>
        <v>73342.53783051543</v>
      </c>
      <c r="U28" s="2">
        <f t="shared" si="2"/>
        <v>78036.460251668424</v>
      </c>
      <c r="V28" s="2">
        <f t="shared" si="2"/>
        <v>83030.793707775214</v>
      </c>
      <c r="W28" s="2">
        <f t="shared" si="2"/>
        <v>88344.764505072832</v>
      </c>
      <c r="X28" s="2">
        <f t="shared" si="2"/>
        <v>93998.829433397492</v>
      </c>
      <c r="Y28" s="2">
        <f t="shared" si="2"/>
        <v>100014.75451713493</v>
      </c>
      <c r="Z28" s="2">
        <f t="shared" si="2"/>
        <v>106415.69880623158</v>
      </c>
      <c r="AA28" s="2">
        <f t="shared" si="2"/>
        <v>113226.3035298304</v>
      </c>
      <c r="AB28" s="2">
        <f t="shared" si="2"/>
        <v>120472.78695573956</v>
      </c>
      <c r="AC28" s="2">
        <f t="shared" si="2"/>
        <v>128183.04532090689</v>
      </c>
      <c r="AD28" s="2">
        <f t="shared" si="2"/>
        <v>136386.76022144494</v>
      </c>
      <c r="AE28" s="2">
        <f t="shared" si="2"/>
        <v>145115.51287561742</v>
      </c>
      <c r="AF28" s="2">
        <f t="shared" si="2"/>
        <v>154402.90569965696</v>
      </c>
      <c r="AG28" s="2">
        <f t="shared" si="2"/>
        <v>164284.691664435</v>
      </c>
      <c r="AH28" s="2">
        <f t="shared" si="2"/>
        <v>174798.91193095886</v>
      </c>
      <c r="AI28" s="2">
        <f t="shared" si="2"/>
        <v>185986.04229454024</v>
      </c>
      <c r="AJ28" s="2">
        <f t="shared" si="2"/>
        <v>197889.14900139082</v>
      </c>
      <c r="AK28" s="2">
        <f t="shared" si="2"/>
        <v>210554.05453747985</v>
      </c>
    </row>
    <row r="29" spans="1:37" x14ac:dyDescent="0.25">
      <c r="A29" t="s">
        <v>1878</v>
      </c>
      <c r="B29" s="2">
        <f>B12</f>
        <v>194269.2</v>
      </c>
      <c r="C29" s="2">
        <f>B29*(1+0.006)</f>
        <v>195434.81520000001</v>
      </c>
      <c r="D29" s="2">
        <f>C29*(1+0.006)</f>
        <v>196607.42409120002</v>
      </c>
      <c r="E29" s="2">
        <f t="shared" ref="E29:AK29" si="3">D29*(1+0.006)</f>
        <v>197787.06863574722</v>
      </c>
      <c r="F29" s="2">
        <f t="shared" si="3"/>
        <v>198973.79104756171</v>
      </c>
      <c r="G29" s="2">
        <f t="shared" si="3"/>
        <v>200167.63379384708</v>
      </c>
      <c r="H29" s="2">
        <f t="shared" si="3"/>
        <v>201368.63959661016</v>
      </c>
      <c r="I29" s="2">
        <f t="shared" si="3"/>
        <v>202576.85143418983</v>
      </c>
      <c r="J29" s="2">
        <f t="shared" si="3"/>
        <v>203792.31254279497</v>
      </c>
      <c r="K29" s="2">
        <f t="shared" si="3"/>
        <v>205015.06641805175</v>
      </c>
      <c r="L29" s="2">
        <f t="shared" si="3"/>
        <v>206245.15681656005</v>
      </c>
      <c r="M29" s="2">
        <f t="shared" si="3"/>
        <v>207482.62775745941</v>
      </c>
      <c r="N29" s="2">
        <f t="shared" si="3"/>
        <v>208727.52352400418</v>
      </c>
      <c r="O29" s="2">
        <f t="shared" si="3"/>
        <v>209979.8886651482</v>
      </c>
      <c r="P29" s="2">
        <f t="shared" si="3"/>
        <v>211239.7679971391</v>
      </c>
      <c r="Q29" s="2">
        <f t="shared" si="3"/>
        <v>212507.20660512193</v>
      </c>
      <c r="R29" s="2">
        <f t="shared" si="3"/>
        <v>213782.24984475266</v>
      </c>
      <c r="S29" s="2">
        <f t="shared" si="3"/>
        <v>215064.94334382119</v>
      </c>
      <c r="T29" s="2">
        <f t="shared" si="3"/>
        <v>216355.33300388412</v>
      </c>
      <c r="U29" s="2">
        <f t="shared" si="3"/>
        <v>217653.46500190743</v>
      </c>
      <c r="V29" s="2">
        <f t="shared" si="3"/>
        <v>218959.38579191887</v>
      </c>
      <c r="W29" s="2">
        <f t="shared" si="3"/>
        <v>220273.14210667039</v>
      </c>
      <c r="X29" s="2">
        <f t="shared" si="3"/>
        <v>221594.78095931042</v>
      </c>
      <c r="Y29" s="2">
        <f t="shared" si="3"/>
        <v>222924.34964506628</v>
      </c>
      <c r="Z29" s="2">
        <f t="shared" si="3"/>
        <v>224261.89574293667</v>
      </c>
      <c r="AA29" s="2">
        <f t="shared" si="3"/>
        <v>225607.46711739429</v>
      </c>
      <c r="AB29" s="2">
        <f t="shared" si="3"/>
        <v>226961.11192009866</v>
      </c>
      <c r="AC29" s="2">
        <f t="shared" si="3"/>
        <v>228322.87859161926</v>
      </c>
      <c r="AD29" s="2">
        <f t="shared" si="3"/>
        <v>229692.81586316897</v>
      </c>
      <c r="AE29" s="2">
        <f t="shared" si="3"/>
        <v>231070.97275834798</v>
      </c>
      <c r="AF29" s="2">
        <f t="shared" si="3"/>
        <v>232457.39859489808</v>
      </c>
      <c r="AG29" s="2">
        <f t="shared" si="3"/>
        <v>233852.14298646749</v>
      </c>
      <c r="AH29" s="2">
        <f t="shared" si="3"/>
        <v>235255.25584438629</v>
      </c>
      <c r="AI29" s="2">
        <f t="shared" si="3"/>
        <v>236666.78737945261</v>
      </c>
      <c r="AJ29" s="2">
        <f t="shared" si="3"/>
        <v>238086.78810372931</v>
      </c>
      <c r="AK29" s="2">
        <f t="shared" si="3"/>
        <v>239515.3088323517</v>
      </c>
    </row>
    <row r="31" spans="1:37" x14ac:dyDescent="0.25">
      <c r="A31" s="56" t="s">
        <v>737</v>
      </c>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row>
    <row r="32" spans="1:37" x14ac:dyDescent="0.25">
      <c r="A32" t="s">
        <v>1885</v>
      </c>
      <c r="B32">
        <v>2015</v>
      </c>
      <c r="C32">
        <v>2016</v>
      </c>
      <c r="D32">
        <v>2017</v>
      </c>
      <c r="E32">
        <v>2018</v>
      </c>
      <c r="F32">
        <v>2019</v>
      </c>
      <c r="G32">
        <v>2020</v>
      </c>
      <c r="H32">
        <v>2021</v>
      </c>
      <c r="I32">
        <v>2022</v>
      </c>
      <c r="J32">
        <v>2023</v>
      </c>
      <c r="K32">
        <v>2024</v>
      </c>
      <c r="L32">
        <v>2025</v>
      </c>
      <c r="M32">
        <v>2026</v>
      </c>
      <c r="N32">
        <v>2027</v>
      </c>
      <c r="O32">
        <v>2028</v>
      </c>
      <c r="P32">
        <v>2029</v>
      </c>
      <c r="Q32">
        <v>2030</v>
      </c>
      <c r="R32">
        <v>2031</v>
      </c>
      <c r="S32">
        <v>2032</v>
      </c>
      <c r="T32">
        <v>2033</v>
      </c>
      <c r="U32">
        <v>2034</v>
      </c>
      <c r="V32">
        <v>2035</v>
      </c>
      <c r="W32">
        <v>2036</v>
      </c>
      <c r="X32">
        <v>2037</v>
      </c>
      <c r="Y32">
        <v>2038</v>
      </c>
      <c r="Z32">
        <v>2039</v>
      </c>
      <c r="AA32">
        <v>2040</v>
      </c>
      <c r="AB32">
        <v>2041</v>
      </c>
      <c r="AC32">
        <v>2042</v>
      </c>
      <c r="AD32">
        <v>2043</v>
      </c>
      <c r="AE32">
        <v>2044</v>
      </c>
      <c r="AF32">
        <v>2045</v>
      </c>
      <c r="AG32">
        <v>2046</v>
      </c>
      <c r="AH32">
        <v>2047</v>
      </c>
      <c r="AI32">
        <v>2048</v>
      </c>
      <c r="AJ32">
        <v>2049</v>
      </c>
      <c r="AK32">
        <v>2050</v>
      </c>
    </row>
    <row r="33" spans="1:37" x14ac:dyDescent="0.25">
      <c r="A33" t="s">
        <v>1875</v>
      </c>
      <c r="B33" s="103">
        <f>B18</f>
        <v>1.320244288E-2</v>
      </c>
      <c r="C33" s="67">
        <f>C26*$B$18/$B$8*(1-0.064)^(C32-$B$32)</f>
        <v>1.2147409264573437E-2</v>
      </c>
      <c r="D33" s="67">
        <f>D26*$B$18/$B$8*(1-0.064)^(D32-$B$32)</f>
        <v>1.1176685495422846E-2</v>
      </c>
      <c r="E33" s="67">
        <f t="shared" ref="E33:AK33" si="4">E26*$B$18/$B$8*(1-0.064)^(E32-$B$32)</f>
        <v>1.0283534204112616E-2</v>
      </c>
      <c r="F33" s="67">
        <f t="shared" si="4"/>
        <v>9.4617564187935675E-3</v>
      </c>
      <c r="G33" s="67">
        <f t="shared" si="4"/>
        <v>8.7056485398549349E-3</v>
      </c>
      <c r="H33" s="67">
        <f t="shared" si="4"/>
        <v>8.0099627537380466E-3</v>
      </c>
      <c r="I33" s="67">
        <f t="shared" si="4"/>
        <v>7.3698706101613309E-3</v>
      </c>
      <c r="J33" s="67">
        <f t="shared" si="4"/>
        <v>6.7809295099621174E-3</v>
      </c>
      <c r="K33" s="67">
        <f t="shared" si="4"/>
        <v>6.2390518709620245E-3</v>
      </c>
      <c r="L33" s="67">
        <f t="shared" si="4"/>
        <v>5.740476757849707E-3</v>
      </c>
      <c r="M33" s="67">
        <f t="shared" si="4"/>
        <v>5.2817437791764215E-3</v>
      </c>
      <c r="N33" s="67">
        <f t="shared" si="4"/>
        <v>4.8596690702948746E-3</v>
      </c>
      <c r="O33" s="67">
        <f t="shared" si="4"/>
        <v>4.47132319554947E-3</v>
      </c>
      <c r="P33" s="67">
        <f t="shared" si="4"/>
        <v>4.1140108163467207E-3</v>
      </c>
      <c r="Q33" s="67">
        <f t="shared" si="4"/>
        <v>3.7852519839908214E-3</v>
      </c>
      <c r="R33" s="67">
        <f t="shared" si="4"/>
        <v>3.4827649274461457E-3</v>
      </c>
      <c r="S33" s="67">
        <f t="shared" si="4"/>
        <v>3.2044502165640689E-3</v>
      </c>
      <c r="T33" s="67">
        <f t="shared" si="4"/>
        <v>2.9483761908580004E-3</v>
      </c>
      <c r="U33" s="67">
        <f t="shared" si="4"/>
        <v>2.7127655526941559E-3</v>
      </c>
      <c r="V33" s="67">
        <f t="shared" si="4"/>
        <v>2.4959830318472603E-3</v>
      </c>
      <c r="W33" s="67">
        <f t="shared" si="4"/>
        <v>2.2965240358062814E-3</v>
      </c>
      <c r="X33" s="67">
        <f t="shared" si="4"/>
        <v>2.1130042070569297E-3</v>
      </c>
      <c r="Y33" s="67">
        <f t="shared" si="4"/>
        <v>1.9441498148625961E-3</v>
      </c>
      <c r="Z33" s="67">
        <f t="shared" si="4"/>
        <v>1.788788914857296E-3</v>
      </c>
      <c r="AA33" s="67">
        <f t="shared" si="4"/>
        <v>1.6458432150932198E-3</v>
      </c>
      <c r="AB33" s="67">
        <f t="shared" si="4"/>
        <v>1.5143205920886903E-3</v>
      </c>
      <c r="AC33" s="67">
        <f t="shared" si="4"/>
        <v>1.3933082049336989E-3</v>
      </c>
      <c r="AD33" s="67">
        <f t="shared" si="4"/>
        <v>1.2819661596610368E-3</v>
      </c>
      <c r="AE33" s="67">
        <f t="shared" si="4"/>
        <v>1.1795216799102039E-3</v>
      </c>
      <c r="AF33" s="67">
        <f t="shared" si="4"/>
        <v>1.0852637434252195E-3</v>
      </c>
      <c r="AG33" s="67">
        <f t="shared" si="4"/>
        <v>9.9853814716062352E-4</v>
      </c>
      <c r="AH33" s="67">
        <f t="shared" si="4"/>
        <v>9.1874296674472351E-4</v>
      </c>
      <c r="AI33" s="67">
        <f t="shared" si="4"/>
        <v>8.4532437878621892E-4</v>
      </c>
      <c r="AJ33" s="67">
        <f t="shared" si="4"/>
        <v>7.7777281702865462E-4</v>
      </c>
      <c r="AK33" s="67">
        <f t="shared" si="4"/>
        <v>7.156194356742609E-4</v>
      </c>
    </row>
    <row r="34" spans="1:37" x14ac:dyDescent="0.25">
      <c r="A34" t="s">
        <v>1876</v>
      </c>
      <c r="B34" s="103">
        <f>B19</f>
        <v>0.10681976512000001</v>
      </c>
      <c r="C34" s="67">
        <f>C27*$B$19/$B$9*(1-0.064)^(C32-$B$32)</f>
        <v>0.10318276575719426</v>
      </c>
      <c r="D34" s="67">
        <f>D27*$B$19/$B$9*(1-0.064)^(D32-$B$32)</f>
        <v>9.9669598948693289E-2</v>
      </c>
      <c r="E34" s="67">
        <f t="shared" ref="E34:AK34" si="5">E27*$B$19/$B$9*(1-0.064)^(E32-$B$32)</f>
        <v>9.6276048443688186E-2</v>
      </c>
      <c r="F34" s="67">
        <f t="shared" si="5"/>
        <v>9.2998041546277485E-2</v>
      </c>
      <c r="G34" s="67">
        <f t="shared" si="5"/>
        <v>8.9831644227709798E-2</v>
      </c>
      <c r="H34" s="67">
        <f t="shared" si="5"/>
        <v>8.6773056405044749E-2</v>
      </c>
      <c r="I34" s="67">
        <f t="shared" si="5"/>
        <v>8.3818607380565804E-2</v>
      </c>
      <c r="J34" s="67">
        <f t="shared" si="5"/>
        <v>8.0964751436472276E-2</v>
      </c>
      <c r="K34" s="67">
        <f t="shared" si="5"/>
        <v>7.8208063579563267E-2</v>
      </c>
      <c r="L34" s="67">
        <f t="shared" si="5"/>
        <v>7.5545235430806296E-2</v>
      </c>
      <c r="M34" s="67">
        <f t="shared" si="5"/>
        <v>7.2973071254858204E-2</v>
      </c>
      <c r="N34" s="67">
        <f t="shared" si="5"/>
        <v>7.0488484124772779E-2</v>
      </c>
      <c r="O34" s="67">
        <f t="shared" si="5"/>
        <v>6.8088492217292532E-2</v>
      </c>
      <c r="P34" s="67">
        <f t="shared" si="5"/>
        <v>6.5770215234278145E-2</v>
      </c>
      <c r="Q34" s="67">
        <f t="shared" si="5"/>
        <v>6.3530870945981435E-2</v>
      </c>
      <c r="R34" s="67">
        <f t="shared" si="5"/>
        <v>6.1367771852012656E-2</v>
      </c>
      <c r="S34" s="67">
        <f t="shared" si="5"/>
        <v>5.9278321955995333E-2</v>
      </c>
      <c r="T34" s="67">
        <f t="shared" si="5"/>
        <v>5.7260013650037592E-2</v>
      </c>
      <c r="U34" s="67">
        <f t="shared" si="5"/>
        <v>5.5310424705281122E-2</v>
      </c>
      <c r="V34" s="67">
        <f t="shared" si="5"/>
        <v>5.3427215364915702E-2</v>
      </c>
      <c r="W34" s="67">
        <f t="shared" si="5"/>
        <v>5.1608125536171043E-2</v>
      </c>
      <c r="X34" s="67">
        <f t="shared" si="5"/>
        <v>4.9850972077915494E-2</v>
      </c>
      <c r="Y34" s="67">
        <f t="shared" si="5"/>
        <v>4.8153646180606635E-2</v>
      </c>
      <c r="Z34" s="67">
        <f t="shared" si="5"/>
        <v>4.6514110835449325E-2</v>
      </c>
      <c r="AA34" s="67">
        <f t="shared" si="5"/>
        <v>4.4930398389723944E-2</v>
      </c>
      <c r="AB34" s="67">
        <f t="shared" si="5"/>
        <v>4.3400608185350624E-2</v>
      </c>
      <c r="AC34" s="67">
        <f t="shared" si="5"/>
        <v>4.1922904277855798E-2</v>
      </c>
      <c r="AD34" s="67">
        <f t="shared" si="5"/>
        <v>4.0495513233003363E-2</v>
      </c>
      <c r="AE34" s="67">
        <f t="shared" si="5"/>
        <v>3.9116721998446062E-2</v>
      </c>
      <c r="AF34" s="67">
        <f t="shared" si="5"/>
        <v>3.7784875847842972E-2</v>
      </c>
      <c r="AG34" s="67">
        <f t="shared" si="5"/>
        <v>3.6498376394975614E-2</v>
      </c>
      <c r="AH34" s="67">
        <f t="shared" si="5"/>
        <v>3.5255679675479476E-2</v>
      </c>
      <c r="AI34" s="67">
        <f t="shared" si="5"/>
        <v>3.4055294293888747E-2</v>
      </c>
      <c r="AJ34" s="67">
        <f t="shared" si="5"/>
        <v>3.2895779633770418E-2</v>
      </c>
      <c r="AK34" s="67">
        <f t="shared" si="5"/>
        <v>3.1775744128799806E-2</v>
      </c>
    </row>
    <row r="35" spans="1:37" x14ac:dyDescent="0.25">
      <c r="A35" t="s">
        <v>1877</v>
      </c>
      <c r="B35" s="103">
        <f>B21</f>
        <v>1.3926263999999997E-2</v>
      </c>
      <c r="C35" s="67">
        <f>C28*0.58/10^6</f>
        <v>1.4817544895999998E-2</v>
      </c>
      <c r="D35" s="67">
        <f>D28*0.58/10^6</f>
        <v>1.5765867769343998E-2</v>
      </c>
      <c r="E35" s="67">
        <f t="shared" ref="E35:AK35" si="6">E28*0.58/10^6</f>
        <v>1.6774883306582014E-2</v>
      </c>
      <c r="F35" s="67">
        <f t="shared" si="6"/>
        <v>1.7848475838203266E-2</v>
      </c>
      <c r="G35" s="67">
        <f t="shared" si="6"/>
        <v>1.8990778291848278E-2</v>
      </c>
      <c r="H35" s="67">
        <f t="shared" si="6"/>
        <v>2.0206188102526567E-2</v>
      </c>
      <c r="I35" s="67">
        <f t="shared" si="6"/>
        <v>2.1499384141088269E-2</v>
      </c>
      <c r="J35" s="67">
        <f t="shared" si="6"/>
        <v>2.2875344726117922E-2</v>
      </c>
      <c r="K35" s="67">
        <f t="shared" si="6"/>
        <v>2.4339366788589469E-2</v>
      </c>
      <c r="L35" s="67">
        <f t="shared" si="6"/>
        <v>2.5897086263059196E-2</v>
      </c>
      <c r="M35" s="67">
        <f t="shared" si="6"/>
        <v>2.7554499783894987E-2</v>
      </c>
      <c r="N35" s="67">
        <f t="shared" si="6"/>
        <v>2.931798777006427E-2</v>
      </c>
      <c r="O35" s="67">
        <f t="shared" si="6"/>
        <v>3.1194338987348382E-2</v>
      </c>
      <c r="P35" s="67">
        <f t="shared" si="6"/>
        <v>3.3190776682538677E-2</v>
      </c>
      <c r="Q35" s="67">
        <f t="shared" si="6"/>
        <v>3.5314986390221161E-2</v>
      </c>
      <c r="R35" s="67">
        <f t="shared" si="6"/>
        <v>3.7575145519195316E-2</v>
      </c>
      <c r="S35" s="67">
        <f t="shared" si="6"/>
        <v>3.9979954832423822E-2</v>
      </c>
      <c r="T35" s="67">
        <f t="shared" si="6"/>
        <v>4.2538671941698941E-2</v>
      </c>
      <c r="U35" s="67">
        <f t="shared" si="6"/>
        <v>4.5261146945967681E-2</v>
      </c>
      <c r="V35" s="67">
        <f t="shared" si="6"/>
        <v>4.8157860350509618E-2</v>
      </c>
      <c r="W35" s="67">
        <f t="shared" si="6"/>
        <v>5.1239963412942242E-2</v>
      </c>
      <c r="X35" s="67">
        <f t="shared" si="6"/>
        <v>5.4519321071370544E-2</v>
      </c>
      <c r="Y35" s="67">
        <f t="shared" si="6"/>
        <v>5.8008557619938256E-2</v>
      </c>
      <c r="Z35" s="67">
        <f t="shared" si="6"/>
        <v>6.1721105307614314E-2</v>
      </c>
      <c r="AA35" s="67">
        <f t="shared" si="6"/>
        <v>6.5671256047301632E-2</v>
      </c>
      <c r="AB35" s="67">
        <f t="shared" si="6"/>
        <v>6.9874216434328937E-2</v>
      </c>
      <c r="AC35" s="67">
        <f t="shared" si="6"/>
        <v>7.4346166286126003E-2</v>
      </c>
      <c r="AD35" s="67">
        <f t="shared" si="6"/>
        <v>7.9104320928438054E-2</v>
      </c>
      <c r="AE35" s="67">
        <f t="shared" si="6"/>
        <v>8.4166997467858107E-2</v>
      </c>
      <c r="AF35" s="67">
        <f t="shared" si="6"/>
        <v>8.9553685305801031E-2</v>
      </c>
      <c r="AG35" s="67">
        <f t="shared" si="6"/>
        <v>9.5285121165372286E-2</v>
      </c>
      <c r="AH35" s="67">
        <f t="shared" si="6"/>
        <v>0.10138336891995614</v>
      </c>
      <c r="AI35" s="67">
        <f t="shared" si="6"/>
        <v>0.10787190453083333</v>
      </c>
      <c r="AJ35" s="67">
        <f t="shared" si="6"/>
        <v>0.11477570642080667</v>
      </c>
      <c r="AK35" s="67">
        <f t="shared" si="6"/>
        <v>0.1221213516317383</v>
      </c>
    </row>
    <row r="36" spans="1:37" x14ac:dyDescent="0.25">
      <c r="A36" t="s">
        <v>1878</v>
      </c>
      <c r="B36" s="103">
        <f>B22</f>
        <v>6.6051528000000012E-2</v>
      </c>
      <c r="C36" s="67">
        <f>C29*0.34/10^6</f>
        <v>6.6447837168000012E-2</v>
      </c>
      <c r="D36" s="67">
        <f>D29*0.34/10^6</f>
        <v>6.6846524191008005E-2</v>
      </c>
      <c r="E36" s="67">
        <f t="shared" ref="E36:AK36" si="7">E29*0.34/10^6</f>
        <v>6.7247603336154066E-2</v>
      </c>
      <c r="F36" s="67">
        <f t="shared" si="7"/>
        <v>6.7651088956170988E-2</v>
      </c>
      <c r="G36" s="67">
        <f t="shared" si="7"/>
        <v>6.8056995489908012E-2</v>
      </c>
      <c r="H36" s="67">
        <f t="shared" si="7"/>
        <v>6.8465337462847456E-2</v>
      </c>
      <c r="I36" s="67">
        <f t="shared" si="7"/>
        <v>6.8876129487624546E-2</v>
      </c>
      <c r="J36" s="67">
        <f t="shared" si="7"/>
        <v>6.9289386264550293E-2</v>
      </c>
      <c r="K36" s="67">
        <f t="shared" si="7"/>
        <v>6.9705122582137596E-2</v>
      </c>
      <c r="L36" s="67">
        <f t="shared" si="7"/>
        <v>7.0123353317630421E-2</v>
      </c>
      <c r="M36" s="67">
        <f t="shared" si="7"/>
        <v>7.0544093437536218E-2</v>
      </c>
      <c r="N36" s="67">
        <f t="shared" si="7"/>
        <v>7.0967357998161437E-2</v>
      </c>
      <c r="O36" s="67">
        <f t="shared" si="7"/>
        <v>7.1393162146150393E-2</v>
      </c>
      <c r="P36" s="67">
        <f t="shared" si="7"/>
        <v>7.1821521119027301E-2</v>
      </c>
      <c r="Q36" s="67">
        <f t="shared" si="7"/>
        <v>7.2252450245741465E-2</v>
      </c>
      <c r="R36" s="67">
        <f t="shared" si="7"/>
        <v>7.2685964947215909E-2</v>
      </c>
      <c r="S36" s="67">
        <f t="shared" si="7"/>
        <v>7.3122080736899214E-2</v>
      </c>
      <c r="T36" s="67">
        <f t="shared" si="7"/>
        <v>7.3560813221320617E-2</v>
      </c>
      <c r="U36" s="67">
        <f t="shared" si="7"/>
        <v>7.4002178100648519E-2</v>
      </c>
      <c r="V36" s="67">
        <f t="shared" si="7"/>
        <v>7.4446191169252413E-2</v>
      </c>
      <c r="W36" s="67">
        <f t="shared" si="7"/>
        <v>7.4892868316267944E-2</v>
      </c>
      <c r="X36" s="67">
        <f t="shared" si="7"/>
        <v>7.5342225526165554E-2</v>
      </c>
      <c r="Y36" s="67">
        <f t="shared" si="7"/>
        <v>7.5794278879322538E-2</v>
      </c>
      <c r="Z36" s="67">
        <f t="shared" si="7"/>
        <v>7.6249044552598469E-2</v>
      </c>
      <c r="AA36" s="67">
        <f t="shared" si="7"/>
        <v>7.6706538819914058E-2</v>
      </c>
      <c r="AB36" s="67">
        <f t="shared" si="7"/>
        <v>7.7166778052833548E-2</v>
      </c>
      <c r="AC36" s="67">
        <f t="shared" si="7"/>
        <v>7.7629778721150552E-2</v>
      </c>
      <c r="AD36" s="67">
        <f t="shared" si="7"/>
        <v>7.8095557393477455E-2</v>
      </c>
      <c r="AE36" s="67">
        <f t="shared" si="7"/>
        <v>7.8564130737838314E-2</v>
      </c>
      <c r="AF36" s="67">
        <f t="shared" si="7"/>
        <v>7.9035515522265357E-2</v>
      </c>
      <c r="AG36" s="67">
        <f t="shared" si="7"/>
        <v>7.9509728615398956E-2</v>
      </c>
      <c r="AH36" s="67">
        <f t="shared" si="7"/>
        <v>7.9986786987091343E-2</v>
      </c>
      <c r="AI36" s="67">
        <f t="shared" si="7"/>
        <v>8.0466707709013888E-2</v>
      </c>
      <c r="AJ36" s="67">
        <f t="shared" si="7"/>
        <v>8.0949507955267966E-2</v>
      </c>
      <c r="AK36" s="67">
        <f t="shared" si="7"/>
        <v>8.1435205002999583E-2</v>
      </c>
    </row>
    <row r="38" spans="1:37" x14ac:dyDescent="0.25">
      <c r="A38" s="56" t="s">
        <v>737</v>
      </c>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row>
    <row r="39" spans="1:37" x14ac:dyDescent="0.25">
      <c r="A39" t="s">
        <v>1886</v>
      </c>
      <c r="B39">
        <v>2015</v>
      </c>
      <c r="C39">
        <v>2016</v>
      </c>
      <c r="D39">
        <v>2017</v>
      </c>
      <c r="E39">
        <v>2018</v>
      </c>
      <c r="F39">
        <v>2019</v>
      </c>
      <c r="G39">
        <v>2020</v>
      </c>
      <c r="H39">
        <v>2021</v>
      </c>
      <c r="I39">
        <v>2022</v>
      </c>
      <c r="J39">
        <v>2023</v>
      </c>
      <c r="K39">
        <v>2024</v>
      </c>
      <c r="L39">
        <v>2025</v>
      </c>
      <c r="M39">
        <v>2026</v>
      </c>
      <c r="N39">
        <v>2027</v>
      </c>
      <c r="O39">
        <v>2028</v>
      </c>
      <c r="P39">
        <v>2029</v>
      </c>
      <c r="Q39">
        <v>2030</v>
      </c>
      <c r="R39">
        <v>2031</v>
      </c>
      <c r="S39">
        <v>2032</v>
      </c>
      <c r="T39">
        <v>2033</v>
      </c>
      <c r="U39">
        <v>2034</v>
      </c>
      <c r="V39">
        <v>2035</v>
      </c>
      <c r="W39">
        <v>2036</v>
      </c>
      <c r="X39">
        <v>2037</v>
      </c>
      <c r="Y39">
        <v>2038</v>
      </c>
      <c r="Z39">
        <v>2039</v>
      </c>
      <c r="AA39">
        <v>2040</v>
      </c>
      <c r="AB39">
        <v>2041</v>
      </c>
      <c r="AC39">
        <v>2042</v>
      </c>
      <c r="AD39">
        <v>2043</v>
      </c>
      <c r="AE39">
        <v>2044</v>
      </c>
      <c r="AF39">
        <v>2045</v>
      </c>
      <c r="AG39">
        <v>2046</v>
      </c>
      <c r="AH39">
        <v>2047</v>
      </c>
      <c r="AI39">
        <v>2048</v>
      </c>
      <c r="AJ39">
        <v>2049</v>
      </c>
      <c r="AK39">
        <v>2050</v>
      </c>
    </row>
    <row r="40" spans="1:37" x14ac:dyDescent="0.25">
      <c r="A40" t="s">
        <v>1875</v>
      </c>
      <c r="B40" s="103">
        <f>B33*23500/1000</f>
        <v>0.31025740767999999</v>
      </c>
      <c r="C40" s="103">
        <f t="shared" ref="C40:AK43" si="8">C33*23500/1000</f>
        <v>0.28546411771747582</v>
      </c>
      <c r="D40" s="103">
        <f t="shared" si="8"/>
        <v>0.26265210914243686</v>
      </c>
      <c r="E40" s="103">
        <f t="shared" si="8"/>
        <v>0.24166305379664646</v>
      </c>
      <c r="F40" s="103">
        <f t="shared" si="8"/>
        <v>0.22235127584164882</v>
      </c>
      <c r="G40" s="103">
        <f t="shared" si="8"/>
        <v>0.20458274068659096</v>
      </c>
      <c r="H40" s="103">
        <f t="shared" si="8"/>
        <v>0.18823412471284412</v>
      </c>
      <c r="I40" s="103">
        <f t="shared" si="8"/>
        <v>0.17319195933879125</v>
      </c>
      <c r="J40" s="103">
        <f t="shared" si="8"/>
        <v>0.15935184348410977</v>
      </c>
      <c r="K40" s="103">
        <f t="shared" si="8"/>
        <v>0.14661771896760759</v>
      </c>
      <c r="L40" s="103">
        <f t="shared" si="8"/>
        <v>0.1349012038094681</v>
      </c>
      <c r="M40" s="103">
        <f t="shared" si="8"/>
        <v>0.1241209788106459</v>
      </c>
      <c r="N40" s="103">
        <f t="shared" si="8"/>
        <v>0.11420222315192956</v>
      </c>
      <c r="O40" s="103">
        <f t="shared" si="8"/>
        <v>0.10507609509541255</v>
      </c>
      <c r="P40" s="103">
        <f t="shared" si="8"/>
        <v>9.6679254184147939E-2</v>
      </c>
      <c r="Q40" s="103">
        <f t="shared" si="8"/>
        <v>8.8953421623784307E-2</v>
      </c>
      <c r="R40" s="103">
        <f t="shared" si="8"/>
        <v>8.1844975794984426E-2</v>
      </c>
      <c r="S40" s="103">
        <f t="shared" si="8"/>
        <v>7.5304580089255627E-2</v>
      </c>
      <c r="T40" s="103">
        <f t="shared" si="8"/>
        <v>6.9286840485163009E-2</v>
      </c>
      <c r="U40" s="103">
        <f t="shared" si="8"/>
        <v>6.3749990488312661E-2</v>
      </c>
      <c r="V40" s="103">
        <f t="shared" si="8"/>
        <v>5.865560124841062E-2</v>
      </c>
      <c r="W40" s="103">
        <f t="shared" si="8"/>
        <v>5.3968314841447616E-2</v>
      </c>
      <c r="X40" s="103">
        <f t="shared" si="8"/>
        <v>4.9655598865837848E-2</v>
      </c>
      <c r="Y40" s="103">
        <f t="shared" si="8"/>
        <v>4.5687520649271007E-2</v>
      </c>
      <c r="Z40" s="103">
        <f t="shared" si="8"/>
        <v>4.2036539499146458E-2</v>
      </c>
      <c r="AA40" s="103">
        <f t="shared" si="8"/>
        <v>3.8677315554690665E-2</v>
      </c>
      <c r="AB40" s="103">
        <f t="shared" si="8"/>
        <v>3.5586533914084222E-2</v>
      </c>
      <c r="AC40" s="103">
        <f t="shared" si="8"/>
        <v>3.2742742815941923E-2</v>
      </c>
      <c r="AD40" s="103">
        <f t="shared" si="8"/>
        <v>3.0126204752034366E-2</v>
      </c>
      <c r="AE40" s="103">
        <f t="shared" si="8"/>
        <v>2.7718759477889789E-2</v>
      </c>
      <c r="AF40" s="103">
        <f t="shared" si="8"/>
        <v>2.5503697970492661E-2</v>
      </c>
      <c r="AG40" s="103">
        <f t="shared" si="8"/>
        <v>2.3465646458274651E-2</v>
      </c>
      <c r="AH40" s="103">
        <f t="shared" si="8"/>
        <v>2.1590459718501001E-2</v>
      </c>
      <c r="AI40" s="103">
        <f t="shared" si="8"/>
        <v>1.9865122901476146E-2</v>
      </c>
      <c r="AJ40" s="103">
        <f t="shared" si="8"/>
        <v>1.8277661200173385E-2</v>
      </c>
      <c r="AK40" s="103">
        <f t="shared" si="8"/>
        <v>1.6817056738345128E-2</v>
      </c>
    </row>
    <row r="41" spans="1:37" x14ac:dyDescent="0.25">
      <c r="A41" t="s">
        <v>1876</v>
      </c>
      <c r="B41" s="103">
        <f t="shared" ref="B41:Q43" si="9">B34*23500/1000</f>
        <v>2.51026448032</v>
      </c>
      <c r="C41" s="103">
        <f t="shared" si="9"/>
        <v>2.4247949952940653</v>
      </c>
      <c r="D41" s="103">
        <f t="shared" si="9"/>
        <v>2.3422355752942923</v>
      </c>
      <c r="E41" s="103">
        <f t="shared" si="9"/>
        <v>2.2624871384266725</v>
      </c>
      <c r="F41" s="103">
        <f t="shared" si="9"/>
        <v>2.1854539763375209</v>
      </c>
      <c r="G41" s="103">
        <f t="shared" si="9"/>
        <v>2.1110436393511804</v>
      </c>
      <c r="H41" s="103">
        <f t="shared" si="9"/>
        <v>2.0391668255185516</v>
      </c>
      <c r="I41" s="103">
        <f t="shared" si="9"/>
        <v>1.9697372734432963</v>
      </c>
      <c r="J41" s="103">
        <f t="shared" si="9"/>
        <v>1.9026716587570984</v>
      </c>
      <c r="K41" s="103">
        <f t="shared" si="9"/>
        <v>1.8378894941197368</v>
      </c>
      <c r="L41" s="103">
        <f t="shared" si="9"/>
        <v>1.7753130326239479</v>
      </c>
      <c r="M41" s="103">
        <f t="shared" si="9"/>
        <v>1.7148671744891679</v>
      </c>
      <c r="N41" s="103">
        <f t="shared" si="9"/>
        <v>1.6564793769321602</v>
      </c>
      <c r="O41" s="103">
        <f t="shared" si="9"/>
        <v>1.6000795671063746</v>
      </c>
      <c r="P41" s="103">
        <f t="shared" si="9"/>
        <v>1.5456000580055362</v>
      </c>
      <c r="Q41" s="103">
        <f t="shared" si="9"/>
        <v>1.4929754672305637</v>
      </c>
      <c r="R41" s="103">
        <f t="shared" si="8"/>
        <v>1.4421426385222973</v>
      </c>
      <c r="S41" s="103">
        <f t="shared" si="8"/>
        <v>1.3930405659658904</v>
      </c>
      <c r="T41" s="103">
        <f t="shared" si="8"/>
        <v>1.3456103207758834</v>
      </c>
      <c r="U41" s="103">
        <f t="shared" si="8"/>
        <v>1.2997949805741065</v>
      </c>
      <c r="V41" s="103">
        <f t="shared" si="8"/>
        <v>1.2555395610755191</v>
      </c>
      <c r="W41" s="103">
        <f t="shared" si="8"/>
        <v>1.2127909501000196</v>
      </c>
      <c r="X41" s="103">
        <f t="shared" si="8"/>
        <v>1.171497843831014</v>
      </c>
      <c r="Y41" s="103">
        <f t="shared" si="8"/>
        <v>1.1316106852442558</v>
      </c>
      <c r="Z41" s="103">
        <f t="shared" si="8"/>
        <v>1.0930816046330591</v>
      </c>
      <c r="AA41" s="103">
        <f t="shared" si="8"/>
        <v>1.0558643621585126</v>
      </c>
      <c r="AB41" s="103">
        <f t="shared" si="8"/>
        <v>1.0199142923557396</v>
      </c>
      <c r="AC41" s="103">
        <f t="shared" si="8"/>
        <v>0.98518825052961123</v>
      </c>
      <c r="AD41" s="103">
        <f t="shared" si="8"/>
        <v>0.95164456097557903</v>
      </c>
      <c r="AE41" s="103">
        <f t="shared" si="8"/>
        <v>0.9192429669634824</v>
      </c>
      <c r="AF41" s="103">
        <f t="shared" si="8"/>
        <v>0.88794458242430985</v>
      </c>
      <c r="AG41" s="103">
        <f t="shared" si="8"/>
        <v>0.8577118452819269</v>
      </c>
      <c r="AH41" s="103">
        <f t="shared" si="8"/>
        <v>0.82850847237376768</v>
      </c>
      <c r="AI41" s="103">
        <f t="shared" si="8"/>
        <v>0.80029941590638554</v>
      </c>
      <c r="AJ41" s="103">
        <f t="shared" si="8"/>
        <v>0.77305082139360481</v>
      </c>
      <c r="AK41" s="103">
        <f t="shared" si="8"/>
        <v>0.74672998702679549</v>
      </c>
    </row>
    <row r="42" spans="1:37" x14ac:dyDescent="0.25">
      <c r="A42" t="s">
        <v>1877</v>
      </c>
      <c r="B42" s="103">
        <f t="shared" si="9"/>
        <v>0.32726720399999992</v>
      </c>
      <c r="C42" s="103">
        <f t="shared" si="8"/>
        <v>0.34821230505599993</v>
      </c>
      <c r="D42" s="103">
        <f t="shared" si="8"/>
        <v>0.37049789257958393</v>
      </c>
      <c r="E42" s="103">
        <f t="shared" si="8"/>
        <v>0.39420975770467731</v>
      </c>
      <c r="F42" s="103">
        <f t="shared" si="8"/>
        <v>0.41943918219777676</v>
      </c>
      <c r="G42" s="103">
        <f t="shared" si="8"/>
        <v>0.44628328985843457</v>
      </c>
      <c r="H42" s="103">
        <f t="shared" si="8"/>
        <v>0.47484542040937427</v>
      </c>
      <c r="I42" s="103">
        <f t="shared" si="8"/>
        <v>0.50523552731557431</v>
      </c>
      <c r="J42" s="103">
        <f t="shared" si="8"/>
        <v>0.53757060106377119</v>
      </c>
      <c r="K42" s="103">
        <f t="shared" si="8"/>
        <v>0.57197511953185254</v>
      </c>
      <c r="L42" s="103">
        <f t="shared" si="8"/>
        <v>0.60858152718189118</v>
      </c>
      <c r="M42" s="103">
        <f t="shared" si="8"/>
        <v>0.64753074492153229</v>
      </c>
      <c r="N42" s="103">
        <f t="shared" si="8"/>
        <v>0.68897271259651027</v>
      </c>
      <c r="O42" s="103">
        <f t="shared" si="8"/>
        <v>0.73306696620268696</v>
      </c>
      <c r="P42" s="103">
        <f t="shared" si="8"/>
        <v>0.7799832520396589</v>
      </c>
      <c r="Q42" s="103">
        <f t="shared" si="8"/>
        <v>0.82990218017019735</v>
      </c>
      <c r="R42" s="103">
        <f t="shared" si="8"/>
        <v>0.88301591970108995</v>
      </c>
      <c r="S42" s="103">
        <f t="shared" si="8"/>
        <v>0.93952893856195985</v>
      </c>
      <c r="T42" s="103">
        <f t="shared" si="8"/>
        <v>0.99965879062992513</v>
      </c>
      <c r="U42" s="103">
        <f t="shared" si="8"/>
        <v>1.0636369532302405</v>
      </c>
      <c r="V42" s="103">
        <f t="shared" si="8"/>
        <v>1.131709718236976</v>
      </c>
      <c r="W42" s="103">
        <f t="shared" si="8"/>
        <v>1.2041391402041426</v>
      </c>
      <c r="X42" s="103">
        <f t="shared" si="8"/>
        <v>1.2812040451772078</v>
      </c>
      <c r="Y42" s="103">
        <f t="shared" si="8"/>
        <v>1.363201104068549</v>
      </c>
      <c r="Z42" s="103">
        <f t="shared" si="8"/>
        <v>1.4504459747289364</v>
      </c>
      <c r="AA42" s="103">
        <f t="shared" si="8"/>
        <v>1.5432745171115885</v>
      </c>
      <c r="AB42" s="103">
        <f t="shared" si="8"/>
        <v>1.64204408620673</v>
      </c>
      <c r="AC42" s="103">
        <f t="shared" si="8"/>
        <v>1.7471349077239611</v>
      </c>
      <c r="AD42" s="103">
        <f t="shared" si="8"/>
        <v>1.8589515418182943</v>
      </c>
      <c r="AE42" s="103">
        <f t="shared" si="8"/>
        <v>1.9779244404946654</v>
      </c>
      <c r="AF42" s="103">
        <f t="shared" si="8"/>
        <v>2.1045116046863241</v>
      </c>
      <c r="AG42" s="103">
        <f t="shared" si="8"/>
        <v>2.2392003473862485</v>
      </c>
      <c r="AH42" s="103">
        <f t="shared" si="8"/>
        <v>2.3825091696189693</v>
      </c>
      <c r="AI42" s="103">
        <f t="shared" si="8"/>
        <v>2.5349897564745834</v>
      </c>
      <c r="AJ42" s="103">
        <f t="shared" si="8"/>
        <v>2.6972291008889568</v>
      </c>
      <c r="AK42" s="103">
        <f t="shared" si="8"/>
        <v>2.8698517633458502</v>
      </c>
    </row>
    <row r="43" spans="1:37" x14ac:dyDescent="0.25">
      <c r="A43" t="s">
        <v>1878</v>
      </c>
      <c r="B43" s="103">
        <f t="shared" si="9"/>
        <v>1.5522109080000002</v>
      </c>
      <c r="C43" s="103">
        <f t="shared" si="8"/>
        <v>1.5615241734480003</v>
      </c>
      <c r="D43" s="103">
        <f t="shared" si="8"/>
        <v>1.5708933184886882</v>
      </c>
      <c r="E43" s="103">
        <f t="shared" si="8"/>
        <v>1.5803186783996204</v>
      </c>
      <c r="F43" s="103">
        <f t="shared" si="8"/>
        <v>1.5898005904700183</v>
      </c>
      <c r="G43" s="103">
        <f t="shared" si="8"/>
        <v>1.5993393940128382</v>
      </c>
      <c r="H43" s="103">
        <f t="shared" si="8"/>
        <v>1.6089354303769152</v>
      </c>
      <c r="I43" s="103">
        <f t="shared" si="8"/>
        <v>1.6185890429591767</v>
      </c>
      <c r="J43" s="103">
        <f t="shared" si="8"/>
        <v>1.6283005772169319</v>
      </c>
      <c r="K43" s="103">
        <f t="shared" si="8"/>
        <v>1.6380703806802335</v>
      </c>
      <c r="L43" s="103">
        <f t="shared" si="8"/>
        <v>1.6478988029643149</v>
      </c>
      <c r="M43" s="103">
        <f t="shared" si="8"/>
        <v>1.657786195782101</v>
      </c>
      <c r="N43" s="103">
        <f t="shared" si="8"/>
        <v>1.6677329129567939</v>
      </c>
      <c r="O43" s="103">
        <f t="shared" si="8"/>
        <v>1.6777393104345342</v>
      </c>
      <c r="P43" s="103">
        <f t="shared" si="8"/>
        <v>1.6878057462971414</v>
      </c>
      <c r="Q43" s="103">
        <f t="shared" si="8"/>
        <v>1.6979325807749244</v>
      </c>
      <c r="R43" s="103">
        <f t="shared" si="8"/>
        <v>1.7081201762595737</v>
      </c>
      <c r="S43" s="103">
        <f t="shared" si="8"/>
        <v>1.7183688973171316</v>
      </c>
      <c r="T43" s="103">
        <f t="shared" si="8"/>
        <v>1.7286791107010344</v>
      </c>
      <c r="U43" s="103">
        <f t="shared" si="8"/>
        <v>1.7390511853652402</v>
      </c>
      <c r="V43" s="103">
        <f t="shared" si="8"/>
        <v>1.7494854924774317</v>
      </c>
      <c r="W43" s="103">
        <f t="shared" si="8"/>
        <v>1.7599824054322968</v>
      </c>
      <c r="X43" s="103">
        <f t="shared" si="8"/>
        <v>1.7705422998648905</v>
      </c>
      <c r="Y43" s="103">
        <f t="shared" si="8"/>
        <v>1.7811655536640796</v>
      </c>
      <c r="Z43" s="103">
        <f t="shared" si="8"/>
        <v>1.791852546986064</v>
      </c>
      <c r="AA43" s="103">
        <f t="shared" si="8"/>
        <v>1.8026036622679804</v>
      </c>
      <c r="AB43" s="103">
        <f t="shared" si="8"/>
        <v>1.8134192842415884</v>
      </c>
      <c r="AC43" s="103">
        <f t="shared" si="8"/>
        <v>1.8242997999470381</v>
      </c>
      <c r="AD43" s="103">
        <f t="shared" si="8"/>
        <v>1.8352455987467202</v>
      </c>
      <c r="AE43" s="103">
        <f t="shared" si="8"/>
        <v>1.8462570723392004</v>
      </c>
      <c r="AF43" s="103">
        <f t="shared" si="8"/>
        <v>1.8573346147732359</v>
      </c>
      <c r="AG43" s="103">
        <f t="shared" si="8"/>
        <v>1.8684786224618755</v>
      </c>
      <c r="AH43" s="103">
        <f t="shared" si="8"/>
        <v>1.8796894941966467</v>
      </c>
      <c r="AI43" s="103">
        <f t="shared" si="8"/>
        <v>1.8909676311618264</v>
      </c>
      <c r="AJ43" s="103">
        <f t="shared" si="8"/>
        <v>1.9023134369487973</v>
      </c>
      <c r="AK43" s="103">
        <f t="shared" si="8"/>
        <v>1.9137273175704901</v>
      </c>
    </row>
    <row r="45" spans="1:37" x14ac:dyDescent="0.25">
      <c r="A45" t="s">
        <v>943</v>
      </c>
      <c r="B45" s="103">
        <f>SUM(B40:B43)</f>
        <v>4.7</v>
      </c>
      <c r="C45" s="103">
        <f t="shared" ref="C45:AK45" si="10">SUM(C40:C43)</f>
        <v>4.6199955915155417</v>
      </c>
      <c r="D45" s="103">
        <f t="shared" si="10"/>
        <v>4.5462788955050009</v>
      </c>
      <c r="E45" s="103">
        <f t="shared" si="10"/>
        <v>4.478678628327617</v>
      </c>
      <c r="F45" s="103">
        <f t="shared" si="10"/>
        <v>4.4170450248469644</v>
      </c>
      <c r="G45" s="103">
        <f t="shared" si="10"/>
        <v>4.3612490639090442</v>
      </c>
      <c r="H45" s="103">
        <f t="shared" si="10"/>
        <v>4.3111818010176854</v>
      </c>
      <c r="I45" s="103">
        <f t="shared" si="10"/>
        <v>4.2667538030568384</v>
      </c>
      <c r="J45" s="103">
        <f t="shared" si="10"/>
        <v>4.2278946805219118</v>
      </c>
      <c r="K45" s="103">
        <f t="shared" si="10"/>
        <v>4.19455271329943</v>
      </c>
      <c r="L45" s="103">
        <f t="shared" si="10"/>
        <v>4.166694566579622</v>
      </c>
      <c r="M45" s="103">
        <f t="shared" si="10"/>
        <v>4.1443050940034469</v>
      </c>
      <c r="N45" s="103">
        <f t="shared" si="10"/>
        <v>4.1273872256373938</v>
      </c>
      <c r="O45" s="103">
        <f t="shared" si="10"/>
        <v>4.1159619388390078</v>
      </c>
      <c r="P45" s="103">
        <f t="shared" si="10"/>
        <v>4.1100683105264846</v>
      </c>
      <c r="Q45" s="103">
        <f t="shared" si="10"/>
        <v>4.1097636497994703</v>
      </c>
      <c r="R45" s="103">
        <f t="shared" si="10"/>
        <v>4.1151237102779454</v>
      </c>
      <c r="S45" s="103">
        <f t="shared" si="10"/>
        <v>4.1262429819342374</v>
      </c>
      <c r="T45" s="103">
        <f t="shared" si="10"/>
        <v>4.143235062592006</v>
      </c>
      <c r="U45" s="103">
        <f t="shared" si="10"/>
        <v>4.1662331096578997</v>
      </c>
      <c r="V45" s="103">
        <f t="shared" si="10"/>
        <v>4.1953903730383377</v>
      </c>
      <c r="W45" s="103">
        <f t="shared" si="10"/>
        <v>4.2308808105779061</v>
      </c>
      <c r="X45" s="103">
        <f t="shared" si="10"/>
        <v>4.2728997877389503</v>
      </c>
      <c r="Y45" s="103">
        <f t="shared" si="10"/>
        <v>4.3216648636261557</v>
      </c>
      <c r="Z45" s="103">
        <f t="shared" si="10"/>
        <v>4.377416665847206</v>
      </c>
      <c r="AA45" s="103">
        <f t="shared" si="10"/>
        <v>4.4404198570927722</v>
      </c>
      <c r="AB45" s="103">
        <f t="shared" si="10"/>
        <v>4.5109641967181417</v>
      </c>
      <c r="AC45" s="103">
        <f t="shared" si="10"/>
        <v>4.5893657010165523</v>
      </c>
      <c r="AD45" s="103">
        <f t="shared" si="10"/>
        <v>4.6759679062926276</v>
      </c>
      <c r="AE45" s="103">
        <f t="shared" si="10"/>
        <v>4.7711432392752382</v>
      </c>
      <c r="AF45" s="103">
        <f t="shared" si="10"/>
        <v>4.8752944998543626</v>
      </c>
      <c r="AG45" s="103">
        <f t="shared" si="10"/>
        <v>4.9888564615883251</v>
      </c>
      <c r="AH45" s="103">
        <f t="shared" si="10"/>
        <v>5.1122975959078847</v>
      </c>
      <c r="AI45" s="103">
        <f t="shared" si="10"/>
        <v>5.2461219264442711</v>
      </c>
      <c r="AJ45" s="103">
        <f t="shared" si="10"/>
        <v>5.3908710204315327</v>
      </c>
      <c r="AK45" s="103">
        <f t="shared" si="10"/>
        <v>5.5471261246814816</v>
      </c>
    </row>
  </sheetData>
  <hyperlinks>
    <hyperlink ref="D6"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V129"/>
  <sheetViews>
    <sheetView topLeftCell="A76" zoomScaleNormal="100" workbookViewId="0">
      <selection activeCell="B31" sqref="B31"/>
    </sheetView>
  </sheetViews>
  <sheetFormatPr defaultRowHeight="15" x14ac:dyDescent="0.25"/>
  <cols>
    <col min="1" max="1" width="32.7109375" customWidth="1"/>
    <col min="2" max="2" width="13.7109375" bestFit="1" customWidth="1"/>
    <col min="3" max="3" width="10.5703125" bestFit="1" customWidth="1"/>
    <col min="9" max="10" width="10.140625" bestFit="1" customWidth="1"/>
  </cols>
  <sheetData>
    <row r="1" spans="1:48" x14ac:dyDescent="0.25">
      <c r="A1" s="74" t="s">
        <v>760</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row>
    <row r="2" spans="1:48" x14ac:dyDescent="0.25">
      <c r="A2" s="69" t="s">
        <v>760</v>
      </c>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row>
    <row r="3" spans="1:48" x14ac:dyDescent="0.25">
      <c r="A3" s="63" t="s">
        <v>756</v>
      </c>
      <c r="B3" s="72">
        <v>2006</v>
      </c>
      <c r="C3" s="72">
        <v>2007</v>
      </c>
      <c r="D3" s="72">
        <v>2008</v>
      </c>
      <c r="E3" s="72">
        <v>2009</v>
      </c>
      <c r="F3" s="72">
        <v>2010</v>
      </c>
      <c r="G3" s="72">
        <v>2011</v>
      </c>
      <c r="H3" s="72">
        <v>2012</v>
      </c>
      <c r="I3" s="72">
        <v>2013</v>
      </c>
      <c r="J3" s="72">
        <v>2014</v>
      </c>
      <c r="K3" s="72">
        <v>2015</v>
      </c>
      <c r="L3" s="72">
        <v>2016</v>
      </c>
      <c r="M3" s="72">
        <v>2017</v>
      </c>
      <c r="N3" s="72">
        <v>2018</v>
      </c>
      <c r="O3" s="72">
        <v>2019</v>
      </c>
      <c r="P3" s="72">
        <v>2020</v>
      </c>
      <c r="Q3" s="72">
        <v>2021</v>
      </c>
      <c r="R3" s="72">
        <v>2022</v>
      </c>
      <c r="S3" s="72">
        <v>2023</v>
      </c>
      <c r="T3" s="72">
        <v>2024</v>
      </c>
      <c r="U3" s="72">
        <v>2025</v>
      </c>
      <c r="V3" s="72">
        <v>2026</v>
      </c>
      <c r="W3" s="73">
        <v>2027</v>
      </c>
      <c r="X3" s="73">
        <v>2028</v>
      </c>
      <c r="Y3" s="73">
        <v>2029</v>
      </c>
      <c r="Z3" s="73">
        <v>2030</v>
      </c>
      <c r="AA3" s="73">
        <v>2031</v>
      </c>
      <c r="AB3" s="73">
        <v>2032</v>
      </c>
      <c r="AC3" s="73">
        <v>2033</v>
      </c>
      <c r="AD3" s="73">
        <v>2034</v>
      </c>
      <c r="AE3" s="73">
        <v>2035</v>
      </c>
      <c r="AF3" s="73">
        <v>2036</v>
      </c>
      <c r="AG3" s="73">
        <v>2037</v>
      </c>
      <c r="AH3" s="73">
        <v>2038</v>
      </c>
      <c r="AI3" s="73">
        <v>2039</v>
      </c>
      <c r="AJ3" s="73">
        <v>2040</v>
      </c>
      <c r="AK3" s="73">
        <v>2041</v>
      </c>
      <c r="AL3" s="73">
        <v>2042</v>
      </c>
      <c r="AM3" s="73">
        <v>2043</v>
      </c>
      <c r="AN3" s="73">
        <v>2044</v>
      </c>
      <c r="AO3" s="73">
        <v>2045</v>
      </c>
      <c r="AP3" s="73">
        <v>2046</v>
      </c>
      <c r="AQ3" s="73">
        <v>2047</v>
      </c>
      <c r="AR3" s="73">
        <v>2048</v>
      </c>
      <c r="AS3" s="73">
        <v>2049</v>
      </c>
      <c r="AT3" s="73">
        <v>2050</v>
      </c>
    </row>
    <row r="4" spans="1:48" x14ac:dyDescent="0.25">
      <c r="A4" s="63" t="s">
        <v>761</v>
      </c>
      <c r="B4" s="63">
        <v>9063</v>
      </c>
      <c r="C4" s="63">
        <v>9132</v>
      </c>
      <c r="D4" s="63">
        <v>9257</v>
      </c>
      <c r="E4" s="63">
        <v>9333</v>
      </c>
      <c r="F4" s="63">
        <v>9085.5</v>
      </c>
      <c r="G4" s="63">
        <v>9149.6</v>
      </c>
      <c r="H4" s="63">
        <v>9229.5</v>
      </c>
      <c r="I4" s="63">
        <v>9217.9</v>
      </c>
      <c r="J4" s="63">
        <v>9306.9</v>
      </c>
      <c r="K4" s="63">
        <v>9317</v>
      </c>
      <c r="L4" s="63">
        <v>9330</v>
      </c>
      <c r="M4" s="63">
        <v>9370</v>
      </c>
      <c r="N4" s="63">
        <v>9400</v>
      </c>
      <c r="O4" s="63">
        <v>9425</v>
      </c>
      <c r="P4" s="63">
        <v>9440</v>
      </c>
      <c r="Q4" s="63">
        <v>9450</v>
      </c>
      <c r="R4" s="63">
        <v>9455</v>
      </c>
      <c r="S4" s="63">
        <v>9450</v>
      </c>
      <c r="T4" s="63">
        <v>9445</v>
      </c>
      <c r="U4" s="63">
        <v>9430</v>
      </c>
      <c r="V4" s="63">
        <v>9415</v>
      </c>
      <c r="W4" s="71">
        <f t="shared" ref="W4:AT4" si="0">V4*(1+($V4-$K4)/$K4/COUNT($L$3:$V$3))</f>
        <v>9424.002800355167</v>
      </c>
      <c r="X4" s="71">
        <f t="shared" si="0"/>
        <v>9433.0142093576251</v>
      </c>
      <c r="Y4" s="71">
        <f t="shared" si="0"/>
        <v>9442.0342352391235</v>
      </c>
      <c r="Z4" s="71">
        <f t="shared" si="0"/>
        <v>9451.0628862392841</v>
      </c>
      <c r="AA4" s="71">
        <f t="shared" si="0"/>
        <v>9460.1001706056086</v>
      </c>
      <c r="AB4" s="71">
        <f t="shared" si="0"/>
        <v>9469.1460965934839</v>
      </c>
      <c r="AC4" s="71">
        <f t="shared" si="0"/>
        <v>9478.2006724661915</v>
      </c>
      <c r="AD4" s="71">
        <f t="shared" si="0"/>
        <v>9487.2639064949144</v>
      </c>
      <c r="AE4" s="71">
        <f t="shared" si="0"/>
        <v>9496.3358069587448</v>
      </c>
      <c r="AF4" s="71">
        <f t="shared" si="0"/>
        <v>9505.4163821446909</v>
      </c>
      <c r="AG4" s="71">
        <f t="shared" si="0"/>
        <v>9514.5056403476847</v>
      </c>
      <c r="AH4" s="71">
        <f t="shared" si="0"/>
        <v>9523.6035898705923</v>
      </c>
      <c r="AI4" s="71">
        <f t="shared" si="0"/>
        <v>9532.7102390242162</v>
      </c>
      <c r="AJ4" s="71">
        <f t="shared" si="0"/>
        <v>9541.8255961273062</v>
      </c>
      <c r="AK4" s="71">
        <f t="shared" si="0"/>
        <v>9550.94966950657</v>
      </c>
      <c r="AL4" s="71">
        <f t="shared" si="0"/>
        <v>9560.0824674966734</v>
      </c>
      <c r="AM4" s="71">
        <f t="shared" si="0"/>
        <v>9569.2239984402549</v>
      </c>
      <c r="AN4" s="71">
        <f t="shared" si="0"/>
        <v>9578.3742706879275</v>
      </c>
      <c r="AO4" s="71">
        <f t="shared" si="0"/>
        <v>9587.5332925982912</v>
      </c>
      <c r="AP4" s="71">
        <f t="shared" si="0"/>
        <v>9596.7010725379387</v>
      </c>
      <c r="AQ4" s="71">
        <f t="shared" si="0"/>
        <v>9605.8776188814627</v>
      </c>
      <c r="AR4" s="71">
        <f t="shared" si="0"/>
        <v>9615.0629400114649</v>
      </c>
      <c r="AS4" s="71">
        <f t="shared" si="0"/>
        <v>9624.2570443185596</v>
      </c>
      <c r="AT4" s="71">
        <f t="shared" si="0"/>
        <v>9633.4599402013864</v>
      </c>
    </row>
    <row r="5" spans="1:48" x14ac:dyDescent="0.25">
      <c r="A5" s="63" t="s">
        <v>762</v>
      </c>
      <c r="B5" s="63">
        <v>32994</v>
      </c>
      <c r="C5" s="63">
        <v>32891</v>
      </c>
      <c r="D5" s="63">
        <v>32435</v>
      </c>
      <c r="E5" s="63">
        <v>31712</v>
      </c>
      <c r="F5" s="63">
        <v>31370.9</v>
      </c>
      <c r="G5" s="63">
        <v>30849.599999999999</v>
      </c>
      <c r="H5" s="63">
        <v>30157.9</v>
      </c>
      <c r="I5" s="63">
        <v>29297.3</v>
      </c>
      <c r="J5" s="63">
        <v>29085.4</v>
      </c>
      <c r="K5" s="63">
        <v>29302</v>
      </c>
      <c r="L5" s="63">
        <v>30331</v>
      </c>
      <c r="M5" s="63">
        <v>30944</v>
      </c>
      <c r="N5" s="63">
        <v>30616</v>
      </c>
      <c r="O5" s="63">
        <v>31121</v>
      </c>
      <c r="P5" s="63">
        <v>31328</v>
      </c>
      <c r="Q5" s="63">
        <v>31785</v>
      </c>
      <c r="R5" s="63">
        <v>31668</v>
      </c>
      <c r="S5" s="63">
        <v>31650</v>
      </c>
      <c r="T5" s="63">
        <v>31428</v>
      </c>
      <c r="U5" s="63">
        <v>31364</v>
      </c>
      <c r="V5" s="63">
        <v>31246</v>
      </c>
      <c r="W5" s="71">
        <f t="shared" ref="W5:AT5" si="1">V5*(1+($V5-$K5)/$K5/COUNT($L$3:$V$3))</f>
        <v>31434.451995209758</v>
      </c>
      <c r="X5" s="71">
        <f t="shared" si="1"/>
        <v>31624.040588848067</v>
      </c>
      <c r="Y5" s="71">
        <f t="shared" si="1"/>
        <v>31814.772636008114</v>
      </c>
      <c r="Z5" s="71">
        <f t="shared" si="1"/>
        <v>32006.655033127761</v>
      </c>
      <c r="AA5" s="71">
        <f t="shared" si="1"/>
        <v>32199.694718238923</v>
      </c>
      <c r="AB5" s="71">
        <f t="shared" si="1"/>
        <v>32393.898671218416</v>
      </c>
      <c r="AC5" s="71">
        <f t="shared" si="1"/>
        <v>32589.273914040339</v>
      </c>
      <c r="AD5" s="71">
        <f t="shared" si="1"/>
        <v>32785.82751102998</v>
      </c>
      <c r="AE5" s="71">
        <f t="shared" si="1"/>
        <v>32983.566569119226</v>
      </c>
      <c r="AF5" s="71">
        <f t="shared" si="1"/>
        <v>33182.498238103559</v>
      </c>
      <c r="AG5" s="71">
        <f t="shared" si="1"/>
        <v>33382.629710900554</v>
      </c>
      <c r="AH5" s="71">
        <f t="shared" si="1"/>
        <v>33583.96822380997</v>
      </c>
      <c r="AI5" s="71">
        <f t="shared" si="1"/>
        <v>33786.521056775411</v>
      </c>
      <c r="AJ5" s="71">
        <f t="shared" si="1"/>
        <v>33990.295533647513</v>
      </c>
      <c r="AK5" s="71">
        <f t="shared" si="1"/>
        <v>34195.299022448809</v>
      </c>
      <c r="AL5" s="71">
        <f t="shared" si="1"/>
        <v>34401.538935640092</v>
      </c>
      <c r="AM5" s="71">
        <f t="shared" si="1"/>
        <v>34609.02273038846</v>
      </c>
      <c r="AN5" s="71">
        <f t="shared" si="1"/>
        <v>34817.757908836953</v>
      </c>
      <c r="AO5" s="71">
        <f t="shared" si="1"/>
        <v>35027.752018375795</v>
      </c>
      <c r="AP5" s="71">
        <f t="shared" si="1"/>
        <v>35239.012651915305</v>
      </c>
      <c r="AQ5" s="71">
        <f t="shared" si="1"/>
        <v>35451.547448160432</v>
      </c>
      <c r="AR5" s="71">
        <f t="shared" si="1"/>
        <v>35665.364091886964</v>
      </c>
      <c r="AS5" s="71">
        <f t="shared" si="1"/>
        <v>35880.470314219376</v>
      </c>
      <c r="AT5" s="71">
        <f t="shared" si="1"/>
        <v>36096.873892910378</v>
      </c>
    </row>
    <row r="6" spans="1:48" x14ac:dyDescent="0.25">
      <c r="A6" s="63" t="s">
        <v>749</v>
      </c>
      <c r="B6" s="63">
        <v>60326</v>
      </c>
      <c r="C6" s="63">
        <v>61860</v>
      </c>
      <c r="D6" s="63">
        <v>67218</v>
      </c>
      <c r="E6" s="63">
        <v>65819</v>
      </c>
      <c r="F6" s="63">
        <v>63568</v>
      </c>
      <c r="G6" s="63">
        <v>63684</v>
      </c>
      <c r="H6" s="63">
        <v>64937</v>
      </c>
      <c r="I6" s="63">
        <v>65072</v>
      </c>
      <c r="J6" s="63">
        <v>61494</v>
      </c>
      <c r="K6" s="63">
        <v>67776</v>
      </c>
      <c r="L6" s="63">
        <v>68919</v>
      </c>
      <c r="M6" s="63">
        <v>69925</v>
      </c>
      <c r="N6" s="63">
        <v>69900</v>
      </c>
      <c r="O6" s="63">
        <v>70429</v>
      </c>
      <c r="P6" s="63">
        <v>71080</v>
      </c>
      <c r="Q6" s="63">
        <v>71586</v>
      </c>
      <c r="R6" s="63">
        <v>72132</v>
      </c>
      <c r="S6" s="63">
        <v>72390</v>
      </c>
      <c r="T6" s="63">
        <v>72918</v>
      </c>
      <c r="U6" s="63">
        <v>73467</v>
      </c>
      <c r="V6" s="63">
        <v>74043</v>
      </c>
      <c r="W6" s="71">
        <f t="shared" ref="W6:AT6" si="2">V6*(1+($V6-$K6)/$K6/COUNT($L$3:$V$3))</f>
        <v>74665.407879699982</v>
      </c>
      <c r="X6" s="71">
        <f t="shared" si="2"/>
        <v>75293.047740393609</v>
      </c>
      <c r="Y6" s="71">
        <f t="shared" si="2"/>
        <v>75925.963562284232</v>
      </c>
      <c r="Z6" s="71">
        <f t="shared" si="2"/>
        <v>76564.199695274248</v>
      </c>
      <c r="AA6" s="71">
        <f t="shared" si="2"/>
        <v>77207.800862072749</v>
      </c>
      <c r="AB6" s="71">
        <f t="shared" si="2"/>
        <v>77856.812161329406</v>
      </c>
      <c r="AC6" s="71">
        <f t="shared" si="2"/>
        <v>78511.279070794611</v>
      </c>
      <c r="AD6" s="71">
        <f t="shared" si="2"/>
        <v>79171.247450506227</v>
      </c>
      <c r="AE6" s="71">
        <f t="shared" si="2"/>
        <v>79836.763546003058</v>
      </c>
      <c r="AF6" s="71">
        <f t="shared" si="2"/>
        <v>80507.873991565459</v>
      </c>
      <c r="AG6" s="71">
        <f t="shared" si="2"/>
        <v>81184.625813483042</v>
      </c>
      <c r="AH6" s="71">
        <f t="shared" si="2"/>
        <v>81867.066433349959</v>
      </c>
      <c r="AI6" s="71">
        <f t="shared" si="2"/>
        <v>82555.243671387841</v>
      </c>
      <c r="AJ6" s="71">
        <f t="shared" si="2"/>
        <v>83249.20574979666</v>
      </c>
      <c r="AK6" s="71">
        <f t="shared" si="2"/>
        <v>83949.001296133763</v>
      </c>
      <c r="AL6" s="71">
        <f t="shared" si="2"/>
        <v>84654.679346721357</v>
      </c>
      <c r="AM6" s="71">
        <f t="shared" si="2"/>
        <v>85366.289350082574</v>
      </c>
      <c r="AN6" s="71">
        <f t="shared" si="2"/>
        <v>86083.881170406443</v>
      </c>
      <c r="AO6" s="71">
        <f t="shared" si="2"/>
        <v>86807.505091041981</v>
      </c>
      <c r="AP6" s="71">
        <f t="shared" si="2"/>
        <v>87537.211818021722</v>
      </c>
      <c r="AQ6" s="71">
        <f t="shared" si="2"/>
        <v>88273.052483614723</v>
      </c>
      <c r="AR6" s="71">
        <f t="shared" si="2"/>
        <v>89015.078649909599</v>
      </c>
      <c r="AS6" s="71">
        <f t="shared" si="2"/>
        <v>89763.342312427558</v>
      </c>
      <c r="AT6" s="71">
        <f t="shared" si="2"/>
        <v>90517.89590376585</v>
      </c>
    </row>
    <row r="7" spans="1:48" x14ac:dyDescent="0.25">
      <c r="A7" s="63" t="s">
        <v>750</v>
      </c>
      <c r="B7" s="63">
        <v>6230</v>
      </c>
      <c r="C7" s="63">
        <v>6165</v>
      </c>
      <c r="D7" s="63">
        <v>5950</v>
      </c>
      <c r="E7" s="63">
        <v>5747</v>
      </c>
      <c r="F7" s="63">
        <v>5620</v>
      </c>
      <c r="G7" s="63">
        <v>5480</v>
      </c>
      <c r="H7" s="63">
        <v>5365</v>
      </c>
      <c r="I7" s="63">
        <v>5335</v>
      </c>
      <c r="J7" s="63">
        <v>5245</v>
      </c>
      <c r="K7" s="63">
        <v>5280</v>
      </c>
      <c r="L7" s="63">
        <v>5300</v>
      </c>
      <c r="M7" s="63">
        <v>5200</v>
      </c>
      <c r="N7" s="71">
        <f t="shared" ref="N7:AT7" si="3">M7*(1+($M7-$D7)/$D7/COUNT($D$3:$M$3))</f>
        <v>5134.453781512605</v>
      </c>
      <c r="O7" s="71">
        <f t="shared" si="3"/>
        <v>5069.7337758632866</v>
      </c>
      <c r="P7" s="71">
        <f t="shared" si="3"/>
        <v>5005.8295686045058</v>
      </c>
      <c r="Q7" s="71">
        <f t="shared" si="3"/>
        <v>4942.7308765632724</v>
      </c>
      <c r="R7" s="71">
        <f t="shared" si="3"/>
        <v>4880.4275461864245</v>
      </c>
      <c r="S7" s="71">
        <f t="shared" si="3"/>
        <v>4818.9095519067641</v>
      </c>
      <c r="T7" s="71">
        <f t="shared" si="3"/>
        <v>4758.1669945297881</v>
      </c>
      <c r="U7" s="71">
        <f t="shared" si="3"/>
        <v>4698.1900996407576</v>
      </c>
      <c r="V7" s="71">
        <f t="shared" si="3"/>
        <v>4638.9692160318409</v>
      </c>
      <c r="W7" s="71">
        <f t="shared" si="3"/>
        <v>4580.4948141490868</v>
      </c>
      <c r="X7" s="71">
        <f t="shared" si="3"/>
        <v>4522.7574845589725</v>
      </c>
      <c r="Y7" s="71">
        <f t="shared" si="3"/>
        <v>4465.7479364342798</v>
      </c>
      <c r="Z7" s="71">
        <f t="shared" si="3"/>
        <v>4409.4569960590579</v>
      </c>
      <c r="AA7" s="71">
        <f t="shared" si="3"/>
        <v>4353.8756053524312</v>
      </c>
      <c r="AB7" s="71">
        <f t="shared" si="3"/>
        <v>4298.9948204110142</v>
      </c>
      <c r="AC7" s="71">
        <f t="shared" si="3"/>
        <v>4244.805810069699</v>
      </c>
      <c r="AD7" s="71">
        <f t="shared" si="3"/>
        <v>4191.2998544805851</v>
      </c>
      <c r="AE7" s="71">
        <f t="shared" si="3"/>
        <v>4138.468343709822</v>
      </c>
      <c r="AF7" s="71">
        <f t="shared" si="3"/>
        <v>4086.3027763521354</v>
      </c>
      <c r="AG7" s="71">
        <f t="shared" si="3"/>
        <v>4034.7947581628232</v>
      </c>
      <c r="AH7" s="71">
        <f t="shared" si="3"/>
        <v>3983.9360007069895</v>
      </c>
      <c r="AI7" s="71">
        <f t="shared" si="3"/>
        <v>3933.7183200258091</v>
      </c>
      <c r="AJ7" s="71">
        <f t="shared" si="3"/>
        <v>3884.1336353196016</v>
      </c>
      <c r="AK7" s="71">
        <f t="shared" si="3"/>
        <v>3835.1739676475058</v>
      </c>
      <c r="AL7" s="71">
        <f t="shared" si="3"/>
        <v>3786.8314386435459</v>
      </c>
      <c r="AM7" s="71">
        <f t="shared" si="3"/>
        <v>3739.0982692488797</v>
      </c>
      <c r="AN7" s="71">
        <f t="shared" si="3"/>
        <v>3691.9667784600283</v>
      </c>
      <c r="AO7" s="71">
        <f t="shared" si="3"/>
        <v>3645.4293820928851</v>
      </c>
      <c r="AP7" s="71">
        <f t="shared" si="3"/>
        <v>3599.4785915623029</v>
      </c>
      <c r="AQ7" s="71">
        <f t="shared" si="3"/>
        <v>3554.1070126770637</v>
      </c>
      <c r="AR7" s="71">
        <f t="shared" si="3"/>
        <v>3509.3073444500419</v>
      </c>
      <c r="AS7" s="71">
        <f t="shared" si="3"/>
        <v>3465.0723779233608</v>
      </c>
      <c r="AT7" s="71">
        <f t="shared" si="3"/>
        <v>3421.3949950083606</v>
      </c>
    </row>
    <row r="8" spans="1:48" x14ac:dyDescent="0.25">
      <c r="A8" s="63" t="s">
        <v>751</v>
      </c>
      <c r="B8" s="63">
        <v>2837</v>
      </c>
      <c r="C8" s="63">
        <v>2934</v>
      </c>
      <c r="D8" s="63">
        <v>3118</v>
      </c>
      <c r="E8" s="63">
        <v>3069</v>
      </c>
      <c r="F8" s="63">
        <v>3038</v>
      </c>
      <c r="G8" s="63">
        <v>2996</v>
      </c>
      <c r="H8" s="63">
        <v>2862</v>
      </c>
      <c r="I8" s="63">
        <v>2811</v>
      </c>
      <c r="J8" s="63">
        <v>2611</v>
      </c>
      <c r="K8" s="63">
        <v>2650</v>
      </c>
      <c r="L8" s="63">
        <v>2620</v>
      </c>
      <c r="M8" s="63">
        <v>2640</v>
      </c>
      <c r="N8" s="71">
        <f t="shared" ref="N8:AT8" si="4">M8*(1+($M8-$D8)/$D8/COUNT($D$3:$M$3))</f>
        <v>2599.5279025016034</v>
      </c>
      <c r="O8" s="71">
        <f t="shared" si="4"/>
        <v>2559.6762560168131</v>
      </c>
      <c r="P8" s="71">
        <f t="shared" si="4"/>
        <v>2520.4355488206606</v>
      </c>
      <c r="Q8" s="71">
        <f t="shared" si="4"/>
        <v>2481.7964150061553</v>
      </c>
      <c r="R8" s="71">
        <f t="shared" si="4"/>
        <v>2443.7496322488446</v>
      </c>
      <c r="S8" s="71">
        <f t="shared" si="4"/>
        <v>2406.2861196056456</v>
      </c>
      <c r="T8" s="71">
        <f t="shared" si="4"/>
        <v>2369.396935347419</v>
      </c>
      <c r="U8" s="71">
        <f t="shared" si="4"/>
        <v>2333.0732748247742</v>
      </c>
      <c r="V8" s="71">
        <f t="shared" si="4"/>
        <v>2297.306468366588</v>
      </c>
      <c r="W8" s="71">
        <f t="shared" si="4"/>
        <v>2262.0879792107435</v>
      </c>
      <c r="X8" s="71">
        <f t="shared" si="4"/>
        <v>2227.4094014665889</v>
      </c>
      <c r="Y8" s="71">
        <f t="shared" si="4"/>
        <v>2193.2624581086343</v>
      </c>
      <c r="Z8" s="71">
        <f t="shared" si="4"/>
        <v>2159.6389990010034</v>
      </c>
      <c r="AA8" s="71">
        <f t="shared" si="4"/>
        <v>2126.5309989521747</v>
      </c>
      <c r="AB8" s="71">
        <f t="shared" si="4"/>
        <v>2093.9305557995403</v>
      </c>
      <c r="AC8" s="71">
        <f t="shared" si="4"/>
        <v>2061.8298885233321</v>
      </c>
      <c r="AD8" s="71">
        <f t="shared" si="4"/>
        <v>2030.2213353894595</v>
      </c>
      <c r="AE8" s="71">
        <f t="shared" si="4"/>
        <v>1999.0973521208205</v>
      </c>
      <c r="AF8" s="71">
        <f t="shared" si="4"/>
        <v>1968.4505100966462</v>
      </c>
      <c r="AG8" s="71">
        <f t="shared" si="4"/>
        <v>1938.2734945794493</v>
      </c>
      <c r="AH8" s="71">
        <f t="shared" si="4"/>
        <v>1908.559102969155</v>
      </c>
      <c r="AI8" s="71">
        <f t="shared" si="4"/>
        <v>1879.3002430839961</v>
      </c>
      <c r="AJ8" s="71">
        <f t="shared" si="4"/>
        <v>1850.489931467763</v>
      </c>
      <c r="AK8" s="71">
        <f t="shared" si="4"/>
        <v>1822.1212917230039</v>
      </c>
      <c r="AL8" s="71">
        <f t="shared" si="4"/>
        <v>1794.1875528697776</v>
      </c>
      <c r="AM8" s="71">
        <f t="shared" si="4"/>
        <v>1766.6820477295673</v>
      </c>
      <c r="AN8" s="71">
        <f t="shared" si="4"/>
        <v>1739.5982113339696</v>
      </c>
      <c r="AO8" s="71">
        <f t="shared" si="4"/>
        <v>1712.9295793577785</v>
      </c>
      <c r="AP8" s="71">
        <f t="shared" si="4"/>
        <v>1686.6697865760909</v>
      </c>
      <c r="AQ8" s="71">
        <f t="shared" si="4"/>
        <v>1660.8125653450657</v>
      </c>
      <c r="AR8" s="71">
        <f t="shared" si="4"/>
        <v>1635.3517441059719</v>
      </c>
      <c r="AS8" s="71">
        <f t="shared" si="4"/>
        <v>1610.2812459121728</v>
      </c>
      <c r="AT8" s="71">
        <f t="shared" si="4"/>
        <v>1585.5950869786893</v>
      </c>
    </row>
    <row r="9" spans="1:48" ht="15.75" customHeight="1" x14ac:dyDescent="0.25">
      <c r="A9" s="63" t="s">
        <v>771</v>
      </c>
      <c r="C9" s="63">
        <v>49043.355000000003</v>
      </c>
      <c r="D9" s="63">
        <v>49780.917000000001</v>
      </c>
      <c r="E9" s="63">
        <v>47613.116000000002</v>
      </c>
      <c r="F9" s="63">
        <v>49315.928</v>
      </c>
      <c r="G9" s="63">
        <v>49552.67</v>
      </c>
      <c r="H9" s="63">
        <v>49349.563999999998</v>
      </c>
      <c r="I9" s="63">
        <v>50357.756999999998</v>
      </c>
      <c r="J9" s="63">
        <v>51204.574999999997</v>
      </c>
      <c r="K9" s="63">
        <v>39620</v>
      </c>
      <c r="L9" s="63">
        <v>40289</v>
      </c>
      <c r="M9" s="63">
        <v>41105</v>
      </c>
      <c r="N9" s="63">
        <v>41123</v>
      </c>
      <c r="O9" s="63">
        <v>41603</v>
      </c>
      <c r="P9" s="63">
        <v>42187</v>
      </c>
      <c r="Q9" s="63">
        <v>42718</v>
      </c>
      <c r="R9" s="63">
        <v>43178</v>
      </c>
      <c r="S9" s="63">
        <v>43560</v>
      </c>
      <c r="T9" s="63">
        <v>43899</v>
      </c>
      <c r="U9" s="63">
        <v>44185</v>
      </c>
      <c r="V9" s="63">
        <v>44317</v>
      </c>
      <c r="W9" s="71">
        <f>V9*(1+($V9-$K9)/$K9/COUNT($L$3:$V$3))</f>
        <v>44794.62137809187</v>
      </c>
      <c r="X9" s="71">
        <f t="shared" ref="X9:AT9" si="5">W9*(1+($V9-$K9)/$K9/COUNT($L$3:$V$3))</f>
        <v>45277.390265735608</v>
      </c>
      <c r="Y9" s="71">
        <f t="shared" si="5"/>
        <v>45765.362139624274</v>
      </c>
      <c r="Z9" s="71">
        <f t="shared" si="5"/>
        <v>46258.593074344601</v>
      </c>
      <c r="AA9" s="71">
        <f t="shared" si="5"/>
        <v>46757.139748820751</v>
      </c>
      <c r="AB9" s="71">
        <f t="shared" si="5"/>
        <v>47261.059452827474</v>
      </c>
      <c r="AC9" s="71">
        <f t="shared" si="5"/>
        <v>47770.41009357349</v>
      </c>
      <c r="AD9" s="71">
        <f t="shared" si="5"/>
        <v>48285.250202355812</v>
      </c>
      <c r="AE9" s="71">
        <f t="shared" si="5"/>
        <v>48805.63894128579</v>
      </c>
      <c r="AF9" s="71">
        <f t="shared" si="5"/>
        <v>49331.636110087631</v>
      </c>
      <c r="AG9" s="71">
        <f t="shared" si="5"/>
        <v>49863.302152970195</v>
      </c>
      <c r="AH9" s="71">
        <f t="shared" si="5"/>
        <v>50400.698165572874</v>
      </c>
      <c r="AI9" s="71">
        <f t="shared" si="5"/>
        <v>50943.885901986287</v>
      </c>
      <c r="AJ9" s="71">
        <f t="shared" si="5"/>
        <v>51492.927781848681</v>
      </c>
      <c r="AK9" s="71">
        <f t="shared" si="5"/>
        <v>52047.88689751878</v>
      </c>
      <c r="AL9" s="71">
        <f t="shared" si="5"/>
        <v>52608.827021325953</v>
      </c>
      <c r="AM9" s="71">
        <f t="shared" si="5"/>
        <v>53175.812612898539</v>
      </c>
      <c r="AN9" s="71">
        <f t="shared" si="5"/>
        <v>53748.908826571118</v>
      </c>
      <c r="AO9" s="71">
        <f t="shared" si="5"/>
        <v>54328.181518871614</v>
      </c>
      <c r="AP9" s="71">
        <f t="shared" si="5"/>
        <v>54913.69725608913</v>
      </c>
      <c r="AQ9" s="71">
        <f t="shared" si="5"/>
        <v>55505.523321923298</v>
      </c>
      <c r="AR9" s="71">
        <f t="shared" si="5"/>
        <v>56103.727725216108</v>
      </c>
      <c r="AS9" s="71">
        <f t="shared" si="5"/>
        <v>56708.379207767015</v>
      </c>
      <c r="AT9" s="71">
        <f t="shared" si="5"/>
        <v>57319.54725223234</v>
      </c>
    </row>
    <row r="10" spans="1:48" ht="15.75" customHeight="1" x14ac:dyDescent="0.25">
      <c r="G10" s="63"/>
    </row>
    <row r="11" spans="1:48" x14ac:dyDescent="0.25">
      <c r="A11" s="74" t="s">
        <v>460</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row>
    <row r="12" spans="1:48" x14ac:dyDescent="0.25">
      <c r="A12" s="69" t="s">
        <v>768</v>
      </c>
      <c r="B12" s="56"/>
      <c r="C12" s="56"/>
      <c r="D12" s="56"/>
      <c r="E12" s="56"/>
      <c r="F12" s="56"/>
    </row>
    <row r="13" spans="1:48" x14ac:dyDescent="0.25">
      <c r="B13" s="72">
        <v>2011</v>
      </c>
      <c r="C13" s="72">
        <v>2012</v>
      </c>
      <c r="D13" s="72">
        <v>2013</v>
      </c>
      <c r="E13" s="72">
        <v>2014</v>
      </c>
      <c r="F13" s="72">
        <v>2015</v>
      </c>
    </row>
    <row r="14" spans="1:48" x14ac:dyDescent="0.25">
      <c r="A14" s="63" t="s">
        <v>748</v>
      </c>
      <c r="B14">
        <v>4873</v>
      </c>
      <c r="C14">
        <v>4763</v>
      </c>
      <c r="D14" s="72">
        <v>4722</v>
      </c>
      <c r="E14" s="72">
        <v>4660</v>
      </c>
      <c r="F14" s="72">
        <v>4724</v>
      </c>
    </row>
    <row r="15" spans="1:48" x14ac:dyDescent="0.25">
      <c r="A15" t="s">
        <v>747</v>
      </c>
      <c r="B15">
        <v>1645</v>
      </c>
      <c r="C15">
        <v>1670</v>
      </c>
      <c r="D15" s="72">
        <v>1664</v>
      </c>
      <c r="E15" s="72">
        <v>1679</v>
      </c>
      <c r="F15" s="72">
        <v>1706</v>
      </c>
    </row>
    <row r="17" spans="1:41" x14ac:dyDescent="0.25">
      <c r="A17" s="69" t="s">
        <v>769</v>
      </c>
      <c r="B17" s="56"/>
      <c r="C17" s="56"/>
      <c r="D17" s="56"/>
      <c r="E17" s="56"/>
      <c r="F17" s="56"/>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row>
    <row r="18" spans="1:41" x14ac:dyDescent="0.25">
      <c r="B18" s="72">
        <v>2011</v>
      </c>
      <c r="C18" s="72">
        <v>2012</v>
      </c>
      <c r="D18" s="72">
        <v>2013</v>
      </c>
      <c r="E18" s="72">
        <v>2014</v>
      </c>
      <c r="F18" s="72">
        <v>2015</v>
      </c>
      <c r="G18" s="72">
        <v>2016</v>
      </c>
      <c r="H18" s="72">
        <v>2017</v>
      </c>
      <c r="I18" s="72">
        <v>2018</v>
      </c>
      <c r="J18" s="72">
        <v>2019</v>
      </c>
      <c r="K18" s="72">
        <v>2020</v>
      </c>
      <c r="L18" s="72">
        <v>2021</v>
      </c>
      <c r="M18" s="72">
        <v>2022</v>
      </c>
      <c r="N18" s="72">
        <v>2023</v>
      </c>
      <c r="O18" s="72">
        <v>2024</v>
      </c>
      <c r="P18" s="72">
        <v>2025</v>
      </c>
      <c r="Q18" s="72">
        <v>2026</v>
      </c>
      <c r="R18" s="72">
        <v>2027</v>
      </c>
      <c r="S18" s="72">
        <v>2028</v>
      </c>
      <c r="T18" s="72">
        <v>2029</v>
      </c>
      <c r="U18" s="72">
        <v>2030</v>
      </c>
      <c r="V18" s="72">
        <v>2031</v>
      </c>
      <c r="W18" s="72">
        <v>2032</v>
      </c>
      <c r="X18" s="72">
        <v>2033</v>
      </c>
      <c r="Y18" s="72">
        <v>2034</v>
      </c>
      <c r="Z18" s="72">
        <v>2035</v>
      </c>
      <c r="AA18" s="72">
        <v>2036</v>
      </c>
      <c r="AB18" s="72">
        <v>2037</v>
      </c>
      <c r="AC18" s="72">
        <v>2038</v>
      </c>
      <c r="AD18" s="72">
        <v>2039</v>
      </c>
      <c r="AE18" s="72">
        <v>2040</v>
      </c>
      <c r="AF18" s="72">
        <v>2041</v>
      </c>
      <c r="AG18" s="72">
        <v>2042</v>
      </c>
      <c r="AH18" s="72">
        <v>2043</v>
      </c>
      <c r="AI18" s="72">
        <v>2044</v>
      </c>
      <c r="AJ18" s="72">
        <v>2045</v>
      </c>
      <c r="AK18" s="72">
        <v>2046</v>
      </c>
      <c r="AL18" s="72">
        <v>2047</v>
      </c>
      <c r="AM18" s="72">
        <v>2048</v>
      </c>
      <c r="AN18" s="72">
        <v>2049</v>
      </c>
      <c r="AO18" s="72">
        <v>2050</v>
      </c>
    </row>
    <row r="19" spans="1:41" x14ac:dyDescent="0.25">
      <c r="A19" s="63" t="s">
        <v>748</v>
      </c>
      <c r="B19" s="67">
        <f>B14/G5</f>
        <v>0.15795990871842747</v>
      </c>
      <c r="C19" s="67">
        <f>C14/H5</f>
        <v>0.15793540001127399</v>
      </c>
      <c r="D19" s="67">
        <f>D14/I5</f>
        <v>0.16117526188420095</v>
      </c>
      <c r="E19" s="67">
        <f>E14/J5</f>
        <v>0.1602178412536874</v>
      </c>
      <c r="F19" s="67">
        <f>F14/K5</f>
        <v>0.16121766432325438</v>
      </c>
      <c r="G19" s="67">
        <f t="shared" ref="G19:P19" si="6">(1+($F$19-$B$19)/$B$19/COUNT($C$18:$F$18))*F19</f>
        <v>0.16204890016310664</v>
      </c>
      <c r="H19" s="67">
        <f>(1+($F$19-$B$19)/$B$19/COUNT($C$18:$F$18))*G19</f>
        <v>0.16288442184238197</v>
      </c>
      <c r="I19" s="67">
        <f t="shared" si="6"/>
        <v>0.16372425145880368</v>
      </c>
      <c r="J19" s="67">
        <f t="shared" si="6"/>
        <v>0.16456841122403054</v>
      </c>
      <c r="K19" s="67">
        <f t="shared" si="6"/>
        <v>0.16541692346424433</v>
      </c>
      <c r="L19" s="67">
        <f t="shared" si="6"/>
        <v>0.16626981062074028</v>
      </c>
      <c r="M19" s="67">
        <f t="shared" si="6"/>
        <v>0.16712709525052058</v>
      </c>
      <c r="N19" s="67">
        <f t="shared" si="6"/>
        <v>0.16798880002689101</v>
      </c>
      <c r="O19" s="67">
        <f t="shared" si="6"/>
        <v>0.16885494774006057</v>
      </c>
      <c r="P19" s="67">
        <f t="shared" si="6"/>
        <v>0.16972556129774424</v>
      </c>
      <c r="Q19" s="67">
        <f>P19</f>
        <v>0.16972556129774424</v>
      </c>
      <c r="R19" s="67">
        <f t="shared" ref="R19:AO19" si="7">Q19</f>
        <v>0.16972556129774424</v>
      </c>
      <c r="S19" s="67">
        <f t="shared" si="7"/>
        <v>0.16972556129774424</v>
      </c>
      <c r="T19" s="67">
        <f t="shared" si="7"/>
        <v>0.16972556129774424</v>
      </c>
      <c r="U19" s="67">
        <f t="shared" si="7"/>
        <v>0.16972556129774424</v>
      </c>
      <c r="V19" s="67">
        <f t="shared" si="7"/>
        <v>0.16972556129774424</v>
      </c>
      <c r="W19" s="67">
        <f t="shared" si="7"/>
        <v>0.16972556129774424</v>
      </c>
      <c r="X19" s="67">
        <f t="shared" si="7"/>
        <v>0.16972556129774424</v>
      </c>
      <c r="Y19" s="67">
        <f t="shared" si="7"/>
        <v>0.16972556129774424</v>
      </c>
      <c r="Z19" s="67">
        <f t="shared" si="7"/>
        <v>0.16972556129774424</v>
      </c>
      <c r="AA19" s="67">
        <f t="shared" si="7"/>
        <v>0.16972556129774424</v>
      </c>
      <c r="AB19" s="67">
        <f t="shared" si="7"/>
        <v>0.16972556129774424</v>
      </c>
      <c r="AC19" s="67">
        <f t="shared" si="7"/>
        <v>0.16972556129774424</v>
      </c>
      <c r="AD19" s="67">
        <f t="shared" si="7"/>
        <v>0.16972556129774424</v>
      </c>
      <c r="AE19" s="67">
        <f t="shared" si="7"/>
        <v>0.16972556129774424</v>
      </c>
      <c r="AF19" s="67">
        <f t="shared" si="7"/>
        <v>0.16972556129774424</v>
      </c>
      <c r="AG19" s="67">
        <f t="shared" si="7"/>
        <v>0.16972556129774424</v>
      </c>
      <c r="AH19" s="67">
        <f t="shared" si="7"/>
        <v>0.16972556129774424</v>
      </c>
      <c r="AI19" s="67">
        <f t="shared" si="7"/>
        <v>0.16972556129774424</v>
      </c>
      <c r="AJ19" s="67">
        <f t="shared" si="7"/>
        <v>0.16972556129774424</v>
      </c>
      <c r="AK19" s="67">
        <f t="shared" si="7"/>
        <v>0.16972556129774424</v>
      </c>
      <c r="AL19" s="67">
        <f t="shared" si="7"/>
        <v>0.16972556129774424</v>
      </c>
      <c r="AM19" s="67">
        <f t="shared" si="7"/>
        <v>0.16972556129774424</v>
      </c>
      <c r="AN19" s="67">
        <f t="shared" si="7"/>
        <v>0.16972556129774424</v>
      </c>
      <c r="AO19" s="67">
        <f t="shared" si="7"/>
        <v>0.16972556129774424</v>
      </c>
    </row>
    <row r="20" spans="1:41" x14ac:dyDescent="0.25">
      <c r="A20" t="s">
        <v>747</v>
      </c>
      <c r="B20" s="67">
        <f>B15/G4</f>
        <v>0.1797892804057008</v>
      </c>
      <c r="C20" s="67">
        <f>C15/H4</f>
        <v>0.18094154612925945</v>
      </c>
      <c r="D20" s="67">
        <f>D15/I4</f>
        <v>0.18051833931806593</v>
      </c>
      <c r="E20" s="67">
        <f>E15/J4</f>
        <v>0.1804037864380191</v>
      </c>
      <c r="F20" s="67">
        <f>F15/K4</f>
        <v>0.1831061500482988</v>
      </c>
      <c r="G20" s="67">
        <f t="shared" ref="G20:P20" si="8">(1+($F$20-$B$20)/$B$20/COUNT($C$18:$F$18))*F20</f>
        <v>0.18395066540135227</v>
      </c>
      <c r="H20" s="67">
        <f t="shared" si="8"/>
        <v>0.18479907579660587</v>
      </c>
      <c r="I20" s="67">
        <f t="shared" si="8"/>
        <v>0.18565139919862791</v>
      </c>
      <c r="J20" s="67">
        <f t="shared" si="8"/>
        <v>0.1865076536548422</v>
      </c>
      <c r="K20" s="67">
        <f t="shared" si="8"/>
        <v>0.18736785729591021</v>
      </c>
      <c r="L20" s="67">
        <f t="shared" si="8"/>
        <v>0.18823202833611496</v>
      </c>
      <c r="M20" s="67">
        <f t="shared" si="8"/>
        <v>0.18910018507374673</v>
      </c>
      <c r="N20" s="67">
        <f t="shared" si="8"/>
        <v>0.18997234589149048</v>
      </c>
      <c r="O20" s="67">
        <f t="shared" si="8"/>
        <v>0.19084852925681506</v>
      </c>
      <c r="P20" s="67">
        <f t="shared" si="8"/>
        <v>0.19172875372236436</v>
      </c>
      <c r="Q20" s="67">
        <f>P20</f>
        <v>0.19172875372236436</v>
      </c>
      <c r="R20" s="67">
        <f t="shared" ref="R20:AO20" si="9">Q20</f>
        <v>0.19172875372236436</v>
      </c>
      <c r="S20" s="67">
        <f t="shared" si="9"/>
        <v>0.19172875372236436</v>
      </c>
      <c r="T20" s="67">
        <f t="shared" si="9"/>
        <v>0.19172875372236436</v>
      </c>
      <c r="U20" s="67">
        <f t="shared" si="9"/>
        <v>0.19172875372236436</v>
      </c>
      <c r="V20" s="67">
        <f t="shared" si="9"/>
        <v>0.19172875372236436</v>
      </c>
      <c r="W20" s="67">
        <f t="shared" si="9"/>
        <v>0.19172875372236436</v>
      </c>
      <c r="X20" s="67">
        <f t="shared" si="9"/>
        <v>0.19172875372236436</v>
      </c>
      <c r="Y20" s="67">
        <f t="shared" si="9"/>
        <v>0.19172875372236436</v>
      </c>
      <c r="Z20" s="67">
        <f t="shared" si="9"/>
        <v>0.19172875372236436</v>
      </c>
      <c r="AA20" s="67">
        <f t="shared" si="9"/>
        <v>0.19172875372236436</v>
      </c>
      <c r="AB20" s="67">
        <f t="shared" si="9"/>
        <v>0.19172875372236436</v>
      </c>
      <c r="AC20" s="67">
        <f t="shared" si="9"/>
        <v>0.19172875372236436</v>
      </c>
      <c r="AD20" s="67">
        <f t="shared" si="9"/>
        <v>0.19172875372236436</v>
      </c>
      <c r="AE20" s="67">
        <f t="shared" si="9"/>
        <v>0.19172875372236436</v>
      </c>
      <c r="AF20" s="67">
        <f t="shared" si="9"/>
        <v>0.19172875372236436</v>
      </c>
      <c r="AG20" s="67">
        <f t="shared" si="9"/>
        <v>0.19172875372236436</v>
      </c>
      <c r="AH20" s="67">
        <f t="shared" si="9"/>
        <v>0.19172875372236436</v>
      </c>
      <c r="AI20" s="67">
        <f t="shared" si="9"/>
        <v>0.19172875372236436</v>
      </c>
      <c r="AJ20" s="67">
        <f t="shared" si="9"/>
        <v>0.19172875372236436</v>
      </c>
      <c r="AK20" s="67">
        <f t="shared" si="9"/>
        <v>0.19172875372236436</v>
      </c>
      <c r="AL20" s="67">
        <f t="shared" si="9"/>
        <v>0.19172875372236436</v>
      </c>
      <c r="AM20" s="67">
        <f t="shared" si="9"/>
        <v>0.19172875372236436</v>
      </c>
      <c r="AN20" s="67">
        <f t="shared" si="9"/>
        <v>0.19172875372236436</v>
      </c>
      <c r="AO20" s="67">
        <f t="shared" si="9"/>
        <v>0.19172875372236436</v>
      </c>
    </row>
    <row r="22" spans="1:41" x14ac:dyDescent="0.25">
      <c r="A22" s="56" t="s">
        <v>767</v>
      </c>
      <c r="B22" s="56"/>
      <c r="C22" s="56"/>
    </row>
    <row r="23" spans="1:41" x14ac:dyDescent="0.25">
      <c r="A23" t="s">
        <v>749</v>
      </c>
      <c r="B23">
        <v>1.5</v>
      </c>
    </row>
    <row r="24" spans="1:41" x14ac:dyDescent="0.25">
      <c r="A24" t="s">
        <v>750</v>
      </c>
      <c r="B24">
        <v>8</v>
      </c>
    </row>
    <row r="25" spans="1:41" x14ac:dyDescent="0.25">
      <c r="A25" t="s">
        <v>751</v>
      </c>
      <c r="B25">
        <v>5</v>
      </c>
    </row>
    <row r="27" spans="1:41" x14ac:dyDescent="0.25">
      <c r="A27" s="56" t="s">
        <v>772</v>
      </c>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row>
    <row r="28" spans="1:41" x14ac:dyDescent="0.25">
      <c r="A28" t="s">
        <v>766</v>
      </c>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41" x14ac:dyDescent="0.25">
      <c r="A29" t="s">
        <v>764</v>
      </c>
      <c r="B29" s="2">
        <f>F20*K4</f>
        <v>1706</v>
      </c>
      <c r="C29" s="2">
        <f t="shared" ref="C29:AK29" si="10">C20*L4</f>
        <v>1688.1846253859906</v>
      </c>
      <c r="D29" s="2">
        <f t="shared" si="10"/>
        <v>1691.4568394102778</v>
      </c>
      <c r="E29" s="2">
        <f t="shared" si="10"/>
        <v>1695.7955925173796</v>
      </c>
      <c r="F29" s="2">
        <f t="shared" si="10"/>
        <v>1725.7754642052162</v>
      </c>
      <c r="G29" s="2">
        <f t="shared" si="10"/>
        <v>1736.4942813887653</v>
      </c>
      <c r="H29" s="2">
        <f t="shared" si="10"/>
        <v>1746.3512662779256</v>
      </c>
      <c r="I29" s="2">
        <f t="shared" si="10"/>
        <v>1755.3339794230269</v>
      </c>
      <c r="J29" s="2">
        <f t="shared" si="10"/>
        <v>1762.4973270382588</v>
      </c>
      <c r="K29" s="2">
        <f t="shared" si="10"/>
        <v>1769.6894121598721</v>
      </c>
      <c r="L29" s="2">
        <f t="shared" si="10"/>
        <v>1775.028027209564</v>
      </c>
      <c r="M29" s="2">
        <f t="shared" si="10"/>
        <v>1780.3782424693254</v>
      </c>
      <c r="N29" s="2">
        <f t="shared" si="10"/>
        <v>1790.2999196714468</v>
      </c>
      <c r="O29" s="2">
        <f t="shared" si="10"/>
        <v>1800.2768883145409</v>
      </c>
      <c r="P29" s="2">
        <f t="shared" si="10"/>
        <v>1810.309456526295</v>
      </c>
      <c r="Q29" s="2">
        <f t="shared" si="10"/>
        <v>1812.0405085303498</v>
      </c>
      <c r="R29" s="2">
        <f t="shared" si="10"/>
        <v>1813.7732157989399</v>
      </c>
      <c r="S29" s="2">
        <f t="shared" si="10"/>
        <v>1815.5075799148599</v>
      </c>
      <c r="T29" s="2">
        <f t="shared" si="10"/>
        <v>1817.2436024624187</v>
      </c>
      <c r="U29" s="2">
        <f t="shared" si="10"/>
        <v>1818.98128502744</v>
      </c>
      <c r="V29" s="2">
        <f t="shared" si="10"/>
        <v>1820.7206291972634</v>
      </c>
      <c r="W29" s="2">
        <f t="shared" si="10"/>
        <v>1822.4616365607471</v>
      </c>
      <c r="X29" s="2">
        <f t="shared" si="10"/>
        <v>1824.2043087082679</v>
      </c>
      <c r="Y29" s="2">
        <f t="shared" si="10"/>
        <v>1825.948647231724</v>
      </c>
      <c r="Z29" s="2">
        <f t="shared" si="10"/>
        <v>1827.6946537245351</v>
      </c>
      <c r="AA29" s="2">
        <f t="shared" si="10"/>
        <v>1829.4423297816447</v>
      </c>
      <c r="AB29" s="2">
        <f t="shared" si="10"/>
        <v>1831.1916769995225</v>
      </c>
      <c r="AC29" s="2">
        <f t="shared" si="10"/>
        <v>1832.9426969761632</v>
      </c>
      <c r="AD29" s="2">
        <f t="shared" si="10"/>
        <v>1834.6953913110904</v>
      </c>
      <c r="AE29" s="2">
        <f t="shared" si="10"/>
        <v>1836.449761605357</v>
      </c>
      <c r="AF29" s="2">
        <f t="shared" si="10"/>
        <v>1838.2058094615468</v>
      </c>
      <c r="AG29" s="2">
        <f t="shared" si="10"/>
        <v>1839.9635364837764</v>
      </c>
      <c r="AH29" s="2">
        <f t="shared" si="10"/>
        <v>1841.7229442776959</v>
      </c>
      <c r="AI29" s="2">
        <f t="shared" si="10"/>
        <v>1843.4840344504908</v>
      </c>
      <c r="AJ29" s="2">
        <f t="shared" si="10"/>
        <v>1845.2468086108836</v>
      </c>
      <c r="AK29" s="2">
        <f t="shared" si="10"/>
        <v>1847.0112683691345</v>
      </c>
    </row>
    <row r="30" spans="1:41" x14ac:dyDescent="0.25">
      <c r="A30" t="s">
        <v>765</v>
      </c>
      <c r="B30" s="2">
        <f>F19*K5</f>
        <v>4724</v>
      </c>
      <c r="C30" s="2">
        <f t="shared" ref="C30:AK30" si="11">C19*L5</f>
        <v>4790.3386177419516</v>
      </c>
      <c r="D30" s="2">
        <f t="shared" si="11"/>
        <v>4987.4073037447142</v>
      </c>
      <c r="E30" s="2">
        <f t="shared" si="11"/>
        <v>4905.2294278228937</v>
      </c>
      <c r="F30" s="2">
        <f t="shared" si="11"/>
        <v>5017.2549314039998</v>
      </c>
      <c r="G30" s="2">
        <f t="shared" si="11"/>
        <v>5076.6679443098046</v>
      </c>
      <c r="H30" s="2">
        <f t="shared" si="11"/>
        <v>5177.2813482601114</v>
      </c>
      <c r="I30" s="2">
        <f t="shared" si="11"/>
        <v>5184.8195951973948</v>
      </c>
      <c r="J30" s="2">
        <f t="shared" si="11"/>
        <v>5208.590215240567</v>
      </c>
      <c r="K30" s="2">
        <f t="shared" si="11"/>
        <v>5198.7230706342707</v>
      </c>
      <c r="L30" s="2">
        <f t="shared" si="11"/>
        <v>5214.8863403088981</v>
      </c>
      <c r="M30" s="2">
        <f t="shared" si="11"/>
        <v>5222.053218197766</v>
      </c>
      <c r="N30" s="2">
        <f t="shared" si="11"/>
        <v>5280.6358701781974</v>
      </c>
      <c r="O30" s="2">
        <f t="shared" si="11"/>
        <v>5339.8757209594951</v>
      </c>
      <c r="P30" s="2">
        <f t="shared" si="11"/>
        <v>5399.7801432065917</v>
      </c>
      <c r="Q30" s="2">
        <f t="shared" si="11"/>
        <v>5432.3474907608797</v>
      </c>
      <c r="R30" s="2">
        <f t="shared" si="11"/>
        <v>5465.1112596691119</v>
      </c>
      <c r="S30" s="2">
        <f t="shared" si="11"/>
        <v>5498.0726345947969</v>
      </c>
      <c r="T30" s="2">
        <f t="shared" si="11"/>
        <v>5531.2328073464314</v>
      </c>
      <c r="U30" s="2">
        <f t="shared" si="11"/>
        <v>5564.5929769205886</v>
      </c>
      <c r="V30" s="2">
        <f t="shared" si="11"/>
        <v>5598.1543495452734</v>
      </c>
      <c r="W30" s="2">
        <f t="shared" si="11"/>
        <v>5631.9181387235358</v>
      </c>
      <c r="X30" s="2">
        <f t="shared" si="11"/>
        <v>5665.88556527735</v>
      </c>
      <c r="Y30" s="2">
        <f t="shared" si="11"/>
        <v>5700.0578573917537</v>
      </c>
      <c r="Z30" s="2">
        <f t="shared" si="11"/>
        <v>5734.4362506592615</v>
      </c>
      <c r="AA30" s="2">
        <f t="shared" si="11"/>
        <v>5769.021988124533</v>
      </c>
      <c r="AB30" s="2">
        <f t="shared" si="11"/>
        <v>5803.8163203293288</v>
      </c>
      <c r="AC30" s="2">
        <f t="shared" si="11"/>
        <v>5838.8205053577176</v>
      </c>
      <c r="AD30" s="2">
        <f t="shared" si="11"/>
        <v>5874.0358088815701</v>
      </c>
      <c r="AE30" s="2">
        <f t="shared" si="11"/>
        <v>5909.4635042063255</v>
      </c>
      <c r="AF30" s="2">
        <f t="shared" si="11"/>
        <v>5945.1048723170261</v>
      </c>
      <c r="AG30" s="2">
        <f t="shared" si="11"/>
        <v>5980.961201924636</v>
      </c>
      <c r="AH30" s="2">
        <f t="shared" si="11"/>
        <v>6017.0337895126422</v>
      </c>
      <c r="AI30" s="2">
        <f t="shared" si="11"/>
        <v>6053.3239393839276</v>
      </c>
      <c r="AJ30" s="2">
        <f t="shared" si="11"/>
        <v>6089.8329637079332</v>
      </c>
      <c r="AK30" s="2">
        <f t="shared" si="11"/>
        <v>6126.5621825681046</v>
      </c>
    </row>
    <row r="31" spans="1:41" x14ac:dyDescent="0.25">
      <c r="A31" t="s">
        <v>749</v>
      </c>
      <c r="B31" s="2">
        <f>K6*$B$23/10^3</f>
        <v>101.664</v>
      </c>
      <c r="C31" s="2">
        <f t="shared" ref="C31:AK31" si="12">L6*$B$23/10^3</f>
        <v>103.3785</v>
      </c>
      <c r="D31" s="2">
        <f t="shared" si="12"/>
        <v>104.8875</v>
      </c>
      <c r="E31" s="2">
        <f t="shared" si="12"/>
        <v>104.85</v>
      </c>
      <c r="F31" s="2">
        <f t="shared" si="12"/>
        <v>105.6435</v>
      </c>
      <c r="G31" s="2">
        <f t="shared" si="12"/>
        <v>106.62</v>
      </c>
      <c r="H31" s="2">
        <f t="shared" si="12"/>
        <v>107.379</v>
      </c>
      <c r="I31" s="2">
        <f t="shared" si="12"/>
        <v>108.19799999999999</v>
      </c>
      <c r="J31" s="2">
        <f t="shared" si="12"/>
        <v>108.58499999999999</v>
      </c>
      <c r="K31" s="2">
        <f t="shared" si="12"/>
        <v>109.377</v>
      </c>
      <c r="L31" s="2">
        <f t="shared" si="12"/>
        <v>110.20050000000001</v>
      </c>
      <c r="M31" s="2">
        <f t="shared" si="12"/>
        <v>111.0645</v>
      </c>
      <c r="N31" s="2">
        <f t="shared" si="12"/>
        <v>111.99811181954998</v>
      </c>
      <c r="O31" s="2">
        <f t="shared" si="12"/>
        <v>112.93957161059042</v>
      </c>
      <c r="P31" s="2">
        <f t="shared" si="12"/>
        <v>113.88894534342634</v>
      </c>
      <c r="Q31" s="2">
        <f t="shared" si="12"/>
        <v>114.84629954291138</v>
      </c>
      <c r="R31" s="2">
        <f t="shared" si="12"/>
        <v>115.81170129310912</v>
      </c>
      <c r="S31" s="2">
        <f t="shared" si="12"/>
        <v>116.78521824199412</v>
      </c>
      <c r="T31" s="2">
        <f t="shared" si="12"/>
        <v>117.76691860619192</v>
      </c>
      <c r="U31" s="2">
        <f t="shared" si="12"/>
        <v>118.75687117575934</v>
      </c>
      <c r="V31" s="2">
        <f t="shared" si="12"/>
        <v>119.75514531900458</v>
      </c>
      <c r="W31" s="2">
        <f t="shared" si="12"/>
        <v>120.76181098734818</v>
      </c>
      <c r="X31" s="2">
        <f t="shared" si="12"/>
        <v>121.77693872022456</v>
      </c>
      <c r="Y31" s="2">
        <f t="shared" si="12"/>
        <v>122.80059965002494</v>
      </c>
      <c r="Z31" s="2">
        <f t="shared" si="12"/>
        <v>123.83286550708176</v>
      </c>
      <c r="AA31" s="2">
        <f t="shared" si="12"/>
        <v>124.873808624695</v>
      </c>
      <c r="AB31" s="2">
        <f t="shared" si="12"/>
        <v>125.92350194420065</v>
      </c>
      <c r="AC31" s="2">
        <f t="shared" si="12"/>
        <v>126.98201902008203</v>
      </c>
      <c r="AD31" s="2">
        <f t="shared" si="12"/>
        <v>128.04943402512387</v>
      </c>
      <c r="AE31" s="2">
        <f t="shared" si="12"/>
        <v>129.12582175560968</v>
      </c>
      <c r="AF31" s="2">
        <f t="shared" si="12"/>
        <v>130.21125763656298</v>
      </c>
      <c r="AG31" s="2">
        <f t="shared" si="12"/>
        <v>131.30581772703258</v>
      </c>
      <c r="AH31" s="2">
        <f t="shared" si="12"/>
        <v>132.40957872542208</v>
      </c>
      <c r="AI31" s="2">
        <f t="shared" si="12"/>
        <v>133.5226179748644</v>
      </c>
      <c r="AJ31" s="2">
        <f t="shared" si="12"/>
        <v>134.64501346864131</v>
      </c>
      <c r="AK31" s="2">
        <f t="shared" si="12"/>
        <v>135.77684385564876</v>
      </c>
    </row>
    <row r="32" spans="1:41" x14ac:dyDescent="0.25">
      <c r="A32" t="s">
        <v>750</v>
      </c>
      <c r="B32" s="2">
        <f>K7*$B$24/10^3</f>
        <v>42.24</v>
      </c>
      <c r="C32" s="2">
        <f t="shared" ref="C32:AK32" si="13">L7*$B$24/10^3</f>
        <v>42.4</v>
      </c>
      <c r="D32" s="2">
        <f t="shared" si="13"/>
        <v>41.6</v>
      </c>
      <c r="E32" s="2">
        <f t="shared" si="13"/>
        <v>41.075630252100844</v>
      </c>
      <c r="F32" s="2">
        <f t="shared" si="13"/>
        <v>40.557870206906294</v>
      </c>
      <c r="G32" s="2">
        <f t="shared" si="13"/>
        <v>40.046636548836048</v>
      </c>
      <c r="H32" s="2">
        <f t="shared" si="13"/>
        <v>39.541847012506182</v>
      </c>
      <c r="I32" s="2">
        <f t="shared" si="13"/>
        <v>39.043420369491393</v>
      </c>
      <c r="J32" s="2">
        <f t="shared" si="13"/>
        <v>38.551276415254115</v>
      </c>
      <c r="K32" s="2">
        <f t="shared" si="13"/>
        <v>38.065335956238307</v>
      </c>
      <c r="L32" s="2">
        <f t="shared" si="13"/>
        <v>37.585520797126058</v>
      </c>
      <c r="M32" s="2">
        <f t="shared" si="13"/>
        <v>37.111753728254726</v>
      </c>
      <c r="N32" s="2">
        <f t="shared" si="13"/>
        <v>36.643958513192693</v>
      </c>
      <c r="O32" s="2">
        <f t="shared" si="13"/>
        <v>36.182059876471783</v>
      </c>
      <c r="P32" s="2">
        <f t="shared" si="13"/>
        <v>35.725983491474238</v>
      </c>
      <c r="Q32" s="2">
        <f t="shared" si="13"/>
        <v>35.275655968472464</v>
      </c>
      <c r="R32" s="2">
        <f t="shared" si="13"/>
        <v>34.831004842819446</v>
      </c>
      <c r="S32" s="2">
        <f t="shared" si="13"/>
        <v>34.391958563288114</v>
      </c>
      <c r="T32" s="2">
        <f t="shared" si="13"/>
        <v>33.958446480557591</v>
      </c>
      <c r="U32" s="2">
        <f t="shared" si="13"/>
        <v>33.530398835844679</v>
      </c>
      <c r="V32" s="2">
        <f t="shared" si="13"/>
        <v>33.107746749678576</v>
      </c>
      <c r="W32" s="2">
        <f t="shared" si="13"/>
        <v>32.690422210817083</v>
      </c>
      <c r="X32" s="2">
        <f t="shared" si="13"/>
        <v>32.278358065302584</v>
      </c>
      <c r="Y32" s="2">
        <f t="shared" si="13"/>
        <v>31.871488005655916</v>
      </c>
      <c r="Z32" s="2">
        <f t="shared" si="13"/>
        <v>31.469746560206474</v>
      </c>
      <c r="AA32" s="2">
        <f t="shared" si="13"/>
        <v>31.073069082556813</v>
      </c>
      <c r="AB32" s="2">
        <f t="shared" si="13"/>
        <v>30.681391741180047</v>
      </c>
      <c r="AC32" s="2">
        <f t="shared" si="13"/>
        <v>30.294651509148366</v>
      </c>
      <c r="AD32" s="2">
        <f t="shared" si="13"/>
        <v>29.912786153991036</v>
      </c>
      <c r="AE32" s="2">
        <f t="shared" si="13"/>
        <v>29.535734227680226</v>
      </c>
      <c r="AF32" s="2">
        <f t="shared" si="13"/>
        <v>29.163435056743079</v>
      </c>
      <c r="AG32" s="2">
        <f t="shared" si="13"/>
        <v>28.795828732498425</v>
      </c>
      <c r="AH32" s="2">
        <f t="shared" si="13"/>
        <v>28.432856101416508</v>
      </c>
      <c r="AI32" s="2">
        <f t="shared" si="13"/>
        <v>28.074458755600336</v>
      </c>
      <c r="AJ32" s="2">
        <f t="shared" si="13"/>
        <v>27.720579023386886</v>
      </c>
      <c r="AK32" s="2">
        <f t="shared" si="13"/>
        <v>27.371159960066883</v>
      </c>
    </row>
    <row r="33" spans="1:46" x14ac:dyDescent="0.25">
      <c r="A33" t="s">
        <v>751</v>
      </c>
      <c r="B33" s="2">
        <f>K8*$B$25/10^3</f>
        <v>13.25</v>
      </c>
      <c r="C33" s="2">
        <f t="shared" ref="C33:AK33" si="14">L8*$B$25/10^3</f>
        <v>13.1</v>
      </c>
      <c r="D33" s="2">
        <f t="shared" si="14"/>
        <v>13.2</v>
      </c>
      <c r="E33" s="2">
        <f t="shared" si="14"/>
        <v>12.997639512508016</v>
      </c>
      <c r="F33" s="2">
        <f t="shared" si="14"/>
        <v>12.798381280084065</v>
      </c>
      <c r="G33" s="2">
        <f t="shared" si="14"/>
        <v>12.602177744103303</v>
      </c>
      <c r="H33" s="2">
        <f t="shared" si="14"/>
        <v>12.408982075030778</v>
      </c>
      <c r="I33" s="2">
        <f t="shared" si="14"/>
        <v>12.218748161244223</v>
      </c>
      <c r="J33" s="2">
        <f t="shared" si="14"/>
        <v>12.031430598028228</v>
      </c>
      <c r="K33" s="2">
        <f t="shared" si="14"/>
        <v>11.846984676737094</v>
      </c>
      <c r="L33" s="2">
        <f t="shared" si="14"/>
        <v>11.66536637412387</v>
      </c>
      <c r="M33" s="2">
        <f t="shared" si="14"/>
        <v>11.486532341832939</v>
      </c>
      <c r="N33" s="2">
        <f t="shared" si="14"/>
        <v>11.310439896053719</v>
      </c>
      <c r="O33" s="2">
        <f t="shared" si="14"/>
        <v>11.137047007332946</v>
      </c>
      <c r="P33" s="2">
        <f t="shared" si="14"/>
        <v>10.966312290543172</v>
      </c>
      <c r="Q33" s="2">
        <f t="shared" si="14"/>
        <v>10.798194995005016</v>
      </c>
      <c r="R33" s="2">
        <f t="shared" si="14"/>
        <v>10.632654994760873</v>
      </c>
      <c r="S33" s="2">
        <f t="shared" si="14"/>
        <v>10.4696527789977</v>
      </c>
      <c r="T33" s="2">
        <f t="shared" si="14"/>
        <v>10.309149442616661</v>
      </c>
      <c r="U33" s="2">
        <f t="shared" si="14"/>
        <v>10.151106676947297</v>
      </c>
      <c r="V33" s="2">
        <f t="shared" si="14"/>
        <v>9.995486760604102</v>
      </c>
      <c r="W33" s="2">
        <f t="shared" si="14"/>
        <v>9.8422525504832308</v>
      </c>
      <c r="X33" s="2">
        <f t="shared" si="14"/>
        <v>9.6913674728972481</v>
      </c>
      <c r="Y33" s="2">
        <f t="shared" si="14"/>
        <v>9.5427955148457748</v>
      </c>
      <c r="Z33" s="2">
        <f t="shared" si="14"/>
        <v>9.3965012154199794</v>
      </c>
      <c r="AA33" s="2">
        <f t="shared" si="14"/>
        <v>9.2524496573388149</v>
      </c>
      <c r="AB33" s="2">
        <f t="shared" si="14"/>
        <v>9.1106064586150186</v>
      </c>
      <c r="AC33" s="2">
        <f t="shared" si="14"/>
        <v>8.9709377643488875</v>
      </c>
      <c r="AD33" s="2">
        <f t="shared" si="14"/>
        <v>8.8334102386478364</v>
      </c>
      <c r="AE33" s="2">
        <f t="shared" si="14"/>
        <v>8.6979910566698493</v>
      </c>
      <c r="AF33" s="2">
        <f t="shared" si="14"/>
        <v>8.5646478967888928</v>
      </c>
      <c r="AG33" s="2">
        <f t="shared" si="14"/>
        <v>8.4333489328804561</v>
      </c>
      <c r="AH33" s="2">
        <f t="shared" si="14"/>
        <v>8.3040628267253283</v>
      </c>
      <c r="AI33" s="2">
        <f t="shared" si="14"/>
        <v>8.1767587205298593</v>
      </c>
      <c r="AJ33" s="2">
        <f t="shared" si="14"/>
        <v>8.0514062295608646</v>
      </c>
      <c r="AK33" s="2">
        <f t="shared" si="14"/>
        <v>7.9279754348934466</v>
      </c>
    </row>
    <row r="34" spans="1:46" x14ac:dyDescent="0.25">
      <c r="A34" t="s">
        <v>752</v>
      </c>
      <c r="B34" s="2">
        <v>61</v>
      </c>
      <c r="C34" s="2">
        <v>61</v>
      </c>
      <c r="D34" s="2">
        <v>61</v>
      </c>
      <c r="E34" s="2">
        <v>61</v>
      </c>
      <c r="F34" s="2">
        <v>61</v>
      </c>
      <c r="G34" s="2">
        <v>61</v>
      </c>
      <c r="H34" s="2">
        <v>61</v>
      </c>
      <c r="I34" s="2">
        <v>61</v>
      </c>
      <c r="J34" s="2">
        <v>61</v>
      </c>
      <c r="K34" s="2">
        <v>61</v>
      </c>
      <c r="L34" s="2">
        <v>61</v>
      </c>
      <c r="M34" s="2">
        <v>61</v>
      </c>
      <c r="N34" s="2">
        <v>61</v>
      </c>
      <c r="O34" s="2">
        <v>61</v>
      </c>
      <c r="P34" s="2">
        <v>61</v>
      </c>
      <c r="Q34" s="2">
        <v>61</v>
      </c>
      <c r="R34" s="2">
        <v>61</v>
      </c>
      <c r="S34" s="2">
        <v>61</v>
      </c>
      <c r="T34" s="2">
        <v>61</v>
      </c>
      <c r="U34" s="2">
        <v>61</v>
      </c>
      <c r="V34" s="2">
        <v>61</v>
      </c>
      <c r="W34" s="2">
        <v>61</v>
      </c>
      <c r="X34" s="2">
        <v>61</v>
      </c>
      <c r="Y34" s="2">
        <v>61</v>
      </c>
      <c r="Z34" s="2">
        <v>61</v>
      </c>
      <c r="AA34" s="2">
        <v>61</v>
      </c>
      <c r="AB34" s="2">
        <v>61</v>
      </c>
      <c r="AC34" s="2">
        <v>61</v>
      </c>
      <c r="AD34" s="2">
        <v>61</v>
      </c>
      <c r="AE34" s="2">
        <v>61</v>
      </c>
      <c r="AF34" s="2">
        <v>61</v>
      </c>
      <c r="AG34" s="2">
        <v>61</v>
      </c>
      <c r="AH34" s="2">
        <v>61</v>
      </c>
      <c r="AI34" s="2">
        <v>61</v>
      </c>
      <c r="AJ34" s="2">
        <v>61</v>
      </c>
      <c r="AK34" s="2">
        <v>61</v>
      </c>
    </row>
    <row r="35" spans="1:46" x14ac:dyDescent="0.25">
      <c r="A35" t="s">
        <v>753</v>
      </c>
      <c r="B35" s="2">
        <v>13</v>
      </c>
      <c r="C35" s="2">
        <v>13</v>
      </c>
      <c r="D35" s="2">
        <v>13</v>
      </c>
      <c r="E35" s="2">
        <v>13</v>
      </c>
      <c r="F35" s="2">
        <v>13</v>
      </c>
      <c r="G35" s="2">
        <v>13</v>
      </c>
      <c r="H35" s="2">
        <v>13</v>
      </c>
      <c r="I35" s="2">
        <v>13</v>
      </c>
      <c r="J35" s="2">
        <v>13</v>
      </c>
      <c r="K35" s="2">
        <v>13</v>
      </c>
      <c r="L35" s="2">
        <v>13</v>
      </c>
      <c r="M35" s="2">
        <v>13</v>
      </c>
      <c r="N35" s="2">
        <v>13</v>
      </c>
      <c r="O35" s="2">
        <v>13</v>
      </c>
      <c r="P35" s="2">
        <v>13</v>
      </c>
      <c r="Q35" s="2">
        <v>13</v>
      </c>
      <c r="R35" s="2">
        <v>13</v>
      </c>
      <c r="S35" s="2">
        <v>13</v>
      </c>
      <c r="T35" s="2">
        <v>13</v>
      </c>
      <c r="U35" s="2">
        <v>13</v>
      </c>
      <c r="V35" s="2">
        <v>13</v>
      </c>
      <c r="W35" s="2">
        <v>13</v>
      </c>
      <c r="X35" s="2">
        <v>13</v>
      </c>
      <c r="Y35" s="2">
        <v>13</v>
      </c>
      <c r="Z35" s="2">
        <v>13</v>
      </c>
      <c r="AA35" s="2">
        <v>13</v>
      </c>
      <c r="AB35" s="2">
        <v>13</v>
      </c>
      <c r="AC35" s="2">
        <v>13</v>
      </c>
      <c r="AD35" s="2">
        <v>13</v>
      </c>
      <c r="AE35" s="2">
        <v>13</v>
      </c>
      <c r="AF35" s="2">
        <v>13</v>
      </c>
      <c r="AG35" s="2">
        <v>13</v>
      </c>
      <c r="AH35" s="2">
        <v>13</v>
      </c>
      <c r="AI35" s="2">
        <v>13</v>
      </c>
      <c r="AJ35" s="2">
        <v>13</v>
      </c>
      <c r="AK35" s="2">
        <v>13</v>
      </c>
    </row>
    <row r="36" spans="1:46" x14ac:dyDescent="0.25">
      <c r="A36" t="s">
        <v>754</v>
      </c>
      <c r="B36" s="2">
        <v>3</v>
      </c>
      <c r="C36" s="2">
        <v>3</v>
      </c>
      <c r="D36" s="2">
        <v>3</v>
      </c>
      <c r="E36" s="2">
        <v>3</v>
      </c>
      <c r="F36" s="2">
        <v>3</v>
      </c>
      <c r="G36" s="2">
        <v>3</v>
      </c>
      <c r="H36" s="2">
        <v>3</v>
      </c>
      <c r="I36" s="2">
        <v>3</v>
      </c>
      <c r="J36" s="2">
        <v>3</v>
      </c>
      <c r="K36" s="2">
        <v>3</v>
      </c>
      <c r="L36" s="2">
        <v>3</v>
      </c>
      <c r="M36" s="2">
        <v>3</v>
      </c>
      <c r="N36" s="2">
        <v>3</v>
      </c>
      <c r="O36" s="2">
        <v>3</v>
      </c>
      <c r="P36" s="2">
        <v>3</v>
      </c>
      <c r="Q36" s="2">
        <v>3</v>
      </c>
      <c r="R36" s="2">
        <v>3</v>
      </c>
      <c r="S36" s="2">
        <v>3</v>
      </c>
      <c r="T36" s="2">
        <v>3</v>
      </c>
      <c r="U36" s="2">
        <v>3</v>
      </c>
      <c r="V36" s="2">
        <v>3</v>
      </c>
      <c r="W36" s="2">
        <v>3</v>
      </c>
      <c r="X36" s="2">
        <v>3</v>
      </c>
      <c r="Y36" s="2">
        <v>3</v>
      </c>
      <c r="Z36" s="2">
        <v>3</v>
      </c>
      <c r="AA36" s="2">
        <v>3</v>
      </c>
      <c r="AB36" s="2">
        <v>3</v>
      </c>
      <c r="AC36" s="2">
        <v>3</v>
      </c>
      <c r="AD36" s="2">
        <v>3</v>
      </c>
      <c r="AE36" s="2">
        <v>3</v>
      </c>
      <c r="AF36" s="2">
        <v>3</v>
      </c>
      <c r="AG36" s="2">
        <v>3</v>
      </c>
      <c r="AH36" s="2">
        <v>3</v>
      </c>
      <c r="AI36" s="2">
        <v>3</v>
      </c>
      <c r="AJ36" s="2">
        <v>3</v>
      </c>
      <c r="AK36" s="2">
        <v>3</v>
      </c>
    </row>
    <row r="38" spans="1:46" x14ac:dyDescent="0.25">
      <c r="A38" s="74" t="s">
        <v>461</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row>
    <row r="39" spans="1:46" x14ac:dyDescent="0.25">
      <c r="A39" s="56" t="s">
        <v>773</v>
      </c>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row>
    <row r="40" spans="1:46" x14ac:dyDescent="0.25">
      <c r="B40">
        <v>2006</v>
      </c>
      <c r="C40">
        <v>2007</v>
      </c>
      <c r="D40">
        <v>2008</v>
      </c>
      <c r="E40">
        <v>2009</v>
      </c>
      <c r="F40">
        <v>2010</v>
      </c>
      <c r="G40">
        <v>2011</v>
      </c>
      <c r="H40">
        <v>2012</v>
      </c>
      <c r="I40">
        <v>2013</v>
      </c>
      <c r="J40">
        <v>2014</v>
      </c>
      <c r="K40">
        <v>2015</v>
      </c>
    </row>
    <row r="41" spans="1:46" x14ac:dyDescent="0.25">
      <c r="A41" t="s">
        <v>747</v>
      </c>
      <c r="B41">
        <v>1101</v>
      </c>
      <c r="C41">
        <v>1224</v>
      </c>
      <c r="D41">
        <v>1238</v>
      </c>
      <c r="E41">
        <v>1233</v>
      </c>
      <c r="F41">
        <v>1239</v>
      </c>
      <c r="G41">
        <v>1297</v>
      </c>
      <c r="H41">
        <v>1373</v>
      </c>
      <c r="I41">
        <v>1338</v>
      </c>
      <c r="J41">
        <v>1361</v>
      </c>
      <c r="K41">
        <v>1391</v>
      </c>
    </row>
    <row r="42" spans="1:46" x14ac:dyDescent="0.25">
      <c r="A42" t="s">
        <v>748</v>
      </c>
      <c r="B42">
        <v>138</v>
      </c>
      <c r="C42">
        <v>136</v>
      </c>
      <c r="D42">
        <v>132</v>
      </c>
      <c r="E42">
        <v>131</v>
      </c>
      <c r="F42">
        <v>134</v>
      </c>
      <c r="G42">
        <v>131</v>
      </c>
      <c r="H42">
        <v>128</v>
      </c>
      <c r="I42">
        <v>121</v>
      </c>
      <c r="J42">
        <v>120</v>
      </c>
      <c r="K42">
        <v>126</v>
      </c>
    </row>
    <row r="43" spans="1:46" x14ac:dyDescent="0.25">
      <c r="A43" t="s">
        <v>749</v>
      </c>
      <c r="B43">
        <v>901</v>
      </c>
      <c r="C43">
        <v>982</v>
      </c>
      <c r="D43">
        <v>938</v>
      </c>
      <c r="E43">
        <v>896</v>
      </c>
      <c r="F43">
        <v>948</v>
      </c>
      <c r="G43">
        <v>949</v>
      </c>
      <c r="H43">
        <v>982</v>
      </c>
      <c r="I43">
        <v>930</v>
      </c>
      <c r="J43">
        <v>890</v>
      </c>
      <c r="K43">
        <v>985</v>
      </c>
    </row>
    <row r="44" spans="1:46" x14ac:dyDescent="0.25">
      <c r="A44" t="s">
        <v>750</v>
      </c>
      <c r="B44">
        <v>3</v>
      </c>
      <c r="C44">
        <v>3</v>
      </c>
      <c r="D44">
        <v>3</v>
      </c>
      <c r="E44">
        <v>3</v>
      </c>
      <c r="F44">
        <v>3</v>
      </c>
      <c r="G44">
        <v>3</v>
      </c>
      <c r="H44">
        <v>3</v>
      </c>
      <c r="I44">
        <v>3</v>
      </c>
      <c r="J44">
        <v>3</v>
      </c>
      <c r="K44">
        <v>3</v>
      </c>
    </row>
    <row r="45" spans="1:46" x14ac:dyDescent="0.25">
      <c r="A45" t="s">
        <v>751</v>
      </c>
      <c r="B45">
        <v>1</v>
      </c>
      <c r="C45">
        <v>1</v>
      </c>
      <c r="D45">
        <v>1</v>
      </c>
      <c r="E45">
        <v>1</v>
      </c>
      <c r="F45">
        <v>1</v>
      </c>
      <c r="G45">
        <v>1</v>
      </c>
      <c r="H45">
        <v>1</v>
      </c>
      <c r="I45">
        <v>1</v>
      </c>
      <c r="J45">
        <v>1</v>
      </c>
      <c r="K45">
        <v>1</v>
      </c>
    </row>
    <row r="46" spans="1:46" x14ac:dyDescent="0.25">
      <c r="A46" t="s">
        <v>770</v>
      </c>
      <c r="B46">
        <v>131</v>
      </c>
      <c r="C46">
        <v>134</v>
      </c>
      <c r="D46">
        <v>129</v>
      </c>
      <c r="E46">
        <v>128</v>
      </c>
      <c r="F46">
        <v>129</v>
      </c>
      <c r="G46">
        <v>127</v>
      </c>
      <c r="H46">
        <v>128</v>
      </c>
      <c r="I46">
        <v>128</v>
      </c>
      <c r="J46">
        <v>131</v>
      </c>
      <c r="K46">
        <v>135</v>
      </c>
    </row>
    <row r="47" spans="1:46" x14ac:dyDescent="0.25">
      <c r="A47" t="s">
        <v>752</v>
      </c>
      <c r="B47">
        <v>27</v>
      </c>
      <c r="C47">
        <v>27</v>
      </c>
      <c r="D47">
        <v>24</v>
      </c>
      <c r="E47">
        <v>24</v>
      </c>
      <c r="F47">
        <v>24</v>
      </c>
      <c r="G47">
        <v>10</v>
      </c>
      <c r="H47">
        <v>10</v>
      </c>
      <c r="I47">
        <v>9</v>
      </c>
      <c r="J47">
        <v>9</v>
      </c>
      <c r="K47">
        <v>9</v>
      </c>
    </row>
    <row r="49" spans="1:37" x14ac:dyDescent="0.25">
      <c r="A49" s="56" t="s">
        <v>774</v>
      </c>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row>
    <row r="50" spans="1:37" x14ac:dyDescent="0.25">
      <c r="B50">
        <v>2006</v>
      </c>
      <c r="C50">
        <v>2007</v>
      </c>
      <c r="D50">
        <v>2008</v>
      </c>
      <c r="E50">
        <v>2009</v>
      </c>
      <c r="F50">
        <v>2010</v>
      </c>
      <c r="G50">
        <v>2011</v>
      </c>
      <c r="H50">
        <v>2012</v>
      </c>
      <c r="I50">
        <v>2013</v>
      </c>
      <c r="J50">
        <v>2014</v>
      </c>
      <c r="K50">
        <v>2015</v>
      </c>
    </row>
    <row r="51" spans="1:37" x14ac:dyDescent="0.25">
      <c r="A51" t="s">
        <v>747</v>
      </c>
      <c r="B51">
        <v>19</v>
      </c>
      <c r="C51">
        <v>19</v>
      </c>
      <c r="D51">
        <v>19</v>
      </c>
      <c r="E51">
        <v>19</v>
      </c>
      <c r="F51">
        <v>19</v>
      </c>
      <c r="G51">
        <v>19</v>
      </c>
      <c r="H51">
        <v>20</v>
      </c>
      <c r="I51">
        <v>20</v>
      </c>
      <c r="J51">
        <v>20</v>
      </c>
      <c r="K51">
        <v>20</v>
      </c>
    </row>
    <row r="52" spans="1:37" x14ac:dyDescent="0.25">
      <c r="A52" t="s">
        <v>748</v>
      </c>
      <c r="B52">
        <v>27</v>
      </c>
      <c r="C52">
        <v>27</v>
      </c>
      <c r="D52">
        <v>26</v>
      </c>
      <c r="E52">
        <v>26</v>
      </c>
      <c r="F52">
        <v>27</v>
      </c>
      <c r="G52">
        <v>26</v>
      </c>
      <c r="H52">
        <v>26</v>
      </c>
      <c r="I52">
        <v>26</v>
      </c>
      <c r="J52">
        <v>26</v>
      </c>
      <c r="K52">
        <v>26</v>
      </c>
    </row>
    <row r="53" spans="1:37" x14ac:dyDescent="0.25">
      <c r="A53" t="s">
        <v>749</v>
      </c>
      <c r="B53">
        <v>6</v>
      </c>
      <c r="C53">
        <v>6</v>
      </c>
      <c r="D53">
        <v>6</v>
      </c>
      <c r="E53">
        <v>6</v>
      </c>
      <c r="F53">
        <v>6</v>
      </c>
      <c r="G53">
        <v>6</v>
      </c>
      <c r="H53">
        <v>6</v>
      </c>
      <c r="I53">
        <v>6</v>
      </c>
      <c r="J53">
        <v>6</v>
      </c>
      <c r="K53">
        <v>7</v>
      </c>
    </row>
    <row r="54" spans="1:37" x14ac:dyDescent="0.25">
      <c r="A54" t="s">
        <v>750</v>
      </c>
      <c r="B54">
        <v>1</v>
      </c>
      <c r="C54">
        <v>1</v>
      </c>
      <c r="D54">
        <v>1</v>
      </c>
      <c r="E54">
        <v>1</v>
      </c>
      <c r="F54">
        <v>1</v>
      </c>
      <c r="G54">
        <v>1</v>
      </c>
      <c r="H54">
        <v>1</v>
      </c>
      <c r="I54">
        <v>1</v>
      </c>
      <c r="J54">
        <v>1</v>
      </c>
      <c r="K54">
        <v>1</v>
      </c>
    </row>
    <row r="55" spans="1:37" x14ac:dyDescent="0.25">
      <c r="A55" t="s">
        <v>751</v>
      </c>
      <c r="B55">
        <v>0</v>
      </c>
      <c r="C55">
        <v>0</v>
      </c>
      <c r="D55">
        <v>0</v>
      </c>
      <c r="E55">
        <v>0</v>
      </c>
      <c r="F55">
        <v>0</v>
      </c>
      <c r="G55">
        <v>0</v>
      </c>
      <c r="H55">
        <v>0</v>
      </c>
      <c r="I55">
        <v>0</v>
      </c>
      <c r="J55">
        <v>0</v>
      </c>
      <c r="K55">
        <v>0</v>
      </c>
    </row>
    <row r="56" spans="1:37" x14ac:dyDescent="0.25">
      <c r="A56" t="s">
        <v>770</v>
      </c>
      <c r="B56">
        <v>5</v>
      </c>
      <c r="C56">
        <v>5</v>
      </c>
      <c r="D56">
        <v>5</v>
      </c>
      <c r="E56">
        <v>5</v>
      </c>
      <c r="F56">
        <v>5</v>
      </c>
      <c r="G56">
        <v>5</v>
      </c>
      <c r="H56">
        <v>5</v>
      </c>
      <c r="I56">
        <v>5</v>
      </c>
      <c r="J56">
        <v>5</v>
      </c>
      <c r="K56">
        <v>5</v>
      </c>
    </row>
    <row r="57" spans="1:37" x14ac:dyDescent="0.25">
      <c r="A57" t="s">
        <v>752</v>
      </c>
      <c r="B57">
        <v>1</v>
      </c>
      <c r="C57">
        <v>1</v>
      </c>
      <c r="D57">
        <v>1</v>
      </c>
      <c r="E57">
        <v>1</v>
      </c>
      <c r="F57">
        <v>1</v>
      </c>
      <c r="G57">
        <v>0</v>
      </c>
      <c r="H57">
        <v>0</v>
      </c>
      <c r="I57">
        <v>0</v>
      </c>
      <c r="J57">
        <v>0</v>
      </c>
      <c r="K57">
        <v>0</v>
      </c>
    </row>
    <row r="59" spans="1:37" x14ac:dyDescent="0.25">
      <c r="A59" s="56" t="s">
        <v>776</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row>
    <row r="60" spans="1:37" x14ac:dyDescent="0.25">
      <c r="B60">
        <v>2011</v>
      </c>
      <c r="C60">
        <v>2012</v>
      </c>
      <c r="D60">
        <v>2013</v>
      </c>
      <c r="E60">
        <v>2014</v>
      </c>
      <c r="F60">
        <v>2015</v>
      </c>
      <c r="G60" t="s">
        <v>763</v>
      </c>
    </row>
    <row r="61" spans="1:37" x14ac:dyDescent="0.25">
      <c r="A61" t="s">
        <v>747</v>
      </c>
      <c r="B61" s="67">
        <f t="shared" ref="B61:F66" si="15">G41/G4</f>
        <v>0.14175483081227594</v>
      </c>
      <c r="C61" s="67">
        <f t="shared" si="15"/>
        <v>0.1487621214583672</v>
      </c>
      <c r="D61" s="67">
        <f t="shared" si="15"/>
        <v>0.14515236659108907</v>
      </c>
      <c r="E61" s="67">
        <f t="shared" si="15"/>
        <v>0.14623558864928171</v>
      </c>
      <c r="F61" s="67">
        <f t="shared" si="15"/>
        <v>0.14929698400772781</v>
      </c>
      <c r="G61" s="67" t="s">
        <v>775</v>
      </c>
    </row>
    <row r="62" spans="1:37" x14ac:dyDescent="0.25">
      <c r="A62" t="s">
        <v>748</v>
      </c>
      <c r="B62" s="67">
        <f t="shared" si="15"/>
        <v>4.2464083813080235E-3</v>
      </c>
      <c r="C62" s="67">
        <f t="shared" si="15"/>
        <v>4.2443273570109321E-3</v>
      </c>
      <c r="D62" s="67">
        <f t="shared" si="15"/>
        <v>4.1300734197349245E-3</v>
      </c>
      <c r="E62" s="67">
        <f t="shared" si="15"/>
        <v>4.1257813198374441E-3</v>
      </c>
      <c r="F62" s="67">
        <f t="shared" si="15"/>
        <v>4.300047778308648E-3</v>
      </c>
      <c r="G62" s="67">
        <f>AVERAGE(B62:F62)</f>
        <v>4.2093276512399939E-3</v>
      </c>
    </row>
    <row r="63" spans="1:37" x14ac:dyDescent="0.25">
      <c r="A63" t="s">
        <v>749</v>
      </c>
      <c r="B63" s="67">
        <f t="shared" si="15"/>
        <v>1.4901702154387287E-2</v>
      </c>
      <c r="C63" s="67">
        <f t="shared" si="15"/>
        <v>1.5122349353989251E-2</v>
      </c>
      <c r="D63" s="67">
        <f t="shared" si="15"/>
        <v>1.4291861322842389E-2</v>
      </c>
      <c r="E63" s="67">
        <f t="shared" si="15"/>
        <v>1.447295671122386E-2</v>
      </c>
      <c r="F63" s="67">
        <f t="shared" si="15"/>
        <v>1.4533168083097261E-2</v>
      </c>
      <c r="G63" s="67" t="s">
        <v>775</v>
      </c>
    </row>
    <row r="64" spans="1:37" x14ac:dyDescent="0.25">
      <c r="A64" t="s">
        <v>750</v>
      </c>
      <c r="B64" s="67">
        <f t="shared" si="15"/>
        <v>5.474452554744526E-4</v>
      </c>
      <c r="C64" s="67">
        <f t="shared" si="15"/>
        <v>5.5917986952469707E-4</v>
      </c>
      <c r="D64" s="67">
        <f t="shared" si="15"/>
        <v>5.6232427366447986E-4</v>
      </c>
      <c r="E64" s="67">
        <f t="shared" si="15"/>
        <v>5.7197330791229747E-4</v>
      </c>
      <c r="F64" s="67">
        <f t="shared" si="15"/>
        <v>5.6818181818181815E-4</v>
      </c>
      <c r="G64" s="67">
        <f t="shared" ref="G64:G65" si="16">AVERAGE(B64:F64)</f>
        <v>5.6182090495154901E-4</v>
      </c>
    </row>
    <row r="65" spans="1:37" x14ac:dyDescent="0.25">
      <c r="A65" t="s">
        <v>751</v>
      </c>
      <c r="B65" s="67">
        <f t="shared" si="15"/>
        <v>3.3377837116154872E-4</v>
      </c>
      <c r="C65" s="67">
        <f t="shared" si="15"/>
        <v>3.4940600978336826E-4</v>
      </c>
      <c r="D65" s="67">
        <f t="shared" si="15"/>
        <v>3.5574528637495552E-4</v>
      </c>
      <c r="E65" s="67">
        <f t="shared" si="15"/>
        <v>3.8299502106472615E-4</v>
      </c>
      <c r="F65" s="67">
        <f t="shared" si="15"/>
        <v>3.7735849056603772E-4</v>
      </c>
      <c r="G65" s="67">
        <f t="shared" si="16"/>
        <v>3.5985663579012728E-4</v>
      </c>
    </row>
    <row r="66" spans="1:37" x14ac:dyDescent="0.25">
      <c r="A66" t="s">
        <v>770</v>
      </c>
      <c r="B66" s="67">
        <f t="shared" si="15"/>
        <v>2.5629295051104212E-3</v>
      </c>
      <c r="C66" s="67">
        <f t="shared" si="15"/>
        <v>2.5937412537221202E-3</v>
      </c>
      <c r="D66" s="67">
        <f t="shared" si="15"/>
        <v>2.5418129723291686E-3</v>
      </c>
      <c r="E66" s="67">
        <f t="shared" si="15"/>
        <v>2.5583651460831382E-3</v>
      </c>
      <c r="F66" s="67">
        <f t="shared" si="15"/>
        <v>3.4073700151438669E-3</v>
      </c>
      <c r="G66" s="67">
        <f>AVERAGE(B66:F66)*J9/K9</f>
        <v>3.5319057097008325E-3</v>
      </c>
    </row>
    <row r="67" spans="1:37" x14ac:dyDescent="0.25">
      <c r="A67" t="s">
        <v>752</v>
      </c>
      <c r="B67" t="s">
        <v>775</v>
      </c>
      <c r="C67" t="s">
        <v>775</v>
      </c>
      <c r="D67" t="s">
        <v>775</v>
      </c>
      <c r="E67" t="s">
        <v>775</v>
      </c>
      <c r="F67" t="s">
        <v>775</v>
      </c>
      <c r="G67" t="s">
        <v>775</v>
      </c>
    </row>
    <row r="69" spans="1:37" x14ac:dyDescent="0.25">
      <c r="A69" s="56" t="s">
        <v>777</v>
      </c>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row>
    <row r="70" spans="1:37" x14ac:dyDescent="0.25">
      <c r="B70">
        <v>2011</v>
      </c>
      <c r="C70">
        <v>2012</v>
      </c>
      <c r="D70">
        <v>2013</v>
      </c>
      <c r="E70">
        <v>2014</v>
      </c>
      <c r="F70">
        <v>2015</v>
      </c>
      <c r="G70" t="s">
        <v>763</v>
      </c>
    </row>
    <row r="71" spans="1:37" x14ac:dyDescent="0.25">
      <c r="A71" t="s">
        <v>747</v>
      </c>
      <c r="B71" s="67">
        <f t="shared" ref="B71:F76" si="17">G51/G4</f>
        <v>2.0765935122846898E-3</v>
      </c>
      <c r="C71" s="67">
        <f t="shared" si="17"/>
        <v>2.1669646243025081E-3</v>
      </c>
      <c r="D71" s="67">
        <f t="shared" si="17"/>
        <v>2.1696915783421386E-3</v>
      </c>
      <c r="E71" s="67">
        <f t="shared" si="17"/>
        <v>2.1489432571532951E-3</v>
      </c>
      <c r="F71" s="67">
        <f t="shared" si="17"/>
        <v>2.1466137168616507E-3</v>
      </c>
      <c r="G71" s="67" t="s">
        <v>775</v>
      </c>
    </row>
    <row r="72" spans="1:37" x14ac:dyDescent="0.25">
      <c r="A72" t="s">
        <v>748</v>
      </c>
      <c r="B72" s="67">
        <f t="shared" si="17"/>
        <v>8.4279861003060011E-4</v>
      </c>
      <c r="C72" s="67">
        <f t="shared" si="17"/>
        <v>8.6212899439284561E-4</v>
      </c>
      <c r="D72" s="67">
        <f t="shared" si="17"/>
        <v>8.8745379267031433E-4</v>
      </c>
      <c r="E72" s="67">
        <f t="shared" si="17"/>
        <v>8.9391928596477949E-4</v>
      </c>
      <c r="F72" s="67">
        <f t="shared" si="17"/>
        <v>8.8731144631765753E-4</v>
      </c>
      <c r="G72" s="67">
        <f>AVERAGE(B72:F72)</f>
        <v>8.7472242587523946E-4</v>
      </c>
    </row>
    <row r="73" spans="1:37" x14ac:dyDescent="0.25">
      <c r="A73" t="s">
        <v>749</v>
      </c>
      <c r="B73" s="67">
        <f t="shared" si="17"/>
        <v>9.4215187488223099E-5</v>
      </c>
      <c r="C73" s="67">
        <f t="shared" si="17"/>
        <v>9.2397246562052449E-5</v>
      </c>
      <c r="D73" s="67">
        <f t="shared" si="17"/>
        <v>9.22055569215638E-5</v>
      </c>
      <c r="E73" s="67">
        <f t="shared" si="17"/>
        <v>9.7570494682408036E-5</v>
      </c>
      <c r="F73" s="67">
        <f t="shared" si="17"/>
        <v>1.0328139754485363E-4</v>
      </c>
      <c r="G73" s="67" t="s">
        <v>775</v>
      </c>
    </row>
    <row r="74" spans="1:37" x14ac:dyDescent="0.25">
      <c r="A74" t="s">
        <v>750</v>
      </c>
      <c r="B74" s="67">
        <f t="shared" si="17"/>
        <v>1.8248175182481751E-4</v>
      </c>
      <c r="C74" s="67">
        <f t="shared" si="17"/>
        <v>1.8639328984156571E-4</v>
      </c>
      <c r="D74" s="67">
        <f t="shared" si="17"/>
        <v>1.8744142455482662E-4</v>
      </c>
      <c r="E74" s="67">
        <f t="shared" si="17"/>
        <v>1.9065776930409913E-4</v>
      </c>
      <c r="F74" s="67">
        <f t="shared" si="17"/>
        <v>1.8939393939393939E-4</v>
      </c>
      <c r="G74" s="67">
        <f t="shared" ref="G74:G75" si="18">AVERAGE(B74:F74)</f>
        <v>1.8727363498384969E-4</v>
      </c>
    </row>
    <row r="75" spans="1:37" x14ac:dyDescent="0.25">
      <c r="A75" t="s">
        <v>751</v>
      </c>
      <c r="B75" s="67">
        <f t="shared" si="17"/>
        <v>0</v>
      </c>
      <c r="C75" s="67">
        <f t="shared" si="17"/>
        <v>0</v>
      </c>
      <c r="D75" s="67">
        <f t="shared" si="17"/>
        <v>0</v>
      </c>
      <c r="E75" s="67">
        <f t="shared" si="17"/>
        <v>0</v>
      </c>
      <c r="F75" s="67">
        <f t="shared" si="17"/>
        <v>0</v>
      </c>
      <c r="G75" s="67">
        <f t="shared" si="18"/>
        <v>0</v>
      </c>
    </row>
    <row r="76" spans="1:37" x14ac:dyDescent="0.25">
      <c r="A76" t="s">
        <v>770</v>
      </c>
      <c r="B76" s="67">
        <f t="shared" si="17"/>
        <v>1.0090273642167012E-4</v>
      </c>
      <c r="C76" s="67">
        <f t="shared" si="17"/>
        <v>1.0131801772352032E-4</v>
      </c>
      <c r="D76" s="67">
        <f t="shared" si="17"/>
        <v>9.9289569231608157E-5</v>
      </c>
      <c r="E76" s="67">
        <f t="shared" si="17"/>
        <v>9.7647524659661767E-5</v>
      </c>
      <c r="F76" s="67">
        <f t="shared" si="17"/>
        <v>1.2619888944977284E-4</v>
      </c>
      <c r="G76" s="67">
        <f>AVERAGE(B76:F76)*J9/K9</f>
        <v>1.3579337943649236E-4</v>
      </c>
      <c r="H76" t="s">
        <v>781</v>
      </c>
    </row>
    <row r="77" spans="1:37" x14ac:dyDescent="0.25">
      <c r="A77" t="s">
        <v>752</v>
      </c>
      <c r="B77" t="s">
        <v>775</v>
      </c>
      <c r="C77" t="s">
        <v>775</v>
      </c>
      <c r="D77" t="s">
        <v>775</v>
      </c>
      <c r="E77" t="s">
        <v>775</v>
      </c>
      <c r="F77" t="s">
        <v>775</v>
      </c>
      <c r="G77" t="s">
        <v>775</v>
      </c>
    </row>
    <row r="79" spans="1:37" x14ac:dyDescent="0.25">
      <c r="A79" s="56" t="s">
        <v>778</v>
      </c>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row>
    <row r="80" spans="1:37" x14ac:dyDescent="0.25">
      <c r="B80">
        <v>2015</v>
      </c>
      <c r="C80">
        <v>2016</v>
      </c>
      <c r="D80">
        <v>2017</v>
      </c>
      <c r="E80">
        <v>2018</v>
      </c>
      <c r="F80">
        <v>2019</v>
      </c>
      <c r="G80">
        <v>2020</v>
      </c>
      <c r="H80">
        <v>2021</v>
      </c>
      <c r="I80">
        <v>2022</v>
      </c>
      <c r="J80">
        <v>2023</v>
      </c>
      <c r="K80">
        <v>2024</v>
      </c>
      <c r="L80">
        <v>2025</v>
      </c>
      <c r="M80">
        <v>2026</v>
      </c>
      <c r="N80">
        <v>2027</v>
      </c>
      <c r="O80">
        <v>2028</v>
      </c>
      <c r="P80">
        <v>2029</v>
      </c>
      <c r="Q80">
        <v>2030</v>
      </c>
      <c r="R80">
        <v>2031</v>
      </c>
      <c r="S80">
        <v>2032</v>
      </c>
      <c r="T80">
        <v>2033</v>
      </c>
      <c r="U80">
        <v>2034</v>
      </c>
      <c r="V80">
        <v>2035</v>
      </c>
      <c r="W80">
        <v>2036</v>
      </c>
      <c r="X80">
        <v>2037</v>
      </c>
      <c r="Y80">
        <v>2038</v>
      </c>
      <c r="Z80">
        <v>2039</v>
      </c>
      <c r="AA80">
        <v>2040</v>
      </c>
      <c r="AB80">
        <v>2041</v>
      </c>
      <c r="AC80">
        <v>2042</v>
      </c>
      <c r="AD80">
        <v>2043</v>
      </c>
      <c r="AE80">
        <v>2044</v>
      </c>
      <c r="AF80">
        <v>2045</v>
      </c>
      <c r="AG80">
        <v>2046</v>
      </c>
      <c r="AH80">
        <v>2047</v>
      </c>
      <c r="AI80">
        <v>2048</v>
      </c>
      <c r="AJ80">
        <v>2049</v>
      </c>
      <c r="AK80">
        <v>2050</v>
      </c>
    </row>
    <row r="81" spans="1:37" x14ac:dyDescent="0.25">
      <c r="A81" t="s">
        <v>747</v>
      </c>
      <c r="B81" s="67">
        <f>K41/K4</f>
        <v>0.14929698400772781</v>
      </c>
      <c r="C81" s="67">
        <f>B81*(1+($K$41/$K$4-$B$41/$B$4)/($B$41/$B$4)/10)</f>
        <v>0.15271520105096625</v>
      </c>
      <c r="D81" s="67">
        <f t="shared" ref="D81:AK81" si="19">C81*(1+($K$41/$K$4-$B$41/$B$4)/($B$41/$B$4)/10)</f>
        <v>0.15621167960653423</v>
      </c>
      <c r="E81" s="67">
        <f t="shared" si="19"/>
        <v>0.15978821150456854</v>
      </c>
      <c r="F81" s="67">
        <f t="shared" si="19"/>
        <v>0.16344662959990816</v>
      </c>
      <c r="G81" s="67">
        <f t="shared" si="19"/>
        <v>0.16718880871137209</v>
      </c>
      <c r="H81" s="67">
        <f t="shared" si="19"/>
        <v>0.17101666658254222</v>
      </c>
      <c r="I81" s="67">
        <f t="shared" si="19"/>
        <v>0.17493216486454377</v>
      </c>
      <c r="J81" s="67">
        <f t="shared" si="19"/>
        <v>0.17893731012132691</v>
      </c>
      <c r="K81" s="67">
        <f t="shared" si="19"/>
        <v>0.18303415485796473</v>
      </c>
      <c r="L81" s="67">
        <f t="shared" si="19"/>
        <v>0.18722479857249449</v>
      </c>
      <c r="M81" s="67">
        <f t="shared" si="19"/>
        <v>0.19151138883184129</v>
      </c>
      <c r="N81" s="67">
        <f t="shared" si="19"/>
        <v>0.19589612237237536</v>
      </c>
      <c r="O81" s="67">
        <f t="shared" si="19"/>
        <v>0.20038124622566708</v>
      </c>
      <c r="P81" s="67">
        <f t="shared" si="19"/>
        <v>0.20496905887001679</v>
      </c>
      <c r="Q81" s="67">
        <f t="shared" si="19"/>
        <v>0.20966191140834917</v>
      </c>
      <c r="R81" s="67">
        <f t="shared" si="19"/>
        <v>0.21446220877307604</v>
      </c>
      <c r="S81" s="67">
        <f t="shared" si="19"/>
        <v>0.21937241095854512</v>
      </c>
      <c r="T81" s="67">
        <f t="shared" si="19"/>
        <v>0.2243950342817061</v>
      </c>
      <c r="U81" s="67">
        <f t="shared" si="19"/>
        <v>0.22953265267164019</v>
      </c>
      <c r="V81" s="67">
        <f t="shared" si="19"/>
        <v>0.23478789898861413</v>
      </c>
      <c r="W81" s="67">
        <f t="shared" si="19"/>
        <v>0.24016346637333424</v>
      </c>
      <c r="X81" s="67">
        <f t="shared" si="19"/>
        <v>0.24566210962709253</v>
      </c>
      <c r="Y81" s="67">
        <f t="shared" si="19"/>
        <v>0.25128664662351147</v>
      </c>
      <c r="Z81" s="67">
        <f t="shared" si="19"/>
        <v>0.25703995975261162</v>
      </c>
      <c r="AA81" s="67">
        <f t="shared" si="19"/>
        <v>0.26292499739794156</v>
      </c>
      <c r="AB81" s="67">
        <f t="shared" si="19"/>
        <v>0.26894477544752726</v>
      </c>
      <c r="AC81" s="67">
        <f t="shared" si="19"/>
        <v>0.27510237883941552</v>
      </c>
      <c r="AD81" s="67">
        <f t="shared" si="19"/>
        <v>0.2814009631426031</v>
      </c>
      <c r="AE81" s="67">
        <f t="shared" si="19"/>
        <v>0.28784375617416202</v>
      </c>
      <c r="AF81" s="67">
        <f t="shared" si="19"/>
        <v>0.29443405965338942</v>
      </c>
      <c r="AG81" s="67">
        <f t="shared" si="19"/>
        <v>0.30117525089383002</v>
      </c>
      <c r="AH81" s="67">
        <f t="shared" si="19"/>
        <v>0.30807078453403813</v>
      </c>
      <c r="AI81" s="67">
        <f t="shared" si="19"/>
        <v>0.31512419430796618</v>
      </c>
      <c r="AJ81" s="67">
        <f t="shared" si="19"/>
        <v>0.32233909485588691</v>
      </c>
      <c r="AK81" s="67">
        <f t="shared" si="19"/>
        <v>0.32971918357677765</v>
      </c>
    </row>
    <row r="82" spans="1:37" x14ac:dyDescent="0.25">
      <c r="A82" t="s">
        <v>749</v>
      </c>
      <c r="B82" s="67">
        <f>K43/K6</f>
        <v>1.4533168083097261E-2</v>
      </c>
      <c r="C82" s="67">
        <f>B82*(1+($K$43/$K$6-$B$43/$B$6)/($B$43/$B$6)/10)</f>
        <v>1.449401707962557E-2</v>
      </c>
      <c r="D82" s="67">
        <f t="shared" ref="D82:AK82" si="20">C82*(1+($K$43/$K$6-$B$43/$B$6)/($B$43/$B$6)/10)</f>
        <v>1.4454971545316836E-2</v>
      </c>
      <c r="E82" s="67">
        <f t="shared" si="20"/>
        <v>1.4416031196046942E-2</v>
      </c>
      <c r="F82" s="67">
        <f t="shared" si="20"/>
        <v>1.4377195748457172E-2</v>
      </c>
      <c r="G82" s="67">
        <f t="shared" si="20"/>
        <v>1.4338464919952155E-2</v>
      </c>
      <c r="H82" s="67">
        <f t="shared" si="20"/>
        <v>1.4299838428697805E-2</v>
      </c>
      <c r="I82" s="67">
        <f t="shared" si="20"/>
        <v>1.4261315993619269E-2</v>
      </c>
      <c r="J82" s="67">
        <f t="shared" si="20"/>
        <v>1.4222897334398885E-2</v>
      </c>
      <c r="K82" s="67">
        <f t="shared" si="20"/>
        <v>1.4184582171474142E-2</v>
      </c>
      <c r="L82" s="67">
        <f t="shared" si="20"/>
        <v>1.4146370226035642E-2</v>
      </c>
      <c r="M82" s="67">
        <f t="shared" si="20"/>
        <v>1.4108261220025075E-2</v>
      </c>
      <c r="N82" s="67">
        <f t="shared" si="20"/>
        <v>1.4070254876133193E-2</v>
      </c>
      <c r="O82" s="67">
        <f t="shared" si="20"/>
        <v>1.4032350917797795E-2</v>
      </c>
      <c r="P82" s="67">
        <f t="shared" si="20"/>
        <v>1.3994549069201711E-2</v>
      </c>
      <c r="Q82" s="67">
        <f t="shared" si="20"/>
        <v>1.3956849055270799E-2</v>
      </c>
      <c r="R82" s="67">
        <f t="shared" si="20"/>
        <v>1.3919250601671939E-2</v>
      </c>
      <c r="S82" s="67">
        <f t="shared" si="20"/>
        <v>1.388175343481104E-2</v>
      </c>
      <c r="T82" s="67">
        <f t="shared" si="20"/>
        <v>1.3844357281831048E-2</v>
      </c>
      <c r="U82" s="67">
        <f t="shared" si="20"/>
        <v>1.3807061870609962E-2</v>
      </c>
      <c r="V82" s="67">
        <f t="shared" si="20"/>
        <v>1.3769866929758848E-2</v>
      </c>
      <c r="W82" s="67">
        <f t="shared" si="20"/>
        <v>1.3732772188619874E-2</v>
      </c>
      <c r="X82" s="67">
        <f t="shared" si="20"/>
        <v>1.369577737726433E-2</v>
      </c>
      <c r="Y82" s="67">
        <f t="shared" si="20"/>
        <v>1.3658882226490672E-2</v>
      </c>
      <c r="Z82" s="67">
        <f t="shared" si="20"/>
        <v>1.362208646782256E-2</v>
      </c>
      <c r="AA82" s="67">
        <f t="shared" si="20"/>
        <v>1.3585389833506904E-2</v>
      </c>
      <c r="AB82" s="67">
        <f t="shared" si="20"/>
        <v>1.3548792056511914E-2</v>
      </c>
      <c r="AC82" s="67">
        <f t="shared" si="20"/>
        <v>1.3512292870525161E-2</v>
      </c>
      <c r="AD82" s="67">
        <f t="shared" si="20"/>
        <v>1.3475892009951636E-2</v>
      </c>
      <c r="AE82" s="67">
        <f t="shared" si="20"/>
        <v>1.3439589209911819E-2</v>
      </c>
      <c r="AF82" s="67">
        <f t="shared" si="20"/>
        <v>1.3403384206239748E-2</v>
      </c>
      <c r="AG82" s="67">
        <f t="shared" si="20"/>
        <v>1.3367276735481104E-2</v>
      </c>
      <c r="AH82" s="67">
        <f t="shared" si="20"/>
        <v>1.3331266534891285E-2</v>
      </c>
      <c r="AI82" s="67">
        <f t="shared" si="20"/>
        <v>1.3295353342433505E-2</v>
      </c>
      <c r="AJ82" s="67">
        <f t="shared" si="20"/>
        <v>1.3259536896776872E-2</v>
      </c>
      <c r="AK82" s="67">
        <f t="shared" si="20"/>
        <v>1.3223816937294502E-2</v>
      </c>
    </row>
    <row r="84" spans="1:37" x14ac:dyDescent="0.25">
      <c r="A84" s="56" t="s">
        <v>779</v>
      </c>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row>
    <row r="85" spans="1:37" x14ac:dyDescent="0.25">
      <c r="B85">
        <v>2015</v>
      </c>
      <c r="C85">
        <v>2016</v>
      </c>
      <c r="D85">
        <v>2017</v>
      </c>
      <c r="E85">
        <v>2018</v>
      </c>
      <c r="F85">
        <v>2019</v>
      </c>
      <c r="G85">
        <v>2020</v>
      </c>
      <c r="H85">
        <v>2021</v>
      </c>
      <c r="I85">
        <v>2022</v>
      </c>
      <c r="J85">
        <v>2023</v>
      </c>
      <c r="K85">
        <v>2024</v>
      </c>
      <c r="L85">
        <v>2025</v>
      </c>
      <c r="M85">
        <v>2026</v>
      </c>
      <c r="N85">
        <v>2027</v>
      </c>
      <c r="O85">
        <v>2028</v>
      </c>
      <c r="P85">
        <v>2029</v>
      </c>
      <c r="Q85">
        <v>2030</v>
      </c>
      <c r="R85">
        <v>2031</v>
      </c>
      <c r="S85">
        <v>2032</v>
      </c>
      <c r="T85">
        <v>2033</v>
      </c>
      <c r="U85">
        <v>2034</v>
      </c>
      <c r="V85">
        <v>2035</v>
      </c>
      <c r="W85">
        <v>2036</v>
      </c>
      <c r="X85">
        <v>2037</v>
      </c>
      <c r="Y85">
        <v>2038</v>
      </c>
      <c r="Z85">
        <v>2039</v>
      </c>
      <c r="AA85">
        <v>2040</v>
      </c>
      <c r="AB85">
        <v>2041</v>
      </c>
      <c r="AC85">
        <v>2042</v>
      </c>
      <c r="AD85">
        <v>2043</v>
      </c>
      <c r="AE85">
        <v>2044</v>
      </c>
      <c r="AF85">
        <v>2045</v>
      </c>
      <c r="AG85">
        <v>2046</v>
      </c>
      <c r="AH85">
        <v>2047</v>
      </c>
      <c r="AI85">
        <v>2048</v>
      </c>
      <c r="AJ85">
        <v>2049</v>
      </c>
      <c r="AK85">
        <v>2050</v>
      </c>
    </row>
    <row r="86" spans="1:37" x14ac:dyDescent="0.25">
      <c r="A86" t="s">
        <v>747</v>
      </c>
      <c r="B86" s="67">
        <f>K51/K4</f>
        <v>2.1466137168616507E-3</v>
      </c>
      <c r="C86" s="67">
        <f>B86*(1+($K$51/$K$4-$B$51/$B$4)/($B$51/$B$4)/10)</f>
        <v>2.1517515816127527E-3</v>
      </c>
      <c r="D86" s="67">
        <f t="shared" ref="D86:AK86" si="21">C86*(1+($K$51/$K$4-$B$51/$B$4)/($B$51/$B$4)/10)</f>
        <v>2.1569017437110638E-3</v>
      </c>
      <c r="E86" s="67">
        <f t="shared" si="21"/>
        <v>2.162064232589969E-3</v>
      </c>
      <c r="F86" s="67">
        <f t="shared" si="21"/>
        <v>2.1672390777533004E-3</v>
      </c>
      <c r="G86" s="67">
        <f t="shared" si="21"/>
        <v>2.1724263087755072E-3</v>
      </c>
      <c r="H86" s="67">
        <f t="shared" si="21"/>
        <v>2.1776259553018241E-3</v>
      </c>
      <c r="I86" s="67">
        <f t="shared" si="21"/>
        <v>2.1828380470484414E-3</v>
      </c>
      <c r="J86" s="67">
        <f t="shared" si="21"/>
        <v>2.1880626138026738E-3</v>
      </c>
      <c r="K86" s="67">
        <f t="shared" si="21"/>
        <v>2.1932996854231311E-3</v>
      </c>
      <c r="L86" s="67">
        <f t="shared" si="21"/>
        <v>2.1985492918398897E-3</v>
      </c>
      <c r="M86" s="67">
        <f t="shared" si="21"/>
        <v>2.2038114630546619E-3</v>
      </c>
      <c r="N86" s="67">
        <f t="shared" si="21"/>
        <v>2.2090862291409686E-3</v>
      </c>
      <c r="O86" s="67">
        <f t="shared" si="21"/>
        <v>2.2143736202443116E-3</v>
      </c>
      <c r="P86" s="67">
        <f t="shared" si="21"/>
        <v>2.2196736665823441E-3</v>
      </c>
      <c r="Q86" s="67">
        <f t="shared" si="21"/>
        <v>2.2249863984450456E-3</v>
      </c>
      <c r="R86" s="67">
        <f t="shared" si="21"/>
        <v>2.2303118461948928E-3</v>
      </c>
      <c r="S86" s="67">
        <f t="shared" si="21"/>
        <v>2.235650040267035E-3</v>
      </c>
      <c r="T86" s="67">
        <f t="shared" si="21"/>
        <v>2.2410010111694667E-3</v>
      </c>
      <c r="U86" s="67">
        <f t="shared" si="21"/>
        <v>2.246364789483203E-3</v>
      </c>
      <c r="V86" s="67">
        <f t="shared" si="21"/>
        <v>2.2517414058624537E-3</v>
      </c>
      <c r="W86" s="67">
        <f t="shared" si="21"/>
        <v>2.2571308910347984E-3</v>
      </c>
      <c r="X86" s="67">
        <f t="shared" si="21"/>
        <v>2.2625332758013624E-3</v>
      </c>
      <c r="Y86" s="67">
        <f t="shared" si="21"/>
        <v>2.2679485910369933E-3</v>
      </c>
      <c r="Z86" s="67">
        <f t="shared" si="21"/>
        <v>2.2733768676904361E-3</v>
      </c>
      <c r="AA86" s="67">
        <f t="shared" si="21"/>
        <v>2.2788181367845114E-3</v>
      </c>
      <c r="AB86" s="67">
        <f t="shared" si="21"/>
        <v>2.2842724294162915E-3</v>
      </c>
      <c r="AC86" s="67">
        <f t="shared" si="21"/>
        <v>2.2897397767572794E-3</v>
      </c>
      <c r="AD86" s="67">
        <f t="shared" si="21"/>
        <v>2.2952202100535862E-3</v>
      </c>
      <c r="AE86" s="67">
        <f t="shared" si="21"/>
        <v>2.3007137606261092E-3</v>
      </c>
      <c r="AF86" s="67">
        <f t="shared" si="21"/>
        <v>2.3062204598707121E-3</v>
      </c>
      <c r="AG86" s="67">
        <f t="shared" si="21"/>
        <v>2.3117403392584031E-3</v>
      </c>
      <c r="AH86" s="67">
        <f t="shared" si="21"/>
        <v>2.3172734303355163E-3</v>
      </c>
      <c r="AI86" s="67">
        <f t="shared" si="21"/>
        <v>2.3228197647238904E-3</v>
      </c>
      <c r="AJ86" s="67">
        <f t="shared" si="21"/>
        <v>2.3283793741210508E-3</v>
      </c>
      <c r="AK86" s="67">
        <f t="shared" si="21"/>
        <v>2.3339522903003899E-3</v>
      </c>
    </row>
    <row r="87" spans="1:37" x14ac:dyDescent="0.25">
      <c r="A87" t="s">
        <v>749</v>
      </c>
      <c r="B87" s="67">
        <f>K53/K6</f>
        <v>1.0328139754485363E-4</v>
      </c>
      <c r="C87" s="67">
        <f>B87*(1+($K$53/$K$6-$B$53/$B$6)/($B$53/$B$6)/10)</f>
        <v>1.0367826249164794E-4</v>
      </c>
      <c r="D87" s="67">
        <f t="shared" ref="D87:AK87" si="22">C87*(1+($K$53/$K$6-$B$53/$B$6)/($B$53/$B$6)/10)</f>
        <v>1.0407665241573476E-4</v>
      </c>
      <c r="E87" s="67">
        <f t="shared" si="22"/>
        <v>1.0447657317693051E-4</v>
      </c>
      <c r="F87" s="67">
        <f t="shared" si="22"/>
        <v>1.0487803065756837E-4</v>
      </c>
      <c r="G87" s="67">
        <f t="shared" si="22"/>
        <v>1.0528103076258468E-4</v>
      </c>
      <c r="H87" s="67">
        <f t="shared" si="22"/>
        <v>1.0568557941960588E-4</v>
      </c>
      <c r="I87" s="67">
        <f t="shared" si="22"/>
        <v>1.0609168257903565E-4</v>
      </c>
      <c r="J87" s="67">
        <f t="shared" si="22"/>
        <v>1.0649934621414246E-4</v>
      </c>
      <c r="K87" s="67">
        <f t="shared" si="22"/>
        <v>1.0690857632114744E-4</v>
      </c>
      <c r="L87" s="67">
        <f t="shared" si="22"/>
        <v>1.0731937891931252E-4</v>
      </c>
      <c r="M87" s="67">
        <f t="shared" si="22"/>
        <v>1.0773176005102905E-4</v>
      </c>
      <c r="N87" s="67">
        <f t="shared" si="22"/>
        <v>1.0814572578190658E-4</v>
      </c>
      <c r="O87" s="67">
        <f t="shared" si="22"/>
        <v>1.0856128220086217E-4</v>
      </c>
      <c r="P87" s="67">
        <f t="shared" si="22"/>
        <v>1.0897843542020988E-4</v>
      </c>
      <c r="Q87" s="67">
        <f t="shared" si="22"/>
        <v>1.0939719157575073E-4</v>
      </c>
      <c r="R87" s="67">
        <f t="shared" si="22"/>
        <v>1.0981755682686288E-4</v>
      </c>
      <c r="S87" s="67">
        <f t="shared" si="22"/>
        <v>1.1023953735659231E-4</v>
      </c>
      <c r="T87" s="67">
        <f t="shared" si="22"/>
        <v>1.1066313937174371E-4</v>
      </c>
      <c r="U87" s="67">
        <f t="shared" si="22"/>
        <v>1.1108836910297178E-4</v>
      </c>
      <c r="V87" s="67">
        <f t="shared" si="22"/>
        <v>1.1151523280487291E-4</v>
      </c>
      <c r="W87" s="67">
        <f t="shared" si="22"/>
        <v>1.1194373675607709E-4</v>
      </c>
      <c r="X87" s="67">
        <f t="shared" si="22"/>
        <v>1.123738872593404E-4</v>
      </c>
      <c r="Y87" s="67">
        <f t="shared" si="22"/>
        <v>1.1280569064163758E-4</v>
      </c>
      <c r="Z87" s="67">
        <f t="shared" si="22"/>
        <v>1.1323915325425517E-4</v>
      </c>
      <c r="AA87" s="67">
        <f t="shared" si="22"/>
        <v>1.1367428147288491E-4</v>
      </c>
      <c r="AB87" s="67">
        <f t="shared" si="22"/>
        <v>1.1411108169771751E-4</v>
      </c>
      <c r="AC87" s="67">
        <f t="shared" si="22"/>
        <v>1.1454956035353681E-4</v>
      </c>
      <c r="AD87" s="67">
        <f t="shared" si="22"/>
        <v>1.1498972388981424E-4</v>
      </c>
      <c r="AE87" s="67">
        <f t="shared" si="22"/>
        <v>1.1543157878080373E-4</v>
      </c>
      <c r="AF87" s="67">
        <f t="shared" si="22"/>
        <v>1.1587513152563691E-4</v>
      </c>
      <c r="AG87" s="67">
        <f t="shared" si="22"/>
        <v>1.1632038864841872E-4</v>
      </c>
      <c r="AH87" s="67">
        <f t="shared" si="22"/>
        <v>1.1676735669832335E-4</v>
      </c>
      <c r="AI87" s="67">
        <f t="shared" si="22"/>
        <v>1.1721604224969059E-4</v>
      </c>
      <c r="AJ87" s="67">
        <f t="shared" si="22"/>
        <v>1.1766645190212253E-4</v>
      </c>
      <c r="AK87" s="67">
        <f t="shared" si="22"/>
        <v>1.1811859228058061E-4</v>
      </c>
    </row>
    <row r="89" spans="1:37" x14ac:dyDescent="0.25">
      <c r="A89" s="56" t="s">
        <v>780</v>
      </c>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row>
    <row r="90" spans="1:37" x14ac:dyDescent="0.25">
      <c r="B90">
        <v>2015</v>
      </c>
      <c r="C90">
        <v>2016</v>
      </c>
      <c r="D90">
        <v>2017</v>
      </c>
      <c r="E90">
        <v>2018</v>
      </c>
      <c r="F90">
        <v>2019</v>
      </c>
      <c r="G90">
        <v>2020</v>
      </c>
      <c r="H90">
        <v>2021</v>
      </c>
      <c r="I90">
        <v>2022</v>
      </c>
      <c r="J90">
        <v>2023</v>
      </c>
      <c r="K90">
        <v>2024</v>
      </c>
      <c r="L90">
        <v>2025</v>
      </c>
      <c r="M90">
        <v>2026</v>
      </c>
      <c r="N90">
        <v>2027</v>
      </c>
      <c r="O90">
        <v>2028</v>
      </c>
      <c r="P90">
        <v>2029</v>
      </c>
      <c r="Q90">
        <v>2030</v>
      </c>
      <c r="R90">
        <v>2031</v>
      </c>
      <c r="S90">
        <v>2032</v>
      </c>
      <c r="T90">
        <v>2033</v>
      </c>
      <c r="U90">
        <v>2034</v>
      </c>
      <c r="V90">
        <v>2035</v>
      </c>
      <c r="W90">
        <v>2036</v>
      </c>
      <c r="X90">
        <v>2037</v>
      </c>
      <c r="Y90">
        <v>2038</v>
      </c>
      <c r="Z90">
        <v>2039</v>
      </c>
      <c r="AA90">
        <v>2040</v>
      </c>
      <c r="AB90">
        <v>2041</v>
      </c>
      <c r="AC90">
        <v>2042</v>
      </c>
      <c r="AD90">
        <v>2043</v>
      </c>
      <c r="AE90">
        <v>2044</v>
      </c>
      <c r="AF90">
        <v>2045</v>
      </c>
      <c r="AG90">
        <v>2046</v>
      </c>
      <c r="AH90">
        <v>2047</v>
      </c>
      <c r="AI90">
        <v>2048</v>
      </c>
      <c r="AJ90">
        <v>2049</v>
      </c>
      <c r="AK90">
        <v>2050</v>
      </c>
    </row>
    <row r="91" spans="1:37" x14ac:dyDescent="0.25">
      <c r="A91" t="s">
        <v>747</v>
      </c>
      <c r="B91" s="66">
        <f>B81*K4</f>
        <v>1391</v>
      </c>
      <c r="C91" s="66">
        <f t="shared" ref="C91:AK91" si="23">C81*L4</f>
        <v>1424.8328258055151</v>
      </c>
      <c r="D91" s="66">
        <f t="shared" si="23"/>
        <v>1463.7034379132258</v>
      </c>
      <c r="E91" s="66">
        <f t="shared" si="23"/>
        <v>1502.0091881429444</v>
      </c>
      <c r="F91" s="66">
        <f t="shared" si="23"/>
        <v>1540.4844839791344</v>
      </c>
      <c r="G91" s="66">
        <f t="shared" si="23"/>
        <v>1578.2623542353526</v>
      </c>
      <c r="H91" s="66">
        <f t="shared" si="23"/>
        <v>1616.1074992050239</v>
      </c>
      <c r="I91" s="66">
        <f t="shared" si="23"/>
        <v>1653.9836187942612</v>
      </c>
      <c r="J91" s="66">
        <f t="shared" si="23"/>
        <v>1690.9575806465393</v>
      </c>
      <c r="K91" s="66">
        <f t="shared" si="23"/>
        <v>1728.7575926334769</v>
      </c>
      <c r="L91" s="66">
        <f t="shared" si="23"/>
        <v>1765.5298505386231</v>
      </c>
      <c r="M91" s="66">
        <f t="shared" si="23"/>
        <v>1803.0797258517857</v>
      </c>
      <c r="N91" s="66">
        <f t="shared" si="23"/>
        <v>1846.1256058159838</v>
      </c>
      <c r="O91" s="66">
        <f t="shared" si="23"/>
        <v>1890.1991429355066</v>
      </c>
      <c r="P91" s="66">
        <f t="shared" si="23"/>
        <v>1935.3248710154419</v>
      </c>
      <c r="Q91" s="66">
        <f t="shared" si="23"/>
        <v>1981.5279095694375</v>
      </c>
      <c r="R91" s="66">
        <f t="shared" si="23"/>
        <v>2028.8339778026323</v>
      </c>
      <c r="S91" s="66">
        <f t="shared" si="23"/>
        <v>2077.2694089284091</v>
      </c>
      <c r="T91" s="66">
        <f t="shared" si="23"/>
        <v>2126.8611648269407</v>
      </c>
      <c r="U91" s="66">
        <f t="shared" si="23"/>
        <v>2177.6368510536854</v>
      </c>
      <c r="V91" s="66">
        <f t="shared" si="23"/>
        <v>2229.624732206189</v>
      </c>
      <c r="W91" s="66">
        <f t="shared" si="23"/>
        <v>2282.8537476577471</v>
      </c>
      <c r="X91" s="66">
        <f t="shared" si="23"/>
        <v>2337.353527666683</v>
      </c>
      <c r="Y91" s="66">
        <f t="shared" si="23"/>
        <v>2393.1544098702166</v>
      </c>
      <c r="Z91" s="66">
        <f t="shared" si="23"/>
        <v>2450.2874561720932</v>
      </c>
      <c r="AA91" s="66">
        <f t="shared" si="23"/>
        <v>2508.784470033384</v>
      </c>
      <c r="AB91" s="66">
        <f t="shared" si="23"/>
        <v>2568.6780141760792</v>
      </c>
      <c r="AC91" s="66">
        <f t="shared" si="23"/>
        <v>2630.001428709324</v>
      </c>
      <c r="AD91" s="66">
        <f t="shared" si="23"/>
        <v>2692.7888496883993</v>
      </c>
      <c r="AE91" s="66">
        <f t="shared" si="23"/>
        <v>2757.0752281167629</v>
      </c>
      <c r="AF91" s="66">
        <f t="shared" si="23"/>
        <v>2822.8963494017426</v>
      </c>
      <c r="AG91" s="66">
        <f t="shared" si="23"/>
        <v>2890.2888532747011</v>
      </c>
      <c r="AH91" s="66">
        <f t="shared" si="23"/>
        <v>2959.2902541867702</v>
      </c>
      <c r="AI91" s="66">
        <f t="shared" si="23"/>
        <v>3029.9389621914975</v>
      </c>
      <c r="AJ91" s="66">
        <f t="shared" si="23"/>
        <v>3102.274304326038</v>
      </c>
      <c r="AK91" s="66">
        <f t="shared" si="23"/>
        <v>3176.3365465027946</v>
      </c>
    </row>
    <row r="92" spans="1:37" x14ac:dyDescent="0.25">
      <c r="A92" t="s">
        <v>748</v>
      </c>
      <c r="B92" s="66">
        <f>$G$62*K5</f>
        <v>123.3417188366343</v>
      </c>
      <c r="C92" s="66">
        <f t="shared" ref="C92:AK92" si="24">$G$62*L5</f>
        <v>127.67311698976026</v>
      </c>
      <c r="D92" s="66">
        <f t="shared" si="24"/>
        <v>130.25343483997037</v>
      </c>
      <c r="E92" s="66">
        <f t="shared" si="24"/>
        <v>128.87277537036366</v>
      </c>
      <c r="F92" s="66">
        <f t="shared" si="24"/>
        <v>130.99848583423986</v>
      </c>
      <c r="G92" s="66">
        <f t="shared" si="24"/>
        <v>131.86981665804652</v>
      </c>
      <c r="H92" s="66">
        <f t="shared" si="24"/>
        <v>133.79347939466319</v>
      </c>
      <c r="I92" s="66">
        <f t="shared" si="24"/>
        <v>133.30098805946812</v>
      </c>
      <c r="J92" s="66">
        <f t="shared" si="24"/>
        <v>133.2252201617458</v>
      </c>
      <c r="K92" s="66">
        <f t="shared" si="24"/>
        <v>132.29074942317052</v>
      </c>
      <c r="L92" s="66">
        <f t="shared" si="24"/>
        <v>132.02135245349118</v>
      </c>
      <c r="M92" s="66">
        <f t="shared" si="24"/>
        <v>131.52465179064484</v>
      </c>
      <c r="N92" s="66">
        <f t="shared" si="24"/>
        <v>132.31790798501262</v>
      </c>
      <c r="O92" s="66">
        <f t="shared" si="24"/>
        <v>133.11594849457407</v>
      </c>
      <c r="P92" s="66">
        <f t="shared" si="24"/>
        <v>133.91880217466246</v>
      </c>
      <c r="Q92" s="66">
        <f t="shared" si="24"/>
        <v>134.7264980546444</v>
      </c>
      <c r="R92" s="66">
        <f t="shared" si="24"/>
        <v>135.53906533896949</v>
      </c>
      <c r="S92" s="66">
        <f t="shared" si="24"/>
        <v>136.35653340822617</v>
      </c>
      <c r="T92" s="66">
        <f t="shared" si="24"/>
        <v>137.17893182020421</v>
      </c>
      <c r="U92" s="66">
        <f t="shared" si="24"/>
        <v>138.00629031096341</v>
      </c>
      <c r="V92" s="66">
        <f t="shared" si="24"/>
        <v>138.83863879590862</v>
      </c>
      <c r="W92" s="66">
        <f t="shared" si="24"/>
        <v>139.6760073708717</v>
      </c>
      <c r="X92" s="66">
        <f t="shared" si="24"/>
        <v>140.51842631319946</v>
      </c>
      <c r="Y92" s="66">
        <f t="shared" si="24"/>
        <v>141.3659260828486</v>
      </c>
      <c r="Z92" s="66">
        <f t="shared" si="24"/>
        <v>142.21853732348703</v>
      </c>
      <c r="AA92" s="66">
        <f t="shared" si="24"/>
        <v>143.07629086360174</v>
      </c>
      <c r="AB92" s="66">
        <f t="shared" si="24"/>
        <v>143.9392177176137</v>
      </c>
      <c r="AC92" s="66">
        <f t="shared" si="24"/>
        <v>144.8073490869991</v>
      </c>
      <c r="AD92" s="66">
        <f t="shared" si="24"/>
        <v>145.68071636141761</v>
      </c>
      <c r="AE92" s="66">
        <f t="shared" si="24"/>
        <v>146.55935111984738</v>
      </c>
      <c r="AF92" s="66">
        <f t="shared" si="24"/>
        <v>147.44328513172675</v>
      </c>
      <c r="AG92" s="66">
        <f t="shared" si="24"/>
        <v>148.33255035810308</v>
      </c>
      <c r="AH92" s="66">
        <f t="shared" si="24"/>
        <v>149.22717895278836</v>
      </c>
      <c r="AI92" s="66">
        <f t="shared" si="24"/>
        <v>150.12720326352178</v>
      </c>
      <c r="AJ92" s="66">
        <f t="shared" si="24"/>
        <v>151.03265583313936</v>
      </c>
      <c r="AK92" s="66">
        <f t="shared" si="24"/>
        <v>151.9435694007507</v>
      </c>
    </row>
    <row r="93" spans="1:37" x14ac:dyDescent="0.25">
      <c r="A93" t="s">
        <v>749</v>
      </c>
      <c r="B93" s="66">
        <f>$B$82*K6</f>
        <v>985</v>
      </c>
      <c r="C93" s="66">
        <f t="shared" ref="C93:AK93" si="25">$B$82*L6</f>
        <v>1001.6114111189801</v>
      </c>
      <c r="D93" s="66">
        <f t="shared" si="25"/>
        <v>1016.231778210576</v>
      </c>
      <c r="E93" s="66">
        <f t="shared" si="25"/>
        <v>1015.8684490084985</v>
      </c>
      <c r="F93" s="66">
        <f t="shared" si="25"/>
        <v>1023.556494924457</v>
      </c>
      <c r="G93" s="66">
        <f t="shared" si="25"/>
        <v>1033.0175873465532</v>
      </c>
      <c r="H93" s="66">
        <f t="shared" si="25"/>
        <v>1040.3713703966005</v>
      </c>
      <c r="I93" s="66">
        <f t="shared" si="25"/>
        <v>1048.3064801699716</v>
      </c>
      <c r="J93" s="66">
        <f t="shared" si="25"/>
        <v>1052.0560375354107</v>
      </c>
      <c r="K93" s="66">
        <f t="shared" si="25"/>
        <v>1059.729550283286</v>
      </c>
      <c r="L93" s="66">
        <f t="shared" si="25"/>
        <v>1067.7082595609065</v>
      </c>
      <c r="M93" s="66">
        <f t="shared" si="25"/>
        <v>1076.0793643767704</v>
      </c>
      <c r="N93" s="66">
        <f t="shared" si="25"/>
        <v>1085.1249227086946</v>
      </c>
      <c r="O93" s="66">
        <f t="shared" si="25"/>
        <v>1094.2465182998067</v>
      </c>
      <c r="P93" s="66">
        <f t="shared" si="25"/>
        <v>1103.4447903217947</v>
      </c>
      <c r="Q93" s="66">
        <f t="shared" si="25"/>
        <v>1112.7203833192448</v>
      </c>
      <c r="R93" s="66">
        <f t="shared" si="25"/>
        <v>1122.0739472548048</v>
      </c>
      <c r="S93" s="66">
        <f t="shared" si="25"/>
        <v>1131.5061375547311</v>
      </c>
      <c r="T93" s="66">
        <f t="shared" si="25"/>
        <v>1141.0176151548142</v>
      </c>
      <c r="U93" s="66">
        <f t="shared" si="25"/>
        <v>1150.6090465466925</v>
      </c>
      <c r="V93" s="66">
        <f t="shared" si="25"/>
        <v>1160.2811038245545</v>
      </c>
      <c r="W93" s="66">
        <f t="shared" si="25"/>
        <v>1170.0344647322352</v>
      </c>
      <c r="X93" s="66">
        <f t="shared" si="25"/>
        <v>1179.8698127107057</v>
      </c>
      <c r="Y93" s="66">
        <f t="shared" si="25"/>
        <v>1189.7878369459647</v>
      </c>
      <c r="Z93" s="66">
        <f t="shared" si="25"/>
        <v>1199.7892324173308</v>
      </c>
      <c r="AA93" s="66">
        <f t="shared" si="25"/>
        <v>1209.8746999461418</v>
      </c>
      <c r="AB93" s="66">
        <f t="shared" si="25"/>
        <v>1220.0449462448619</v>
      </c>
      <c r="AC93" s="66">
        <f t="shared" si="25"/>
        <v>1230.3006839666036</v>
      </c>
      <c r="AD93" s="66">
        <f t="shared" si="25"/>
        <v>1240.6426317550656</v>
      </c>
      <c r="AE93" s="66">
        <f t="shared" si="25"/>
        <v>1251.0715142948882</v>
      </c>
      <c r="AF93" s="66">
        <f t="shared" si="25"/>
        <v>1261.5880623624344</v>
      </c>
      <c r="AG93" s="66">
        <f t="shared" si="25"/>
        <v>1272.1930128769977</v>
      </c>
      <c r="AH93" s="66">
        <f t="shared" si="25"/>
        <v>1282.8871089524389</v>
      </c>
      <c r="AI93" s="66">
        <f t="shared" si="25"/>
        <v>1293.6710999492586</v>
      </c>
      <c r="AJ93" s="66">
        <f t="shared" si="25"/>
        <v>1304.545741527106</v>
      </c>
      <c r="AK93" s="66">
        <f t="shared" si="25"/>
        <v>1315.5117956977301</v>
      </c>
    </row>
    <row r="94" spans="1:37" x14ac:dyDescent="0.25">
      <c r="A94" t="s">
        <v>750</v>
      </c>
      <c r="B94" s="66">
        <f>$G$64*K7</f>
        <v>2.966414378144179</v>
      </c>
      <c r="C94" s="66">
        <f t="shared" ref="C94:AK94" si="26">$G$64*L7</f>
        <v>2.9776507962432097</v>
      </c>
      <c r="D94" s="66">
        <f t="shared" si="26"/>
        <v>2.9214687057480551</v>
      </c>
      <c r="E94" s="66">
        <f t="shared" si="26"/>
        <v>2.8846434699613148</v>
      </c>
      <c r="F94" s="66">
        <f t="shared" si="26"/>
        <v>2.8482824178189454</v>
      </c>
      <c r="G94" s="66">
        <f t="shared" si="26"/>
        <v>2.8123796982666058</v>
      </c>
      <c r="H94" s="66">
        <f t="shared" si="26"/>
        <v>2.7769295340027407</v>
      </c>
      <c r="I94" s="66">
        <f t="shared" si="26"/>
        <v>2.7419262205489248</v>
      </c>
      <c r="J94" s="66">
        <f t="shared" si="26"/>
        <v>2.7073641253319218</v>
      </c>
      <c r="K94" s="66">
        <f t="shared" si="26"/>
        <v>2.6732376867773175</v>
      </c>
      <c r="L94" s="66">
        <f t="shared" si="26"/>
        <v>2.6395414134145785</v>
      </c>
      <c r="M94" s="66">
        <f t="shared" si="26"/>
        <v>2.6062698829933866</v>
      </c>
      <c r="N94" s="66">
        <f t="shared" si="26"/>
        <v>2.573417741611117</v>
      </c>
      <c r="O94" s="66">
        <f t="shared" si="26"/>
        <v>2.5409797028513132</v>
      </c>
      <c r="P94" s="66">
        <f t="shared" si="26"/>
        <v>2.5089505469330198</v>
      </c>
      <c r="Q94" s="66">
        <f t="shared" si="26"/>
        <v>2.4773251198708386</v>
      </c>
      <c r="R94" s="66">
        <f t="shared" si="26"/>
        <v>2.4460983326455761</v>
      </c>
      <c r="S94" s="66">
        <f t="shared" si="26"/>
        <v>2.4152651603853381</v>
      </c>
      <c r="T94" s="66">
        <f t="shared" si="26"/>
        <v>2.3848206415569515</v>
      </c>
      <c r="U94" s="66">
        <f t="shared" si="26"/>
        <v>2.3547598771675782</v>
      </c>
      <c r="V94" s="66">
        <f t="shared" si="26"/>
        <v>2.3250780299763902</v>
      </c>
      <c r="W94" s="66">
        <f t="shared" si="26"/>
        <v>2.2957703237161837</v>
      </c>
      <c r="X94" s="66">
        <f t="shared" si="26"/>
        <v>2.2668320423248036</v>
      </c>
      <c r="Y94" s="66">
        <f t="shared" si="26"/>
        <v>2.2382585291862558</v>
      </c>
      <c r="Z94" s="66">
        <f t="shared" si="26"/>
        <v>2.2100451863813872</v>
      </c>
      <c r="AA94" s="66">
        <f t="shared" si="26"/>
        <v>2.1821874739480083</v>
      </c>
      <c r="AB94" s="66">
        <f t="shared" si="26"/>
        <v>2.1546809091503443</v>
      </c>
      <c r="AC94" s="66">
        <f t="shared" si="26"/>
        <v>2.1275210657576933</v>
      </c>
      <c r="AD94" s="66">
        <f t="shared" si="26"/>
        <v>2.1007035733321762</v>
      </c>
      <c r="AE94" s="66">
        <f t="shared" si="26"/>
        <v>2.074224116525468</v>
      </c>
      <c r="AF94" s="66">
        <f t="shared" si="26"/>
        <v>2.048078434384391</v>
      </c>
      <c r="AG94" s="66">
        <f t="shared" si="26"/>
        <v>2.02226231966526</v>
      </c>
      <c r="AH94" s="66">
        <f t="shared" si="26"/>
        <v>1.9967716181568744</v>
      </c>
      <c r="AI94" s="66">
        <f t="shared" si="26"/>
        <v>1.9716022280120398</v>
      </c>
      <c r="AJ94" s="66">
        <f t="shared" si="26"/>
        <v>1.9467500990875184</v>
      </c>
      <c r="AK94" s="66">
        <f t="shared" si="26"/>
        <v>1.9222112322922977</v>
      </c>
    </row>
    <row r="95" spans="1:37" x14ac:dyDescent="0.25">
      <c r="A95" t="s">
        <v>751</v>
      </c>
      <c r="B95" s="66">
        <f>$G$65*K8</f>
        <v>0.95362008484383731</v>
      </c>
      <c r="C95" s="66">
        <f t="shared" ref="C95:AK95" si="27">$G$65*L8</f>
        <v>0.9428243857701335</v>
      </c>
      <c r="D95" s="66">
        <f t="shared" si="27"/>
        <v>0.95002151848593608</v>
      </c>
      <c r="E95" s="66">
        <f t="shared" si="27"/>
        <v>0.93545736563679305</v>
      </c>
      <c r="F95" s="66">
        <f t="shared" si="27"/>
        <v>0.92111648620207887</v>
      </c>
      <c r="G95" s="66">
        <f t="shared" si="27"/>
        <v>0.90699545732444609</v>
      </c>
      <c r="H95" s="66">
        <f t="shared" si="27"/>
        <v>0.89309090862011364</v>
      </c>
      <c r="I95" s="66">
        <f t="shared" si="27"/>
        <v>0.87939952137443</v>
      </c>
      <c r="J95" s="66">
        <f t="shared" si="27"/>
        <v>0.86591802774976745</v>
      </c>
      <c r="K95" s="66">
        <f t="shared" si="27"/>
        <v>0.85264321000555987</v>
      </c>
      <c r="L95" s="66">
        <f t="shared" si="27"/>
        <v>0.83957189973029833</v>
      </c>
      <c r="M95" s="66">
        <f t="shared" si="27"/>
        <v>0.82670097708529877</v>
      </c>
      <c r="N95" s="66">
        <f t="shared" si="27"/>
        <v>0.81402737006006554</v>
      </c>
      <c r="O95" s="66">
        <f t="shared" si="27"/>
        <v>0.80154805373906768</v>
      </c>
      <c r="P95" s="66">
        <f t="shared" si="27"/>
        <v>0.78926004957975815</v>
      </c>
      <c r="Q95" s="66">
        <f t="shared" si="27"/>
        <v>0.77716042470165914</v>
      </c>
      <c r="R95" s="66">
        <f t="shared" si="27"/>
        <v>0.76524629118634824</v>
      </c>
      <c r="S95" s="66">
        <f t="shared" si="27"/>
        <v>0.75351480538817395</v>
      </c>
      <c r="T95" s="66">
        <f t="shared" si="27"/>
        <v>0.74196316725553946</v>
      </c>
      <c r="U95" s="66">
        <f t="shared" si="27"/>
        <v>0.73058861966259059</v>
      </c>
      <c r="V95" s="66">
        <f t="shared" si="27"/>
        <v>0.71938844775114996</v>
      </c>
      <c r="W95" s="66">
        <f t="shared" si="27"/>
        <v>0.70835997828273911</v>
      </c>
      <c r="X95" s="66">
        <f t="shared" si="27"/>
        <v>0.69750057900053419</v>
      </c>
      <c r="Y95" s="66">
        <f t="shared" si="27"/>
        <v>0.68680765800110322</v>
      </c>
      <c r="Z95" s="66">
        <f t="shared" si="27"/>
        <v>0.67627866311577522</v>
      </c>
      <c r="AA95" s="66">
        <f t="shared" si="27"/>
        <v>0.66591108130149235</v>
      </c>
      <c r="AB95" s="66">
        <f t="shared" si="27"/>
        <v>0.65570243804100126</v>
      </c>
      <c r="AC95" s="66">
        <f t="shared" si="27"/>
        <v>0.64565029675223928</v>
      </c>
      <c r="AD95" s="66">
        <f t="shared" si="27"/>
        <v>0.63575225820677517</v>
      </c>
      <c r="AE95" s="66">
        <f t="shared" si="27"/>
        <v>0.62600595995716524</v>
      </c>
      <c r="AF95" s="66">
        <f t="shared" si="27"/>
        <v>0.61640907577308801</v>
      </c>
      <c r="AG95" s="66">
        <f t="shared" si="27"/>
        <v>0.60695931508612411</v>
      </c>
      <c r="AH95" s="66">
        <f t="shared" si="27"/>
        <v>0.59765442244304623</v>
      </c>
      <c r="AI95" s="66">
        <f t="shared" si="27"/>
        <v>0.58849217696749212</v>
      </c>
      <c r="AJ95" s="66">
        <f t="shared" si="27"/>
        <v>0.57947039182988913</v>
      </c>
      <c r="AK95" s="66">
        <f t="shared" si="27"/>
        <v>0.57058691372550541</v>
      </c>
    </row>
    <row r="96" spans="1:37" x14ac:dyDescent="0.25">
      <c r="A96" t="s">
        <v>770</v>
      </c>
      <c r="B96" s="66">
        <f>$G$66*K9</f>
        <v>139.93410421834699</v>
      </c>
      <c r="C96" s="66">
        <f t="shared" ref="C96:AK96" si="28">$G$66*L9</f>
        <v>142.29694913813685</v>
      </c>
      <c r="D96" s="66">
        <f t="shared" si="28"/>
        <v>145.17898419725273</v>
      </c>
      <c r="E96" s="66">
        <f t="shared" si="28"/>
        <v>145.24255850002734</v>
      </c>
      <c r="F96" s="66">
        <f t="shared" si="28"/>
        <v>146.93787324068373</v>
      </c>
      <c r="G96" s="66">
        <f t="shared" si="28"/>
        <v>149.00050617514901</v>
      </c>
      <c r="H96" s="66">
        <f t="shared" si="28"/>
        <v>150.87594810700017</v>
      </c>
      <c r="I96" s="66">
        <f t="shared" si="28"/>
        <v>152.50062473346256</v>
      </c>
      <c r="J96" s="66">
        <f t="shared" si="28"/>
        <v>153.84981271456826</v>
      </c>
      <c r="K96" s="66">
        <f t="shared" si="28"/>
        <v>155.04712875015684</v>
      </c>
      <c r="L96" s="66">
        <f t="shared" si="28"/>
        <v>156.05725378313127</v>
      </c>
      <c r="M96" s="66">
        <f t="shared" si="28"/>
        <v>156.5234653368118</v>
      </c>
      <c r="N96" s="66">
        <f t="shared" si="28"/>
        <v>158.21037900916966</v>
      </c>
      <c r="O96" s="66">
        <f t="shared" si="28"/>
        <v>159.91547319990448</v>
      </c>
      <c r="P96" s="66">
        <f t="shared" si="28"/>
        <v>161.63894384746527</v>
      </c>
      <c r="Q96" s="66">
        <f t="shared" si="28"/>
        <v>163.38098900200509</v>
      </c>
      <c r="R96" s="66">
        <f t="shared" si="28"/>
        <v>165.14180884813976</v>
      </c>
      <c r="S96" s="66">
        <f t="shared" si="28"/>
        <v>166.92160572795186</v>
      </c>
      <c r="T96" s="66">
        <f t="shared" si="28"/>
        <v>168.7205841642425</v>
      </c>
      <c r="U96" s="66">
        <f t="shared" si="28"/>
        <v>170.53895088403377</v>
      </c>
      <c r="V96" s="66">
        <f t="shared" si="28"/>
        <v>172.37691484232457</v>
      </c>
      <c r="W96" s="66">
        <f t="shared" si="28"/>
        <v>174.23468724610228</v>
      </c>
      <c r="X96" s="66">
        <f t="shared" si="28"/>
        <v>176.11248157861326</v>
      </c>
      <c r="Y96" s="66">
        <f t="shared" si="28"/>
        <v>178.01051362389512</v>
      </c>
      <c r="Z96" s="66">
        <f t="shared" si="28"/>
        <v>179.9290014915731</v>
      </c>
      <c r="AA96" s="66">
        <f t="shared" si="28"/>
        <v>181.86816564192398</v>
      </c>
      <c r="AB96" s="66">
        <f t="shared" si="28"/>
        <v>183.82822891120972</v>
      </c>
      <c r="AC96" s="66">
        <f t="shared" si="28"/>
        <v>185.80941653728456</v>
      </c>
      <c r="AD96" s="66">
        <f t="shared" si="28"/>
        <v>187.8119561854779</v>
      </c>
      <c r="AE96" s="66">
        <f t="shared" si="28"/>
        <v>189.83607797475599</v>
      </c>
      <c r="AF96" s="66">
        <f t="shared" si="28"/>
        <v>191.88201450416591</v>
      </c>
      <c r="AG96" s="66">
        <f t="shared" si="28"/>
        <v>193.95000087956413</v>
      </c>
      <c r="AH96" s="66">
        <f t="shared" si="28"/>
        <v>196.04027474063361</v>
      </c>
      <c r="AI96" s="66">
        <f t="shared" si="28"/>
        <v>198.15307628819167</v>
      </c>
      <c r="AJ96" s="66">
        <f t="shared" si="28"/>
        <v>200.28864831179229</v>
      </c>
      <c r="AK96" s="66">
        <f t="shared" si="28"/>
        <v>202.44723621762606</v>
      </c>
    </row>
    <row r="97" spans="1:37" x14ac:dyDescent="0.25">
      <c r="A97" t="s">
        <v>752</v>
      </c>
      <c r="B97" s="66">
        <f>$K$47</f>
        <v>9</v>
      </c>
      <c r="C97" s="66">
        <f t="shared" ref="C97:AK97" si="29">$K$47</f>
        <v>9</v>
      </c>
      <c r="D97" s="66">
        <f t="shared" si="29"/>
        <v>9</v>
      </c>
      <c r="E97" s="66">
        <f t="shared" si="29"/>
        <v>9</v>
      </c>
      <c r="F97" s="66">
        <f t="shared" si="29"/>
        <v>9</v>
      </c>
      <c r="G97" s="66">
        <f t="shared" si="29"/>
        <v>9</v>
      </c>
      <c r="H97" s="66">
        <f t="shared" si="29"/>
        <v>9</v>
      </c>
      <c r="I97" s="66">
        <f t="shared" si="29"/>
        <v>9</v>
      </c>
      <c r="J97" s="66">
        <f t="shared" si="29"/>
        <v>9</v>
      </c>
      <c r="K97" s="66">
        <f t="shared" si="29"/>
        <v>9</v>
      </c>
      <c r="L97" s="66">
        <f t="shared" si="29"/>
        <v>9</v>
      </c>
      <c r="M97" s="66">
        <f t="shared" si="29"/>
        <v>9</v>
      </c>
      <c r="N97" s="66">
        <f t="shared" si="29"/>
        <v>9</v>
      </c>
      <c r="O97" s="66">
        <f t="shared" si="29"/>
        <v>9</v>
      </c>
      <c r="P97" s="66">
        <f t="shared" si="29"/>
        <v>9</v>
      </c>
      <c r="Q97" s="66">
        <f t="shared" si="29"/>
        <v>9</v>
      </c>
      <c r="R97" s="66">
        <f t="shared" si="29"/>
        <v>9</v>
      </c>
      <c r="S97" s="66">
        <f t="shared" si="29"/>
        <v>9</v>
      </c>
      <c r="T97" s="66">
        <f t="shared" si="29"/>
        <v>9</v>
      </c>
      <c r="U97" s="66">
        <f t="shared" si="29"/>
        <v>9</v>
      </c>
      <c r="V97" s="66">
        <f t="shared" si="29"/>
        <v>9</v>
      </c>
      <c r="W97" s="66">
        <f t="shared" si="29"/>
        <v>9</v>
      </c>
      <c r="X97" s="66">
        <f t="shared" si="29"/>
        <v>9</v>
      </c>
      <c r="Y97" s="66">
        <f t="shared" si="29"/>
        <v>9</v>
      </c>
      <c r="Z97" s="66">
        <f t="shared" si="29"/>
        <v>9</v>
      </c>
      <c r="AA97" s="66">
        <f t="shared" si="29"/>
        <v>9</v>
      </c>
      <c r="AB97" s="66">
        <f t="shared" si="29"/>
        <v>9</v>
      </c>
      <c r="AC97" s="66">
        <f t="shared" si="29"/>
        <v>9</v>
      </c>
      <c r="AD97" s="66">
        <f t="shared" si="29"/>
        <v>9</v>
      </c>
      <c r="AE97" s="66">
        <f t="shared" si="29"/>
        <v>9</v>
      </c>
      <c r="AF97" s="66">
        <f t="shared" si="29"/>
        <v>9</v>
      </c>
      <c r="AG97" s="66">
        <f t="shared" si="29"/>
        <v>9</v>
      </c>
      <c r="AH97" s="66">
        <f t="shared" si="29"/>
        <v>9</v>
      </c>
      <c r="AI97" s="66">
        <f t="shared" si="29"/>
        <v>9</v>
      </c>
      <c r="AJ97" s="66">
        <f t="shared" si="29"/>
        <v>9</v>
      </c>
      <c r="AK97" s="66">
        <f t="shared" si="29"/>
        <v>9</v>
      </c>
    </row>
    <row r="99" spans="1:37" x14ac:dyDescent="0.25">
      <c r="A99" s="56" t="s">
        <v>782</v>
      </c>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c r="AC99" s="56"/>
      <c r="AD99" s="56"/>
      <c r="AE99" s="56"/>
      <c r="AF99" s="56"/>
      <c r="AG99" s="56"/>
      <c r="AH99" s="56"/>
      <c r="AI99" s="56"/>
      <c r="AJ99" s="56"/>
      <c r="AK99" s="56"/>
    </row>
    <row r="100" spans="1:37" x14ac:dyDescent="0.25">
      <c r="B100">
        <v>2015</v>
      </c>
      <c r="C100">
        <v>2016</v>
      </c>
      <c r="D100">
        <v>2017</v>
      </c>
      <c r="E100">
        <v>2018</v>
      </c>
      <c r="F100">
        <v>2019</v>
      </c>
      <c r="G100">
        <v>2020</v>
      </c>
      <c r="H100">
        <v>2021</v>
      </c>
      <c r="I100">
        <v>2022</v>
      </c>
      <c r="J100">
        <v>2023</v>
      </c>
      <c r="K100">
        <v>2024</v>
      </c>
      <c r="L100">
        <v>2025</v>
      </c>
      <c r="M100">
        <v>2026</v>
      </c>
      <c r="N100">
        <v>2027</v>
      </c>
      <c r="O100">
        <v>2028</v>
      </c>
      <c r="P100">
        <v>2029</v>
      </c>
      <c r="Q100">
        <v>2030</v>
      </c>
      <c r="R100">
        <v>2031</v>
      </c>
      <c r="S100">
        <v>2032</v>
      </c>
      <c r="T100">
        <v>2033</v>
      </c>
      <c r="U100">
        <v>2034</v>
      </c>
      <c r="V100">
        <v>2035</v>
      </c>
      <c r="W100">
        <v>2036</v>
      </c>
      <c r="X100">
        <v>2037</v>
      </c>
      <c r="Y100">
        <v>2038</v>
      </c>
      <c r="Z100">
        <v>2039</v>
      </c>
      <c r="AA100">
        <v>2040</v>
      </c>
      <c r="AB100">
        <v>2041</v>
      </c>
      <c r="AC100">
        <v>2042</v>
      </c>
      <c r="AD100">
        <v>2043</v>
      </c>
      <c r="AE100">
        <v>2044</v>
      </c>
      <c r="AF100">
        <v>2045</v>
      </c>
      <c r="AG100">
        <v>2046</v>
      </c>
      <c r="AH100">
        <v>2047</v>
      </c>
      <c r="AI100">
        <v>2048</v>
      </c>
      <c r="AJ100">
        <v>2049</v>
      </c>
      <c r="AK100">
        <v>2050</v>
      </c>
    </row>
    <row r="101" spans="1:37" x14ac:dyDescent="0.25">
      <c r="A101" t="s">
        <v>747</v>
      </c>
      <c r="B101" s="66">
        <f>B86*K4</f>
        <v>20</v>
      </c>
      <c r="C101" s="66">
        <f t="shared" ref="C101:AK101" si="30">C86*L4</f>
        <v>20.075842256446983</v>
      </c>
      <c r="D101" s="66">
        <f t="shared" si="30"/>
        <v>20.210169338572669</v>
      </c>
      <c r="E101" s="66">
        <f t="shared" si="30"/>
        <v>20.323403786345708</v>
      </c>
      <c r="F101" s="66">
        <f t="shared" si="30"/>
        <v>20.426228307824857</v>
      </c>
      <c r="G101" s="66">
        <f t="shared" si="30"/>
        <v>20.507704354840786</v>
      </c>
      <c r="H101" s="66">
        <f t="shared" si="30"/>
        <v>20.578565277602237</v>
      </c>
      <c r="I101" s="66">
        <f t="shared" si="30"/>
        <v>20.638733734843015</v>
      </c>
      <c r="J101" s="66">
        <f t="shared" si="30"/>
        <v>20.677191700435266</v>
      </c>
      <c r="K101" s="66">
        <f t="shared" si="30"/>
        <v>20.715715528821473</v>
      </c>
      <c r="L101" s="66">
        <f t="shared" si="30"/>
        <v>20.732319822050158</v>
      </c>
      <c r="M101" s="66">
        <f t="shared" si="30"/>
        <v>20.748884924659642</v>
      </c>
      <c r="N101" s="66">
        <f t="shared" si="30"/>
        <v>20.818434809650526</v>
      </c>
      <c r="O101" s="66">
        <f t="shared" si="30"/>
        <v>20.888217824591276</v>
      </c>
      <c r="P101" s="66">
        <f t="shared" si="30"/>
        <v>20.958234750929243</v>
      </c>
      <c r="Q101" s="66">
        <f t="shared" si="30"/>
        <v>21.028486372731184</v>
      </c>
      <c r="R101" s="66">
        <f t="shared" si="30"/>
        <v>21.098973476692017</v>
      </c>
      <c r="S101" s="66">
        <f t="shared" si="30"/>
        <v>21.169696852143659</v>
      </c>
      <c r="T101" s="66">
        <f t="shared" si="30"/>
        <v>21.240657291063854</v>
      </c>
      <c r="U101" s="66">
        <f t="shared" si="30"/>
        <v>21.311855588085038</v>
      </c>
      <c r="V101" s="66">
        <f t="shared" si="30"/>
        <v>21.383292540503241</v>
      </c>
      <c r="W101" s="66">
        <f t="shared" si="30"/>
        <v>21.454968948287018</v>
      </c>
      <c r="X101" s="66">
        <f t="shared" si="30"/>
        <v>21.526885614086385</v>
      </c>
      <c r="Y101" s="66">
        <f t="shared" si="30"/>
        <v>21.59904334324186</v>
      </c>
      <c r="Z101" s="66">
        <f t="shared" si="30"/>
        <v>21.671442943793423</v>
      </c>
      <c r="AA101" s="66">
        <f t="shared" si="30"/>
        <v>21.744085226489588</v>
      </c>
      <c r="AB101" s="66">
        <f t="shared" si="30"/>
        <v>21.8169710047965</v>
      </c>
      <c r="AC101" s="66">
        <f t="shared" si="30"/>
        <v>21.890101094907013</v>
      </c>
      <c r="AD101" s="66">
        <f t="shared" si="30"/>
        <v>21.963476315749862</v>
      </c>
      <c r="AE101" s="66">
        <f t="shared" si="30"/>
        <v>22.037097488998789</v>
      </c>
      <c r="AF101" s="66">
        <f t="shared" si="30"/>
        <v>22.110965439081795</v>
      </c>
      <c r="AG101" s="66">
        <f t="shared" si="30"/>
        <v>22.185080993190336</v>
      </c>
      <c r="AH101" s="66">
        <f t="shared" si="30"/>
        <v>22.259444981288606</v>
      </c>
      <c r="AI101" s="66">
        <f t="shared" si="30"/>
        <v>22.334058236122829</v>
      </c>
      <c r="AJ101" s="66">
        <f t="shared" si="30"/>
        <v>22.408921593230563</v>
      </c>
      <c r="AK101" s="66">
        <f t="shared" si="30"/>
        <v>22.484035890950082</v>
      </c>
    </row>
    <row r="102" spans="1:37" x14ac:dyDescent="0.25">
      <c r="A102" t="s">
        <v>748</v>
      </c>
      <c r="B102" s="66">
        <f>$G$72*K5</f>
        <v>25.631116522996265</v>
      </c>
      <c r="C102" s="66">
        <f t="shared" ref="C102:AK102" si="31">$G$72*L5</f>
        <v>26.531205899221888</v>
      </c>
      <c r="D102" s="66">
        <f t="shared" si="31"/>
        <v>27.067410746283411</v>
      </c>
      <c r="E102" s="66">
        <f t="shared" si="31"/>
        <v>26.780501790596333</v>
      </c>
      <c r="F102" s="66">
        <f t="shared" si="31"/>
        <v>27.222236615663327</v>
      </c>
      <c r="G102" s="66">
        <f t="shared" si="31"/>
        <v>27.403304157819502</v>
      </c>
      <c r="H102" s="66">
        <f t="shared" si="31"/>
        <v>27.803052306444485</v>
      </c>
      <c r="I102" s="66">
        <f t="shared" si="31"/>
        <v>27.700709782617082</v>
      </c>
      <c r="J102" s="66">
        <f t="shared" si="31"/>
        <v>27.684964778951329</v>
      </c>
      <c r="K102" s="66">
        <f t="shared" si="31"/>
        <v>27.490776400407025</v>
      </c>
      <c r="L102" s="66">
        <f t="shared" si="31"/>
        <v>27.434794165151011</v>
      </c>
      <c r="M102" s="66">
        <f t="shared" si="31"/>
        <v>27.331576918897731</v>
      </c>
      <c r="N102" s="66">
        <f t="shared" si="31"/>
        <v>27.496420105308641</v>
      </c>
      <c r="O102" s="66">
        <f t="shared" si="31"/>
        <v>27.662257499854217</v>
      </c>
      <c r="P102" s="66">
        <f t="shared" si="31"/>
        <v>27.829095098838206</v>
      </c>
      <c r="Q102" s="66">
        <f t="shared" si="31"/>
        <v>27.996938934729457</v>
      </c>
      <c r="R102" s="66">
        <f t="shared" si="31"/>
        <v>28.165795076380086</v>
      </c>
      <c r="S102" s="66">
        <f t="shared" si="31"/>
        <v>28.335669629244869</v>
      </c>
      <c r="T102" s="66">
        <f t="shared" si="31"/>
        <v>28.506568735602027</v>
      </c>
      <c r="U102" s="66">
        <f t="shared" si="31"/>
        <v>28.678498574775308</v>
      </c>
      <c r="V102" s="66">
        <f t="shared" si="31"/>
        <v>28.85146536335742</v>
      </c>
      <c r="W102" s="66">
        <f t="shared" si="31"/>
        <v>29.025475355434804</v>
      </c>
      <c r="X102" s="66">
        <f t="shared" si="31"/>
        <v>29.200534842813777</v>
      </c>
      <c r="Y102" s="66">
        <f t="shared" si="31"/>
        <v>29.376650155248015</v>
      </c>
      <c r="Z102" s="66">
        <f t="shared" si="31"/>
        <v>29.553827660667448</v>
      </c>
      <c r="AA102" s="66">
        <f t="shared" si="31"/>
        <v>29.732073765408469</v>
      </c>
      <c r="AB102" s="66">
        <f t="shared" si="31"/>
        <v>29.911394914445626</v>
      </c>
      <c r="AC102" s="66">
        <f t="shared" si="31"/>
        <v>30.091797591624605</v>
      </c>
      <c r="AD102" s="66">
        <f t="shared" si="31"/>
        <v>30.273288319896697</v>
      </c>
      <c r="AE102" s="66">
        <f t="shared" si="31"/>
        <v>30.455873661554666</v>
      </c>
      <c r="AF102" s="66">
        <f t="shared" si="31"/>
        <v>30.639560218469992</v>
      </c>
      <c r="AG102" s="66">
        <f t="shared" si="31"/>
        <v>30.824354632331612</v>
      </c>
      <c r="AH102" s="66">
        <f t="shared" si="31"/>
        <v>31.010263584886047</v>
      </c>
      <c r="AI102" s="66">
        <f t="shared" si="31"/>
        <v>31.197293798179022</v>
      </c>
      <c r="AJ102" s="66">
        <f t="shared" si="31"/>
        <v>31.385452034798487</v>
      </c>
      <c r="AK102" s="66">
        <f t="shared" si="31"/>
        <v>31.574745098119166</v>
      </c>
    </row>
    <row r="103" spans="1:37" x14ac:dyDescent="0.25">
      <c r="A103" t="s">
        <v>749</v>
      </c>
      <c r="B103" s="66">
        <f>$B$87*K6</f>
        <v>7</v>
      </c>
      <c r="C103" s="66">
        <f t="shared" ref="C103:AK103" si="32">$B$87*L6</f>
        <v>7.1180506373937673</v>
      </c>
      <c r="D103" s="66">
        <f t="shared" si="32"/>
        <v>7.2219517233238903</v>
      </c>
      <c r="E103" s="66">
        <f t="shared" si="32"/>
        <v>7.2193696883852692</v>
      </c>
      <c r="F103" s="66">
        <f t="shared" si="32"/>
        <v>7.2740055476864969</v>
      </c>
      <c r="G103" s="66">
        <f t="shared" si="32"/>
        <v>7.341241737488196</v>
      </c>
      <c r="H103" s="66">
        <f t="shared" si="32"/>
        <v>7.3935021246458925</v>
      </c>
      <c r="I103" s="66">
        <f t="shared" si="32"/>
        <v>7.4498937677053823</v>
      </c>
      <c r="J103" s="66">
        <f t="shared" si="32"/>
        <v>7.4765403682719542</v>
      </c>
      <c r="K103" s="66">
        <f t="shared" si="32"/>
        <v>7.5310729461756374</v>
      </c>
      <c r="L103" s="66">
        <f t="shared" si="32"/>
        <v>7.5877744334277617</v>
      </c>
      <c r="M103" s="66">
        <f t="shared" si="32"/>
        <v>7.6472645184135972</v>
      </c>
      <c r="N103" s="66">
        <f t="shared" si="32"/>
        <v>7.7115476740719409</v>
      </c>
      <c r="O103" s="66">
        <f t="shared" si="32"/>
        <v>7.7763711960392357</v>
      </c>
      <c r="P103" s="66">
        <f t="shared" si="32"/>
        <v>7.8417396266523491</v>
      </c>
      <c r="Q103" s="66">
        <f t="shared" si="32"/>
        <v>7.9076575464311807</v>
      </c>
      <c r="R103" s="66">
        <f t="shared" si="32"/>
        <v>7.9741295743996288</v>
      </c>
      <c r="S103" s="66">
        <f t="shared" si="32"/>
        <v>8.0411603684092583</v>
      </c>
      <c r="T103" s="66">
        <f t="shared" si="32"/>
        <v>8.1087546254656857</v>
      </c>
      <c r="U103" s="66">
        <f t="shared" si="32"/>
        <v>8.1769170820577131</v>
      </c>
      <c r="V103" s="66">
        <f t="shared" si="32"/>
        <v>8.2456525144892208</v>
      </c>
      <c r="W103" s="66">
        <f t="shared" si="32"/>
        <v>8.3149657392138536</v>
      </c>
      <c r="X103" s="66">
        <f t="shared" si="32"/>
        <v>8.3848616131725286</v>
      </c>
      <c r="Y103" s="66">
        <f t="shared" si="32"/>
        <v>8.4553450341337602</v>
      </c>
      <c r="Z103" s="66">
        <f t="shared" si="32"/>
        <v>8.5264209410368696</v>
      </c>
      <c r="AA103" s="66">
        <f t="shared" si="32"/>
        <v>8.5980943143380646</v>
      </c>
      <c r="AB103" s="66">
        <f t="shared" si="32"/>
        <v>8.670370176359425</v>
      </c>
      <c r="AC103" s="66">
        <f t="shared" si="32"/>
        <v>8.7432535916408387</v>
      </c>
      <c r="AD103" s="66">
        <f t="shared" si="32"/>
        <v>8.816749667294884</v>
      </c>
      <c r="AE103" s="66">
        <f t="shared" si="32"/>
        <v>8.8908635533646887</v>
      </c>
      <c r="AF103" s="66">
        <f t="shared" si="32"/>
        <v>8.9656004431848118</v>
      </c>
      <c r="AG103" s="66">
        <f t="shared" si="32"/>
        <v>9.0409655737451615</v>
      </c>
      <c r="AH103" s="66">
        <f t="shared" si="32"/>
        <v>9.1169642260579415</v>
      </c>
      <c r="AI103" s="66">
        <f t="shared" si="32"/>
        <v>9.193601725527726</v>
      </c>
      <c r="AJ103" s="66">
        <f t="shared" si="32"/>
        <v>9.270883442324612</v>
      </c>
      <c r="AK103" s="66">
        <f t="shared" si="32"/>
        <v>9.3488147917605193</v>
      </c>
    </row>
    <row r="104" spans="1:37" x14ac:dyDescent="0.25">
      <c r="A104" t="s">
        <v>750</v>
      </c>
      <c r="B104" s="66">
        <f>$G$74*K7</f>
        <v>0.98880479271472632</v>
      </c>
      <c r="C104" s="66">
        <f t="shared" ref="C104:AK104" si="33">$G$74*L7</f>
        <v>0.99255026541440339</v>
      </c>
      <c r="D104" s="66">
        <f t="shared" si="33"/>
        <v>0.97382290191601839</v>
      </c>
      <c r="E104" s="66">
        <f t="shared" si="33"/>
        <v>0.96154782332043831</v>
      </c>
      <c r="F104" s="66">
        <f t="shared" si="33"/>
        <v>0.94942747260631521</v>
      </c>
      <c r="G104" s="66">
        <f t="shared" si="33"/>
        <v>0.93745989942220198</v>
      </c>
      <c r="H104" s="66">
        <f t="shared" si="33"/>
        <v>0.92564317800091367</v>
      </c>
      <c r="I104" s="66">
        <f t="shared" si="33"/>
        <v>0.91397540684964163</v>
      </c>
      <c r="J104" s="66">
        <f t="shared" si="33"/>
        <v>0.90245470844397402</v>
      </c>
      <c r="K104" s="66">
        <f t="shared" si="33"/>
        <v>0.89107922892577263</v>
      </c>
      <c r="L104" s="66">
        <f t="shared" si="33"/>
        <v>0.87984713780485968</v>
      </c>
      <c r="M104" s="66">
        <f t="shared" si="33"/>
        <v>0.86875662766446238</v>
      </c>
      <c r="N104" s="66">
        <f t="shared" si="33"/>
        <v>0.85780591387037253</v>
      </c>
      <c r="O104" s="66">
        <f t="shared" si="33"/>
        <v>0.84699323428377116</v>
      </c>
      <c r="P104" s="66">
        <f t="shared" si="33"/>
        <v>0.83631684897767333</v>
      </c>
      <c r="Q104" s="66">
        <f t="shared" si="33"/>
        <v>0.82577503995694634</v>
      </c>
      <c r="R104" s="66">
        <f t="shared" si="33"/>
        <v>0.81536611088185884</v>
      </c>
      <c r="S104" s="66">
        <f t="shared" si="33"/>
        <v>0.80508838679511274</v>
      </c>
      <c r="T104" s="66">
        <f t="shared" si="33"/>
        <v>0.79494021385231717</v>
      </c>
      <c r="U104" s="66">
        <f t="shared" si="33"/>
        <v>0.78491995905585943</v>
      </c>
      <c r="V104" s="66">
        <f t="shared" si="33"/>
        <v>0.77502600999213023</v>
      </c>
      <c r="W104" s="66">
        <f t="shared" si="33"/>
        <v>0.76525677457206143</v>
      </c>
      <c r="X104" s="66">
        <f t="shared" si="33"/>
        <v>0.75561068077493465</v>
      </c>
      <c r="Y104" s="66">
        <f t="shared" si="33"/>
        <v>0.74608617639541863</v>
      </c>
      <c r="Z104" s="66">
        <f t="shared" si="33"/>
        <v>0.73668172879379579</v>
      </c>
      <c r="AA104" s="66">
        <f t="shared" si="33"/>
        <v>0.72739582464933616</v>
      </c>
      <c r="AB104" s="66">
        <f t="shared" si="33"/>
        <v>0.71822696971678157</v>
      </c>
      <c r="AC104" s="66">
        <f t="shared" si="33"/>
        <v>0.7091736885858978</v>
      </c>
      <c r="AD104" s="66">
        <f t="shared" si="33"/>
        <v>0.70023452444405876</v>
      </c>
      <c r="AE104" s="66">
        <f t="shared" si="33"/>
        <v>0.69140803884182278</v>
      </c>
      <c r="AF104" s="66">
        <f t="shared" si="33"/>
        <v>0.68269281146146366</v>
      </c>
      <c r="AG104" s="66">
        <f t="shared" si="33"/>
        <v>0.67408743988842013</v>
      </c>
      <c r="AH104" s="66">
        <f t="shared" si="33"/>
        <v>0.66559053938562485</v>
      </c>
      <c r="AI104" s="66">
        <f t="shared" si="33"/>
        <v>0.65720074267068007</v>
      </c>
      <c r="AJ104" s="66">
        <f t="shared" si="33"/>
        <v>0.64891669969583954</v>
      </c>
      <c r="AK104" s="66">
        <f t="shared" si="33"/>
        <v>0.64073707743076591</v>
      </c>
    </row>
    <row r="105" spans="1:37" x14ac:dyDescent="0.25">
      <c r="A105" t="s">
        <v>751</v>
      </c>
      <c r="B105" s="66">
        <f>$G$75*K8</f>
        <v>0</v>
      </c>
      <c r="C105" s="66">
        <f t="shared" ref="C105:AK105" si="34">$G$75*L8</f>
        <v>0</v>
      </c>
      <c r="D105" s="66">
        <f t="shared" si="34"/>
        <v>0</v>
      </c>
      <c r="E105" s="66">
        <f t="shared" si="34"/>
        <v>0</v>
      </c>
      <c r="F105" s="66">
        <f t="shared" si="34"/>
        <v>0</v>
      </c>
      <c r="G105" s="66">
        <f t="shared" si="34"/>
        <v>0</v>
      </c>
      <c r="H105" s="66">
        <f t="shared" si="34"/>
        <v>0</v>
      </c>
      <c r="I105" s="66">
        <f t="shared" si="34"/>
        <v>0</v>
      </c>
      <c r="J105" s="66">
        <f t="shared" si="34"/>
        <v>0</v>
      </c>
      <c r="K105" s="66">
        <f t="shared" si="34"/>
        <v>0</v>
      </c>
      <c r="L105" s="66">
        <f t="shared" si="34"/>
        <v>0</v>
      </c>
      <c r="M105" s="66">
        <f t="shared" si="34"/>
        <v>0</v>
      </c>
      <c r="N105" s="66">
        <f t="shared" si="34"/>
        <v>0</v>
      </c>
      <c r="O105" s="66">
        <f t="shared" si="34"/>
        <v>0</v>
      </c>
      <c r="P105" s="66">
        <f t="shared" si="34"/>
        <v>0</v>
      </c>
      <c r="Q105" s="66">
        <f t="shared" si="34"/>
        <v>0</v>
      </c>
      <c r="R105" s="66">
        <f t="shared" si="34"/>
        <v>0</v>
      </c>
      <c r="S105" s="66">
        <f t="shared" si="34"/>
        <v>0</v>
      </c>
      <c r="T105" s="66">
        <f t="shared" si="34"/>
        <v>0</v>
      </c>
      <c r="U105" s="66">
        <f t="shared" si="34"/>
        <v>0</v>
      </c>
      <c r="V105" s="66">
        <f t="shared" si="34"/>
        <v>0</v>
      </c>
      <c r="W105" s="66">
        <f t="shared" si="34"/>
        <v>0</v>
      </c>
      <c r="X105" s="66">
        <f t="shared" si="34"/>
        <v>0</v>
      </c>
      <c r="Y105" s="66">
        <f t="shared" si="34"/>
        <v>0</v>
      </c>
      <c r="Z105" s="66">
        <f t="shared" si="34"/>
        <v>0</v>
      </c>
      <c r="AA105" s="66">
        <f t="shared" si="34"/>
        <v>0</v>
      </c>
      <c r="AB105" s="66">
        <f t="shared" si="34"/>
        <v>0</v>
      </c>
      <c r="AC105" s="66">
        <f t="shared" si="34"/>
        <v>0</v>
      </c>
      <c r="AD105" s="66">
        <f t="shared" si="34"/>
        <v>0</v>
      </c>
      <c r="AE105" s="66">
        <f t="shared" si="34"/>
        <v>0</v>
      </c>
      <c r="AF105" s="66">
        <f t="shared" si="34"/>
        <v>0</v>
      </c>
      <c r="AG105" s="66">
        <f t="shared" si="34"/>
        <v>0</v>
      </c>
      <c r="AH105" s="66">
        <f t="shared" si="34"/>
        <v>0</v>
      </c>
      <c r="AI105" s="66">
        <f t="shared" si="34"/>
        <v>0</v>
      </c>
      <c r="AJ105" s="66">
        <f t="shared" si="34"/>
        <v>0</v>
      </c>
      <c r="AK105" s="66">
        <f t="shared" si="34"/>
        <v>0</v>
      </c>
    </row>
    <row r="106" spans="1:37" x14ac:dyDescent="0.25">
      <c r="A106" t="s">
        <v>770</v>
      </c>
      <c r="B106" s="66">
        <f>$G$76*K9</f>
        <v>5.3801336932738275</v>
      </c>
      <c r="C106" s="66">
        <f t="shared" ref="C106:AK106" si="35">$G$76*L9</f>
        <v>5.4709794641168408</v>
      </c>
      <c r="D106" s="66">
        <f t="shared" si="35"/>
        <v>5.5817868617370188</v>
      </c>
      <c r="E106" s="66">
        <f t="shared" si="35"/>
        <v>5.5842311425668756</v>
      </c>
      <c r="F106" s="66">
        <f t="shared" si="35"/>
        <v>5.6494119646963918</v>
      </c>
      <c r="G106" s="66">
        <f t="shared" si="35"/>
        <v>5.7287152982873035</v>
      </c>
      <c r="H106" s="66">
        <f t="shared" si="35"/>
        <v>5.8008215827680809</v>
      </c>
      <c r="I106" s="66">
        <f t="shared" si="35"/>
        <v>5.8632865373088672</v>
      </c>
      <c r="J106" s="66">
        <f t="shared" si="35"/>
        <v>5.9151596082536075</v>
      </c>
      <c r="K106" s="66">
        <f t="shared" si="35"/>
        <v>5.9611935638825786</v>
      </c>
      <c r="L106" s="66">
        <f t="shared" si="35"/>
        <v>6.0000304704014154</v>
      </c>
      <c r="M106" s="66">
        <f t="shared" si="35"/>
        <v>6.0179551964870317</v>
      </c>
      <c r="N106" s="66">
        <f t="shared" si="35"/>
        <v>6.0828130175092419</v>
      </c>
      <c r="O106" s="66">
        <f t="shared" si="35"/>
        <v>6.1483698362491817</v>
      </c>
      <c r="P106" s="66">
        <f t="shared" si="35"/>
        <v>6.2146331860744812</v>
      </c>
      <c r="Q106" s="66">
        <f t="shared" si="35"/>
        <v>6.2816106815427739</v>
      </c>
      <c r="R106" s="66">
        <f t="shared" si="35"/>
        <v>6.3493100192767153</v>
      </c>
      <c r="S106" s="66">
        <f t="shared" si="35"/>
        <v>6.4177389788484254</v>
      </c>
      <c r="T106" s="66">
        <f t="shared" si="35"/>
        <v>6.4869054236734698</v>
      </c>
      <c r="U106" s="66">
        <f t="shared" si="35"/>
        <v>6.5568173019144727</v>
      </c>
      <c r="V106" s="66">
        <f t="shared" si="35"/>
        <v>6.6274826473944684</v>
      </c>
      <c r="W106" s="66">
        <f t="shared" si="35"/>
        <v>6.6989095805200982</v>
      </c>
      <c r="X106" s="66">
        <f t="shared" si="35"/>
        <v>6.7711063092147485</v>
      </c>
      <c r="Y106" s="66">
        <f t="shared" si="35"/>
        <v>6.8440811298617623</v>
      </c>
      <c r="Z106" s="66">
        <f t="shared" si="35"/>
        <v>6.9178424282577975</v>
      </c>
      <c r="AA106" s="66">
        <f t="shared" si="35"/>
        <v>6.9923986805764766</v>
      </c>
      <c r="AB106" s="66">
        <f t="shared" si="35"/>
        <v>7.0677584543424068</v>
      </c>
      <c r="AC106" s="66">
        <f t="shared" si="35"/>
        <v>7.1439304094157077</v>
      </c>
      <c r="AD106" s="66">
        <f t="shared" si="35"/>
        <v>7.2209232989871479</v>
      </c>
      <c r="AE106" s="66">
        <f t="shared" si="35"/>
        <v>7.2987459705840054</v>
      </c>
      <c r="AF106" s="66">
        <f t="shared" si="35"/>
        <v>7.3774073670867653</v>
      </c>
      <c r="AG106" s="66">
        <f t="shared" si="35"/>
        <v>7.456916527756781</v>
      </c>
      <c r="AH106" s="66">
        <f t="shared" si="35"/>
        <v>7.5372825892750068</v>
      </c>
      <c r="AI106" s="66">
        <f t="shared" si="35"/>
        <v>7.6185147867919278</v>
      </c>
      <c r="AJ106" s="66">
        <f t="shared" si="35"/>
        <v>7.7006224549888005</v>
      </c>
      <c r="AK106" s="66">
        <f t="shared" si="35"/>
        <v>7.7836150291503392</v>
      </c>
    </row>
    <row r="107" spans="1:37" x14ac:dyDescent="0.25">
      <c r="A107" t="s">
        <v>752</v>
      </c>
      <c r="B107" s="66">
        <f>$K$57</f>
        <v>0</v>
      </c>
      <c r="C107" s="66">
        <f t="shared" ref="C107:AK107" si="36">$K$57</f>
        <v>0</v>
      </c>
      <c r="D107" s="66">
        <f t="shared" si="36"/>
        <v>0</v>
      </c>
      <c r="E107" s="66">
        <f t="shared" si="36"/>
        <v>0</v>
      </c>
      <c r="F107" s="66">
        <f t="shared" si="36"/>
        <v>0</v>
      </c>
      <c r="G107" s="66">
        <f t="shared" si="36"/>
        <v>0</v>
      </c>
      <c r="H107" s="66">
        <f t="shared" si="36"/>
        <v>0</v>
      </c>
      <c r="I107" s="66">
        <f t="shared" si="36"/>
        <v>0</v>
      </c>
      <c r="J107" s="66">
        <f t="shared" si="36"/>
        <v>0</v>
      </c>
      <c r="K107" s="66">
        <f t="shared" si="36"/>
        <v>0</v>
      </c>
      <c r="L107" s="66">
        <f t="shared" si="36"/>
        <v>0</v>
      </c>
      <c r="M107" s="66">
        <f t="shared" si="36"/>
        <v>0</v>
      </c>
      <c r="N107" s="66">
        <f t="shared" si="36"/>
        <v>0</v>
      </c>
      <c r="O107" s="66">
        <f t="shared" si="36"/>
        <v>0</v>
      </c>
      <c r="P107" s="66">
        <f t="shared" si="36"/>
        <v>0</v>
      </c>
      <c r="Q107" s="66">
        <f t="shared" si="36"/>
        <v>0</v>
      </c>
      <c r="R107" s="66">
        <f t="shared" si="36"/>
        <v>0</v>
      </c>
      <c r="S107" s="66">
        <f t="shared" si="36"/>
        <v>0</v>
      </c>
      <c r="T107" s="66">
        <f t="shared" si="36"/>
        <v>0</v>
      </c>
      <c r="U107" s="66">
        <f t="shared" si="36"/>
        <v>0</v>
      </c>
      <c r="V107" s="66">
        <f t="shared" si="36"/>
        <v>0</v>
      </c>
      <c r="W107" s="66">
        <f t="shared" si="36"/>
        <v>0</v>
      </c>
      <c r="X107" s="66">
        <f t="shared" si="36"/>
        <v>0</v>
      </c>
      <c r="Y107" s="66">
        <f t="shared" si="36"/>
        <v>0</v>
      </c>
      <c r="Z107" s="66">
        <f t="shared" si="36"/>
        <v>0</v>
      </c>
      <c r="AA107" s="66">
        <f t="shared" si="36"/>
        <v>0</v>
      </c>
      <c r="AB107" s="66">
        <f t="shared" si="36"/>
        <v>0</v>
      </c>
      <c r="AC107" s="66">
        <f t="shared" si="36"/>
        <v>0</v>
      </c>
      <c r="AD107" s="66">
        <f t="shared" si="36"/>
        <v>0</v>
      </c>
      <c r="AE107" s="66">
        <f t="shared" si="36"/>
        <v>0</v>
      </c>
      <c r="AF107" s="66">
        <f t="shared" si="36"/>
        <v>0</v>
      </c>
      <c r="AG107" s="66">
        <f t="shared" si="36"/>
        <v>0</v>
      </c>
      <c r="AH107" s="66">
        <f t="shared" si="36"/>
        <v>0</v>
      </c>
      <c r="AI107" s="66">
        <f t="shared" si="36"/>
        <v>0</v>
      </c>
      <c r="AJ107" s="66">
        <f t="shared" si="36"/>
        <v>0</v>
      </c>
      <c r="AK107" s="66">
        <f t="shared" si="36"/>
        <v>0</v>
      </c>
    </row>
    <row r="122" spans="1:2" x14ac:dyDescent="0.25">
      <c r="A122" t="s">
        <v>759</v>
      </c>
      <c r="B122" s="3" t="s">
        <v>755</v>
      </c>
    </row>
    <row r="123" spans="1:2" x14ac:dyDescent="0.25">
      <c r="A123" t="s">
        <v>759</v>
      </c>
      <c r="B123" t="s">
        <v>755</v>
      </c>
    </row>
    <row r="124" spans="1:2" x14ac:dyDescent="0.25">
      <c r="A124" t="s">
        <v>759</v>
      </c>
      <c r="B124" t="s">
        <v>755</v>
      </c>
    </row>
    <row r="125" spans="1:2" x14ac:dyDescent="0.25">
      <c r="A125" t="s">
        <v>759</v>
      </c>
      <c r="B125" t="s">
        <v>757</v>
      </c>
    </row>
    <row r="126" spans="1:2" x14ac:dyDescent="0.25">
      <c r="A126" t="s">
        <v>759</v>
      </c>
      <c r="B126" t="s">
        <v>757</v>
      </c>
    </row>
    <row r="127" spans="1:2" x14ac:dyDescent="0.25">
      <c r="A127" t="s">
        <v>758</v>
      </c>
    </row>
    <row r="128" spans="1:2" x14ac:dyDescent="0.25">
      <c r="A128" t="s">
        <v>758</v>
      </c>
    </row>
    <row r="129" spans="1:1" x14ac:dyDescent="0.25">
      <c r="A129" t="s">
        <v>758</v>
      </c>
    </row>
  </sheetData>
  <hyperlinks>
    <hyperlink ref="B122" r:id="rId1"/>
  </hyperlinks>
  <pageMargins left="0.7" right="0.7" top="0.75" bottom="0.75" header="0.3" footer="0.3"/>
  <pageSetup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K16"/>
  <sheetViews>
    <sheetView workbookViewId="0">
      <selection activeCell="B16" sqref="B16"/>
    </sheetView>
  </sheetViews>
  <sheetFormatPr defaultRowHeight="15" x14ac:dyDescent="0.25"/>
  <cols>
    <col min="1" max="1" width="28.5703125" customWidth="1"/>
  </cols>
  <sheetData>
    <row r="1" spans="1:37" x14ac:dyDescent="0.25">
      <c r="A1" s="56" t="s">
        <v>783</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row>
    <row r="2" spans="1:37" x14ac:dyDescent="0.25">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x14ac:dyDescent="0.25">
      <c r="A3" t="s">
        <v>784</v>
      </c>
      <c r="B3">
        <v>2.6</v>
      </c>
      <c r="C3">
        <v>3.1</v>
      </c>
      <c r="D3">
        <v>2.7</v>
      </c>
      <c r="E3">
        <v>2.8</v>
      </c>
      <c r="F3">
        <v>2.8</v>
      </c>
      <c r="G3">
        <v>2.8</v>
      </c>
      <c r="H3">
        <v>2.8</v>
      </c>
      <c r="I3">
        <v>2.8</v>
      </c>
      <c r="J3">
        <v>2.9</v>
      </c>
      <c r="K3">
        <v>2.9</v>
      </c>
      <c r="L3">
        <v>2.9</v>
      </c>
      <c r="M3">
        <v>2.9</v>
      </c>
      <c r="N3" s="68">
        <f>M3</f>
        <v>2.9</v>
      </c>
      <c r="O3" s="68">
        <f t="shared" ref="O3:AK3" si="0">N3</f>
        <v>2.9</v>
      </c>
      <c r="P3" s="68">
        <f t="shared" si="0"/>
        <v>2.9</v>
      </c>
      <c r="Q3" s="68">
        <f t="shared" si="0"/>
        <v>2.9</v>
      </c>
      <c r="R3" s="68">
        <f t="shared" si="0"/>
        <v>2.9</v>
      </c>
      <c r="S3" s="68">
        <f t="shared" si="0"/>
        <v>2.9</v>
      </c>
      <c r="T3" s="68">
        <f t="shared" si="0"/>
        <v>2.9</v>
      </c>
      <c r="U3" s="68">
        <f t="shared" si="0"/>
        <v>2.9</v>
      </c>
      <c r="V3" s="68">
        <f t="shared" si="0"/>
        <v>2.9</v>
      </c>
      <c r="W3" s="68">
        <f t="shared" si="0"/>
        <v>2.9</v>
      </c>
      <c r="X3" s="68">
        <f t="shared" si="0"/>
        <v>2.9</v>
      </c>
      <c r="Y3" s="68">
        <f t="shared" si="0"/>
        <v>2.9</v>
      </c>
      <c r="Z3" s="68">
        <f t="shared" si="0"/>
        <v>2.9</v>
      </c>
      <c r="AA3" s="68">
        <f t="shared" si="0"/>
        <v>2.9</v>
      </c>
      <c r="AB3" s="68">
        <f t="shared" si="0"/>
        <v>2.9</v>
      </c>
      <c r="AC3" s="68">
        <f t="shared" si="0"/>
        <v>2.9</v>
      </c>
      <c r="AD3" s="68">
        <f t="shared" si="0"/>
        <v>2.9</v>
      </c>
      <c r="AE3" s="68">
        <f t="shared" si="0"/>
        <v>2.9</v>
      </c>
      <c r="AF3" s="68">
        <f t="shared" si="0"/>
        <v>2.9</v>
      </c>
      <c r="AG3" s="68">
        <f t="shared" si="0"/>
        <v>2.9</v>
      </c>
      <c r="AH3" s="68">
        <f t="shared" si="0"/>
        <v>2.9</v>
      </c>
      <c r="AI3" s="68">
        <f t="shared" si="0"/>
        <v>2.9</v>
      </c>
      <c r="AJ3" s="68">
        <f t="shared" si="0"/>
        <v>2.9</v>
      </c>
      <c r="AK3" s="68">
        <f t="shared" si="0"/>
        <v>2.9</v>
      </c>
    </row>
    <row r="5" spans="1:37" x14ac:dyDescent="0.25">
      <c r="A5" s="56" t="s">
        <v>786</v>
      </c>
      <c r="B5" s="56"/>
      <c r="C5" s="56"/>
      <c r="D5" s="56"/>
      <c r="E5" s="56"/>
      <c r="F5" s="56"/>
    </row>
    <row r="6" spans="1:37" x14ac:dyDescent="0.25">
      <c r="B6">
        <v>2011</v>
      </c>
      <c r="C6">
        <v>2012</v>
      </c>
      <c r="D6">
        <v>2013</v>
      </c>
      <c r="E6">
        <v>2014</v>
      </c>
      <c r="F6">
        <v>2015</v>
      </c>
    </row>
    <row r="7" spans="1:37" x14ac:dyDescent="0.25">
      <c r="A7" t="s">
        <v>785</v>
      </c>
      <c r="B7">
        <v>1451</v>
      </c>
      <c r="C7">
        <v>1292</v>
      </c>
      <c r="D7">
        <v>1292</v>
      </c>
      <c r="E7">
        <v>1292</v>
      </c>
      <c r="F7">
        <v>1292</v>
      </c>
    </row>
    <row r="8" spans="1:37" x14ac:dyDescent="0.25">
      <c r="A8" t="s">
        <v>787</v>
      </c>
      <c r="B8">
        <v>564</v>
      </c>
      <c r="C8">
        <v>453</v>
      </c>
      <c r="D8">
        <v>454</v>
      </c>
      <c r="E8">
        <v>456</v>
      </c>
      <c r="F8">
        <v>449</v>
      </c>
    </row>
    <row r="10" spans="1:37" x14ac:dyDescent="0.25">
      <c r="A10" s="56" t="s">
        <v>788</v>
      </c>
      <c r="B10" s="56"/>
      <c r="C10" s="56"/>
      <c r="D10" s="56"/>
      <c r="E10" s="56"/>
      <c r="F10" s="56"/>
    </row>
    <row r="11" spans="1:37" x14ac:dyDescent="0.25">
      <c r="B11">
        <v>2011</v>
      </c>
      <c r="C11">
        <v>2012</v>
      </c>
      <c r="D11">
        <v>2013</v>
      </c>
      <c r="E11">
        <v>2014</v>
      </c>
      <c r="F11">
        <v>2015</v>
      </c>
    </row>
    <row r="12" spans="1:37" x14ac:dyDescent="0.25">
      <c r="A12" t="s">
        <v>789</v>
      </c>
      <c r="B12">
        <f>B8/(B7*2.47105)</f>
        <v>0.15730052003579814</v>
      </c>
      <c r="C12">
        <f t="shared" ref="C12:F12" si="1">C8/(C7*2.47105)</f>
        <v>0.14189077317190654</v>
      </c>
      <c r="D12">
        <f t="shared" si="1"/>
        <v>0.14220399783674517</v>
      </c>
      <c r="E12">
        <f t="shared" si="1"/>
        <v>0.14283044716642249</v>
      </c>
      <c r="F12">
        <f t="shared" si="1"/>
        <v>0.14063787451255194</v>
      </c>
    </row>
    <row r="14" spans="1:37" x14ac:dyDescent="0.25">
      <c r="A14" s="56" t="s">
        <v>737</v>
      </c>
      <c r="B14" s="59"/>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row>
    <row r="15" spans="1:37" x14ac:dyDescent="0.25">
      <c r="B15">
        <v>2015</v>
      </c>
      <c r="C15">
        <v>2016</v>
      </c>
      <c r="D15">
        <v>2017</v>
      </c>
      <c r="E15">
        <v>2018</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row>
    <row r="16" spans="1:37" x14ac:dyDescent="0.25">
      <c r="A16" t="s">
        <v>642</v>
      </c>
      <c r="B16" s="2">
        <f>F8</f>
        <v>449</v>
      </c>
      <c r="C16" s="2">
        <f>AVERAGE($B$12:$F$12)*$F$7*2.47105*C3/$B$3</f>
        <v>551.84700206753951</v>
      </c>
      <c r="D16" s="2">
        <f t="shared" ref="D16:AK16" si="2">AVERAGE($B$12:$F$12)*$F$7*2.47105*D3/$B$3</f>
        <v>480.64093728463121</v>
      </c>
      <c r="E16" s="2">
        <f t="shared" si="2"/>
        <v>498.44245348035827</v>
      </c>
      <c r="F16" s="2">
        <f t="shared" si="2"/>
        <v>498.44245348035827</v>
      </c>
      <c r="G16" s="2">
        <f t="shared" si="2"/>
        <v>498.44245348035827</v>
      </c>
      <c r="H16" s="2">
        <f t="shared" si="2"/>
        <v>498.44245348035827</v>
      </c>
      <c r="I16" s="2">
        <f t="shared" si="2"/>
        <v>498.44245348035827</v>
      </c>
      <c r="J16" s="2">
        <f t="shared" si="2"/>
        <v>516.24396967608538</v>
      </c>
      <c r="K16" s="2">
        <f t="shared" si="2"/>
        <v>516.24396967608538</v>
      </c>
      <c r="L16" s="2">
        <f t="shared" si="2"/>
        <v>516.24396967608538</v>
      </c>
      <c r="M16" s="2">
        <f t="shared" si="2"/>
        <v>516.24396967608538</v>
      </c>
      <c r="N16" s="2">
        <f t="shared" si="2"/>
        <v>516.24396967608538</v>
      </c>
      <c r="O16" s="2">
        <f t="shared" si="2"/>
        <v>516.24396967608538</v>
      </c>
      <c r="P16" s="2">
        <f t="shared" si="2"/>
        <v>516.24396967608538</v>
      </c>
      <c r="Q16" s="2">
        <f t="shared" si="2"/>
        <v>516.24396967608538</v>
      </c>
      <c r="R16" s="2">
        <f t="shared" si="2"/>
        <v>516.24396967608538</v>
      </c>
      <c r="S16" s="2">
        <f t="shared" si="2"/>
        <v>516.24396967608538</v>
      </c>
      <c r="T16" s="2">
        <f t="shared" si="2"/>
        <v>516.24396967608538</v>
      </c>
      <c r="U16" s="2">
        <f t="shared" si="2"/>
        <v>516.24396967608538</v>
      </c>
      <c r="V16" s="2">
        <f t="shared" si="2"/>
        <v>516.24396967608538</v>
      </c>
      <c r="W16" s="2">
        <f t="shared" si="2"/>
        <v>516.24396967608538</v>
      </c>
      <c r="X16" s="2">
        <f t="shared" si="2"/>
        <v>516.24396967608538</v>
      </c>
      <c r="Y16" s="2">
        <f t="shared" si="2"/>
        <v>516.24396967608538</v>
      </c>
      <c r="Z16" s="2">
        <f t="shared" si="2"/>
        <v>516.24396967608538</v>
      </c>
      <c r="AA16" s="2">
        <f t="shared" si="2"/>
        <v>516.24396967608538</v>
      </c>
      <c r="AB16" s="2">
        <f t="shared" si="2"/>
        <v>516.24396967608538</v>
      </c>
      <c r="AC16" s="2">
        <f t="shared" si="2"/>
        <v>516.24396967608538</v>
      </c>
      <c r="AD16" s="2">
        <f t="shared" si="2"/>
        <v>516.24396967608538</v>
      </c>
      <c r="AE16" s="2">
        <f t="shared" si="2"/>
        <v>516.24396967608538</v>
      </c>
      <c r="AF16" s="2">
        <f t="shared" si="2"/>
        <v>516.24396967608538</v>
      </c>
      <c r="AG16" s="2">
        <f t="shared" si="2"/>
        <v>516.24396967608538</v>
      </c>
      <c r="AH16" s="2">
        <f t="shared" si="2"/>
        <v>516.24396967608538</v>
      </c>
      <c r="AI16" s="2">
        <f t="shared" si="2"/>
        <v>516.24396967608538</v>
      </c>
      <c r="AJ16" s="2">
        <f t="shared" si="2"/>
        <v>516.24396967608538</v>
      </c>
      <c r="AK16" s="2">
        <f t="shared" si="2"/>
        <v>516.24396967608538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T159"/>
  <sheetViews>
    <sheetView topLeftCell="A124" zoomScale="85" zoomScaleNormal="85" workbookViewId="0">
      <selection activeCell="B159" sqref="B159"/>
    </sheetView>
  </sheetViews>
  <sheetFormatPr defaultRowHeight="15" x14ac:dyDescent="0.25"/>
  <cols>
    <col min="1" max="1" width="56.140625" style="61" customWidth="1"/>
  </cols>
  <sheetData>
    <row r="1" spans="1:17" x14ac:dyDescent="0.25">
      <c r="A1" s="94" t="s">
        <v>816</v>
      </c>
      <c r="B1" s="56"/>
      <c r="C1" s="56"/>
      <c r="D1" s="56"/>
      <c r="E1" s="56"/>
      <c r="F1" s="56"/>
      <c r="G1" s="56"/>
      <c r="H1" s="56"/>
      <c r="I1" s="56"/>
      <c r="J1" s="56"/>
      <c r="K1" s="56"/>
      <c r="L1" s="56"/>
      <c r="M1" s="56"/>
      <c r="N1" s="56"/>
      <c r="O1" s="56"/>
      <c r="P1" s="56"/>
      <c r="Q1" s="56"/>
    </row>
    <row r="2" spans="1:17" x14ac:dyDescent="0.25">
      <c r="A2" s="30" t="s">
        <v>790</v>
      </c>
      <c r="B2" s="30"/>
      <c r="C2" s="30"/>
      <c r="D2" s="30"/>
      <c r="E2" s="30"/>
      <c r="F2" s="30"/>
      <c r="G2" s="30"/>
      <c r="H2" s="30"/>
      <c r="I2" s="30"/>
      <c r="J2" s="30"/>
    </row>
    <row r="3" spans="1:17" x14ac:dyDescent="0.25">
      <c r="A3" s="30" t="s">
        <v>791</v>
      </c>
      <c r="B3" s="30"/>
      <c r="C3" s="30"/>
      <c r="D3" s="30"/>
      <c r="E3" s="30"/>
      <c r="F3" s="30"/>
      <c r="G3" s="30"/>
      <c r="H3" s="30"/>
      <c r="I3" s="30"/>
      <c r="J3" s="30"/>
    </row>
    <row r="4" spans="1:17" x14ac:dyDescent="0.25">
      <c r="A4" s="28" t="s">
        <v>276</v>
      </c>
      <c r="B4" s="37">
        <v>1990</v>
      </c>
      <c r="C4" s="75"/>
      <c r="D4" s="37">
        <v>2005</v>
      </c>
      <c r="E4" s="76"/>
      <c r="F4" s="37">
        <v>2011</v>
      </c>
      <c r="G4" s="37">
        <v>2012</v>
      </c>
      <c r="H4" s="37">
        <v>2013</v>
      </c>
      <c r="I4" s="37">
        <v>2014</v>
      </c>
      <c r="J4" s="37">
        <v>2015</v>
      </c>
      <c r="K4" t="s">
        <v>810</v>
      </c>
    </row>
    <row r="5" spans="1:17" x14ac:dyDescent="0.25">
      <c r="A5" s="24" t="s">
        <v>792</v>
      </c>
      <c r="B5" s="77">
        <v>147.5</v>
      </c>
      <c r="C5" s="78"/>
      <c r="D5" s="77">
        <v>153.9</v>
      </c>
      <c r="E5" s="79"/>
      <c r="F5" s="77">
        <v>158.30000000000001</v>
      </c>
      <c r="G5" s="77">
        <v>156.69999999999999</v>
      </c>
      <c r="H5" s="77">
        <v>154.19999999999999</v>
      </c>
      <c r="I5" s="77">
        <v>154.30000000000001</v>
      </c>
      <c r="J5" s="77">
        <v>154.6</v>
      </c>
    </row>
    <row r="6" spans="1:17" x14ac:dyDescent="0.25">
      <c r="A6" s="26" t="s">
        <v>793</v>
      </c>
      <c r="B6" s="80">
        <v>144.1</v>
      </c>
      <c r="C6" s="33"/>
      <c r="D6" s="80">
        <v>150.6</v>
      </c>
      <c r="E6" s="34"/>
      <c r="F6" s="80">
        <v>155.1</v>
      </c>
      <c r="G6" s="80">
        <v>153.5</v>
      </c>
      <c r="H6" s="80">
        <v>151</v>
      </c>
      <c r="I6" s="80">
        <v>151.1</v>
      </c>
      <c r="J6" s="80">
        <v>151.4</v>
      </c>
    </row>
    <row r="7" spans="1:17" x14ac:dyDescent="0.25">
      <c r="A7" s="25" t="s">
        <v>794</v>
      </c>
      <c r="B7" s="81">
        <v>53.6</v>
      </c>
      <c r="C7" s="33"/>
      <c r="D7" s="81">
        <v>54.6</v>
      </c>
      <c r="E7" s="34"/>
      <c r="F7" s="81">
        <v>58</v>
      </c>
      <c r="G7" s="81">
        <v>60.4</v>
      </c>
      <c r="H7" s="81">
        <v>58.3</v>
      </c>
      <c r="I7" s="81">
        <v>58.2</v>
      </c>
      <c r="J7" s="81">
        <v>58.3</v>
      </c>
      <c r="K7" t="s">
        <v>811</v>
      </c>
    </row>
    <row r="8" spans="1:17" x14ac:dyDescent="0.25">
      <c r="A8" s="30" t="s">
        <v>795</v>
      </c>
      <c r="B8" s="81">
        <v>10</v>
      </c>
      <c r="C8" s="33"/>
      <c r="D8" s="81">
        <v>10.9</v>
      </c>
      <c r="E8" s="34"/>
      <c r="F8" s="81">
        <v>11.2</v>
      </c>
      <c r="G8" s="81">
        <v>11.3</v>
      </c>
      <c r="H8" s="81">
        <v>11.3</v>
      </c>
      <c r="I8" s="81">
        <v>11.2</v>
      </c>
      <c r="J8" s="81">
        <v>11.4</v>
      </c>
      <c r="K8" t="s">
        <v>812</v>
      </c>
    </row>
    <row r="9" spans="1:17" x14ac:dyDescent="0.25">
      <c r="A9" s="30" t="s">
        <v>796</v>
      </c>
      <c r="B9" s="81">
        <v>22.1</v>
      </c>
      <c r="C9" s="33"/>
      <c r="D9" s="81">
        <v>22.9</v>
      </c>
      <c r="E9" s="34"/>
      <c r="F9" s="81">
        <v>23.9</v>
      </c>
      <c r="G9" s="81">
        <v>23.5</v>
      </c>
      <c r="H9" s="81">
        <v>23.7</v>
      </c>
      <c r="I9" s="81">
        <v>23.8</v>
      </c>
      <c r="J9" s="81">
        <v>23.9</v>
      </c>
      <c r="K9" t="s">
        <v>813</v>
      </c>
    </row>
    <row r="10" spans="1:17" x14ac:dyDescent="0.25">
      <c r="A10" s="25" t="s">
        <v>797</v>
      </c>
      <c r="B10" s="82">
        <v>58.4</v>
      </c>
      <c r="C10" s="33"/>
      <c r="D10" s="82">
        <v>62.2</v>
      </c>
      <c r="E10" s="34"/>
      <c r="F10" s="82">
        <v>62.1</v>
      </c>
      <c r="G10" s="82">
        <v>58.2</v>
      </c>
      <c r="H10" s="82">
        <v>57.8</v>
      </c>
      <c r="I10" s="82">
        <v>57.8</v>
      </c>
      <c r="J10" s="82">
        <v>57.8</v>
      </c>
      <c r="K10" t="s">
        <v>814</v>
      </c>
    </row>
    <row r="11" spans="1:17" x14ac:dyDescent="0.25">
      <c r="A11" s="26" t="s">
        <v>798</v>
      </c>
      <c r="B11" s="80">
        <v>3.3</v>
      </c>
      <c r="C11" s="33"/>
      <c r="D11" s="80">
        <v>3.3</v>
      </c>
      <c r="E11" s="34"/>
      <c r="F11" s="80">
        <v>3.2</v>
      </c>
      <c r="G11" s="80">
        <v>3.2</v>
      </c>
      <c r="H11" s="80">
        <v>3.2</v>
      </c>
      <c r="I11" s="80">
        <v>3.2</v>
      </c>
      <c r="J11" s="80">
        <v>3.2</v>
      </c>
      <c r="K11" t="s">
        <v>814</v>
      </c>
    </row>
    <row r="12" spans="1:17" x14ac:dyDescent="0.25">
      <c r="A12" s="26" t="s">
        <v>799</v>
      </c>
      <c r="B12" s="80">
        <v>64.5</v>
      </c>
      <c r="C12" s="33"/>
      <c r="D12" s="80">
        <v>64.599999999999994</v>
      </c>
      <c r="E12" s="34"/>
      <c r="F12" s="80">
        <v>62.1</v>
      </c>
      <c r="G12" s="80">
        <v>59</v>
      </c>
      <c r="H12" s="80">
        <v>58.6</v>
      </c>
      <c r="I12" s="80">
        <v>58.1</v>
      </c>
      <c r="J12" s="80">
        <v>58.7</v>
      </c>
    </row>
    <row r="13" spans="1:17" x14ac:dyDescent="0.25">
      <c r="A13" s="26" t="s">
        <v>793</v>
      </c>
      <c r="B13" s="80">
        <v>61.3</v>
      </c>
      <c r="C13" s="33"/>
      <c r="D13" s="80">
        <v>61.1</v>
      </c>
      <c r="E13" s="34"/>
      <c r="F13" s="80">
        <v>58.8</v>
      </c>
      <c r="G13" s="80">
        <v>55.7</v>
      </c>
      <c r="H13" s="80">
        <v>55.3</v>
      </c>
      <c r="I13" s="80">
        <v>54.9</v>
      </c>
      <c r="J13" s="80">
        <v>55.4</v>
      </c>
    </row>
    <row r="14" spans="1:17" x14ac:dyDescent="0.25">
      <c r="A14" s="25" t="s">
        <v>794</v>
      </c>
      <c r="B14" s="81">
        <v>0.9</v>
      </c>
      <c r="C14" s="33"/>
      <c r="D14" s="81">
        <v>0.8</v>
      </c>
      <c r="E14" s="34"/>
      <c r="F14" s="81">
        <v>0.8</v>
      </c>
      <c r="G14" s="81">
        <v>0.7</v>
      </c>
      <c r="H14" s="81">
        <v>0.7</v>
      </c>
      <c r="I14" s="81">
        <v>0.7</v>
      </c>
      <c r="J14" s="81">
        <v>0.7</v>
      </c>
      <c r="K14" t="s">
        <v>811</v>
      </c>
    </row>
    <row r="15" spans="1:17" x14ac:dyDescent="0.25">
      <c r="A15" s="25" t="s">
        <v>800</v>
      </c>
      <c r="B15" s="81">
        <v>16.100000000000001</v>
      </c>
      <c r="C15" s="33"/>
      <c r="D15" s="81">
        <v>13.8</v>
      </c>
      <c r="E15" s="34"/>
      <c r="F15" s="81">
        <v>13.6</v>
      </c>
      <c r="G15" s="81">
        <v>13.3</v>
      </c>
      <c r="H15" s="81">
        <v>13</v>
      </c>
      <c r="I15" s="81">
        <v>12.5</v>
      </c>
      <c r="J15" s="81">
        <v>13.2</v>
      </c>
      <c r="K15" t="s">
        <v>812</v>
      </c>
    </row>
    <row r="16" spans="1:17" x14ac:dyDescent="0.25">
      <c r="A16" s="30" t="s">
        <v>801</v>
      </c>
      <c r="B16" s="81">
        <v>0.9</v>
      </c>
      <c r="C16" s="33"/>
      <c r="D16" s="81">
        <v>1.1000000000000001</v>
      </c>
      <c r="E16" s="34"/>
      <c r="F16" s="81">
        <v>1.1000000000000001</v>
      </c>
      <c r="G16" s="81">
        <v>1.1000000000000001</v>
      </c>
      <c r="H16" s="81">
        <v>1.1000000000000001</v>
      </c>
      <c r="I16" s="81">
        <v>1.1000000000000001</v>
      </c>
      <c r="J16" s="81">
        <v>1.1000000000000001</v>
      </c>
      <c r="K16" t="s">
        <v>812</v>
      </c>
    </row>
    <row r="17" spans="1:13" x14ac:dyDescent="0.25">
      <c r="A17" s="25" t="s">
        <v>802</v>
      </c>
      <c r="B17" s="82">
        <v>0.2</v>
      </c>
      <c r="C17" s="33"/>
      <c r="D17" s="82">
        <v>0.5</v>
      </c>
      <c r="E17" s="34"/>
      <c r="F17" s="82">
        <v>0.5</v>
      </c>
      <c r="G17" s="82">
        <v>0.6</v>
      </c>
      <c r="H17" s="82">
        <v>0.6</v>
      </c>
      <c r="I17" s="82">
        <v>0.6</v>
      </c>
      <c r="J17" s="82">
        <v>0.6</v>
      </c>
      <c r="K17" t="s">
        <v>814</v>
      </c>
    </row>
    <row r="18" spans="1:13" x14ac:dyDescent="0.25">
      <c r="A18" s="30" t="s">
        <v>803</v>
      </c>
      <c r="B18" s="81">
        <v>14.5</v>
      </c>
      <c r="C18" s="33"/>
      <c r="D18" s="81">
        <v>15.8</v>
      </c>
      <c r="E18" s="34"/>
      <c r="F18" s="81">
        <v>14.8</v>
      </c>
      <c r="G18" s="81">
        <v>14.2</v>
      </c>
      <c r="H18" s="81">
        <v>14.2</v>
      </c>
      <c r="I18" s="81">
        <v>14.2</v>
      </c>
      <c r="J18" s="81">
        <v>14.2</v>
      </c>
      <c r="K18" t="s">
        <v>813</v>
      </c>
    </row>
    <row r="19" spans="1:13" x14ac:dyDescent="0.25">
      <c r="A19" s="25" t="s">
        <v>797</v>
      </c>
      <c r="B19" s="82">
        <v>28.5</v>
      </c>
      <c r="C19" s="33"/>
      <c r="D19" s="82">
        <v>29.2</v>
      </c>
      <c r="E19" s="34"/>
      <c r="F19" s="82">
        <v>28.1</v>
      </c>
      <c r="G19" s="82">
        <v>25.8</v>
      </c>
      <c r="H19" s="82">
        <v>25.8</v>
      </c>
      <c r="I19" s="82">
        <v>25.8</v>
      </c>
      <c r="J19" s="82">
        <v>25.7</v>
      </c>
      <c r="K19" t="s">
        <v>814</v>
      </c>
    </row>
    <row r="20" spans="1:13" x14ac:dyDescent="0.25">
      <c r="A20" s="93" t="s">
        <v>798</v>
      </c>
      <c r="B20" s="83">
        <v>3.3</v>
      </c>
      <c r="C20" s="84"/>
      <c r="D20" s="83">
        <v>3.5</v>
      </c>
      <c r="E20" s="85"/>
      <c r="F20" s="83">
        <v>3.3</v>
      </c>
      <c r="G20" s="83">
        <v>3.3</v>
      </c>
      <c r="H20" s="83">
        <v>3.3</v>
      </c>
      <c r="I20" s="83">
        <v>3.3</v>
      </c>
      <c r="J20" s="83">
        <v>3.3</v>
      </c>
      <c r="K20" t="s">
        <v>814</v>
      </c>
    </row>
    <row r="21" spans="1:13" x14ac:dyDescent="0.25">
      <c r="A21" s="28" t="s">
        <v>269</v>
      </c>
      <c r="B21" s="86">
        <v>212</v>
      </c>
      <c r="C21" s="75"/>
      <c r="D21" s="86">
        <v>218.5</v>
      </c>
      <c r="E21" s="76"/>
      <c r="F21" s="86">
        <v>220.4</v>
      </c>
      <c r="G21" s="86">
        <v>215.6</v>
      </c>
      <c r="H21" s="86">
        <v>212.8</v>
      </c>
      <c r="I21" s="86">
        <v>212.4</v>
      </c>
      <c r="J21" s="86">
        <v>213.3</v>
      </c>
    </row>
    <row r="22" spans="1:13" x14ac:dyDescent="0.25">
      <c r="A22" s="362" t="s">
        <v>804</v>
      </c>
      <c r="B22" s="362"/>
      <c r="C22" s="362"/>
      <c r="D22" s="362"/>
      <c r="E22" s="362"/>
      <c r="F22" s="362"/>
      <c r="G22" s="362"/>
      <c r="H22" s="362"/>
      <c r="I22" s="362"/>
      <c r="J22" s="362"/>
    </row>
    <row r="24" spans="1:13" x14ac:dyDescent="0.25">
      <c r="A24" s="30" t="s">
        <v>805</v>
      </c>
      <c r="B24" s="30"/>
      <c r="C24" s="30"/>
      <c r="D24" s="30"/>
      <c r="E24" s="30"/>
      <c r="F24" s="30"/>
      <c r="G24" s="30"/>
      <c r="H24" s="30"/>
      <c r="I24" s="30"/>
      <c r="J24" s="30"/>
      <c r="K24" s="30"/>
      <c r="L24" s="30"/>
    </row>
    <row r="25" spans="1:13" x14ac:dyDescent="0.25">
      <c r="A25" s="28" t="s">
        <v>276</v>
      </c>
      <c r="B25" s="37">
        <v>1990</v>
      </c>
      <c r="C25" s="87"/>
      <c r="D25" s="88"/>
      <c r="E25" s="37">
        <v>2005</v>
      </c>
      <c r="F25" s="38"/>
      <c r="G25" s="39"/>
      <c r="H25" s="37">
        <v>2011</v>
      </c>
      <c r="I25" s="37">
        <v>2012</v>
      </c>
      <c r="J25" s="37">
        <v>2013</v>
      </c>
      <c r="K25" s="37">
        <v>2014</v>
      </c>
      <c r="L25" s="37">
        <v>2015</v>
      </c>
      <c r="M25" t="s">
        <v>810</v>
      </c>
    </row>
    <row r="26" spans="1:13" x14ac:dyDescent="0.25">
      <c r="A26" s="24" t="s">
        <v>792</v>
      </c>
      <c r="B26" s="77">
        <v>37</v>
      </c>
      <c r="C26" s="89"/>
      <c r="D26" s="90"/>
      <c r="E26" s="77">
        <v>34.4</v>
      </c>
      <c r="F26" s="41"/>
      <c r="G26" s="42"/>
      <c r="H26" s="77">
        <v>41.9</v>
      </c>
      <c r="I26" s="77">
        <v>31.6</v>
      </c>
      <c r="J26" s="77">
        <v>30.9</v>
      </c>
      <c r="K26" s="77">
        <v>30.8</v>
      </c>
      <c r="L26" s="77">
        <v>31.1</v>
      </c>
      <c r="M26" t="s">
        <v>815</v>
      </c>
    </row>
    <row r="27" spans="1:13" x14ac:dyDescent="0.25">
      <c r="A27" s="25" t="s">
        <v>806</v>
      </c>
      <c r="B27" s="82">
        <v>12</v>
      </c>
      <c r="C27" s="33"/>
      <c r="D27" s="33"/>
      <c r="E27" s="82">
        <v>13</v>
      </c>
      <c r="F27" s="34"/>
      <c r="G27" s="34"/>
      <c r="H27" s="82">
        <v>12.9</v>
      </c>
      <c r="I27" s="82">
        <v>12.7</v>
      </c>
      <c r="J27" s="82">
        <v>12.5</v>
      </c>
      <c r="K27" s="82">
        <v>12.5</v>
      </c>
      <c r="L27" s="82">
        <v>12.7</v>
      </c>
      <c r="M27" t="s">
        <v>815</v>
      </c>
    </row>
    <row r="28" spans="1:13" x14ac:dyDescent="0.25">
      <c r="A28" s="25" t="s">
        <v>807</v>
      </c>
      <c r="B28" s="81">
        <v>25</v>
      </c>
      <c r="C28" s="33"/>
      <c r="D28" s="33"/>
      <c r="E28" s="81">
        <v>21.4</v>
      </c>
      <c r="F28" s="34"/>
      <c r="G28" s="34"/>
      <c r="H28" s="81">
        <v>29</v>
      </c>
      <c r="I28" s="81">
        <v>18.899999999999999</v>
      </c>
      <c r="J28" s="81">
        <v>18.399999999999999</v>
      </c>
      <c r="K28" s="81">
        <v>18.399999999999999</v>
      </c>
      <c r="L28" s="81">
        <v>18.399999999999999</v>
      </c>
      <c r="M28" t="s">
        <v>815</v>
      </c>
    </row>
    <row r="29" spans="1:13" x14ac:dyDescent="0.25">
      <c r="A29" s="26" t="s">
        <v>799</v>
      </c>
      <c r="B29" s="80">
        <v>7.6</v>
      </c>
      <c r="C29" s="33"/>
      <c r="D29" s="33"/>
      <c r="E29" s="80">
        <v>7</v>
      </c>
      <c r="F29" s="34"/>
      <c r="G29" s="34"/>
      <c r="H29" s="80">
        <v>7.8</v>
      </c>
      <c r="I29" s="80">
        <v>6.9</v>
      </c>
      <c r="J29" s="80">
        <v>6.8</v>
      </c>
      <c r="K29" s="80">
        <v>6.7</v>
      </c>
      <c r="L29" s="80">
        <v>6.9</v>
      </c>
      <c r="M29" t="s">
        <v>815</v>
      </c>
    </row>
    <row r="30" spans="1:13" x14ac:dyDescent="0.25">
      <c r="A30" s="30" t="s">
        <v>808</v>
      </c>
      <c r="B30" s="82">
        <v>4.3</v>
      </c>
      <c r="C30" s="33"/>
      <c r="D30" s="33"/>
      <c r="E30" s="82">
        <v>4.5</v>
      </c>
      <c r="F30" s="34"/>
      <c r="G30" s="34"/>
      <c r="H30" s="82">
        <v>4.2</v>
      </c>
      <c r="I30" s="82">
        <v>4.2</v>
      </c>
      <c r="J30" s="82">
        <v>4.2</v>
      </c>
      <c r="K30" s="82">
        <v>4.2</v>
      </c>
      <c r="L30" s="82">
        <v>4.2</v>
      </c>
      <c r="M30" t="s">
        <v>815</v>
      </c>
    </row>
    <row r="31" spans="1:13" x14ac:dyDescent="0.25">
      <c r="A31" s="27" t="s">
        <v>807</v>
      </c>
      <c r="B31" s="83">
        <v>3.2</v>
      </c>
      <c r="C31" s="91"/>
      <c r="D31" s="92"/>
      <c r="E31" s="83">
        <v>2.5</v>
      </c>
      <c r="F31" s="47"/>
      <c r="G31" s="48"/>
      <c r="H31" s="83">
        <v>3.5</v>
      </c>
      <c r="I31" s="83">
        <v>2.6</v>
      </c>
      <c r="J31" s="83">
        <v>2.6</v>
      </c>
      <c r="K31" s="83">
        <v>2.6</v>
      </c>
      <c r="L31" s="83">
        <v>2.6</v>
      </c>
      <c r="M31" t="s">
        <v>815</v>
      </c>
    </row>
    <row r="32" spans="1:13" x14ac:dyDescent="0.25">
      <c r="A32" s="28" t="s">
        <v>269</v>
      </c>
      <c r="B32" s="86">
        <v>44.6</v>
      </c>
      <c r="C32" s="87"/>
      <c r="D32" s="88"/>
      <c r="E32" s="86">
        <v>41.4</v>
      </c>
      <c r="F32" s="38"/>
      <c r="G32" s="39"/>
      <c r="H32" s="86">
        <v>49.7</v>
      </c>
      <c r="I32" s="86">
        <v>38.4</v>
      </c>
      <c r="J32" s="86">
        <v>37.700000000000003</v>
      </c>
      <c r="K32" s="86">
        <v>37.6</v>
      </c>
      <c r="L32" s="86">
        <v>38</v>
      </c>
    </row>
    <row r="33" spans="1:46" x14ac:dyDescent="0.25">
      <c r="A33" s="363" t="s">
        <v>809</v>
      </c>
      <c r="B33" s="363"/>
      <c r="C33" s="363"/>
      <c r="D33" s="363"/>
      <c r="E33" s="363"/>
      <c r="F33" s="363"/>
      <c r="G33" s="363"/>
      <c r="H33" s="363"/>
      <c r="I33" s="363"/>
      <c r="J33" s="363"/>
      <c r="K33" s="363"/>
      <c r="L33" s="363"/>
    </row>
    <row r="35" spans="1:46" x14ac:dyDescent="0.25">
      <c r="A35" s="95" t="s">
        <v>811</v>
      </c>
      <c r="B35" s="74"/>
      <c r="C35" s="74"/>
      <c r="D35" s="74"/>
      <c r="E35" s="74"/>
      <c r="F35" s="74"/>
      <c r="G35" s="74"/>
      <c r="H35" s="74"/>
      <c r="I35" s="74"/>
      <c r="J35" s="74"/>
      <c r="K35" s="74"/>
      <c r="L35" s="74"/>
      <c r="M35" s="74"/>
      <c r="N35" s="74"/>
      <c r="O35" s="74"/>
      <c r="P35" s="74"/>
      <c r="Q35" s="74"/>
    </row>
    <row r="36" spans="1:46" x14ac:dyDescent="0.25">
      <c r="A36" s="94" t="s">
        <v>818</v>
      </c>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row>
    <row r="37" spans="1:46" x14ac:dyDescent="0.25">
      <c r="B37">
        <v>2006</v>
      </c>
      <c r="C37">
        <v>2007</v>
      </c>
      <c r="D37">
        <v>2008</v>
      </c>
      <c r="E37">
        <v>2009</v>
      </c>
      <c r="F37">
        <v>2010</v>
      </c>
      <c r="G37">
        <v>2011</v>
      </c>
      <c r="H37">
        <v>2012</v>
      </c>
      <c r="I37">
        <v>2013</v>
      </c>
      <c r="J37">
        <v>2014</v>
      </c>
      <c r="K37">
        <v>2015</v>
      </c>
      <c r="L37">
        <v>2016</v>
      </c>
      <c r="M37">
        <v>2017</v>
      </c>
      <c r="N37">
        <v>2018</v>
      </c>
      <c r="O37">
        <v>2019</v>
      </c>
      <c r="P37">
        <v>2020</v>
      </c>
      <c r="Q37">
        <v>2021</v>
      </c>
      <c r="R37">
        <v>2022</v>
      </c>
      <c r="S37">
        <v>2023</v>
      </c>
      <c r="T37">
        <v>2024</v>
      </c>
      <c r="U37">
        <v>2025</v>
      </c>
      <c r="V37">
        <v>2026</v>
      </c>
      <c r="W37">
        <v>2027</v>
      </c>
      <c r="X37">
        <v>2028</v>
      </c>
      <c r="Y37">
        <v>2029</v>
      </c>
      <c r="Z37">
        <v>2030</v>
      </c>
      <c r="AA37">
        <v>2031</v>
      </c>
      <c r="AB37">
        <v>2032</v>
      </c>
      <c r="AC37">
        <v>2033</v>
      </c>
      <c r="AD37">
        <v>2034</v>
      </c>
      <c r="AE37">
        <v>2035</v>
      </c>
      <c r="AF37">
        <v>2036</v>
      </c>
      <c r="AG37">
        <v>2037</v>
      </c>
      <c r="AH37">
        <v>2038</v>
      </c>
      <c r="AI37">
        <v>2039</v>
      </c>
      <c r="AJ37">
        <v>2040</v>
      </c>
      <c r="AK37">
        <v>2041</v>
      </c>
      <c r="AL37">
        <v>2042</v>
      </c>
      <c r="AM37">
        <v>2043</v>
      </c>
      <c r="AN37">
        <v>2044</v>
      </c>
      <c r="AO37">
        <v>2045</v>
      </c>
      <c r="AP37">
        <v>2046</v>
      </c>
      <c r="AQ37">
        <v>2047</v>
      </c>
      <c r="AR37">
        <v>2048</v>
      </c>
      <c r="AS37">
        <v>2049</v>
      </c>
      <c r="AT37">
        <v>2050</v>
      </c>
    </row>
    <row r="38" spans="1:46" x14ac:dyDescent="0.25">
      <c r="A38" s="61" t="s">
        <v>817</v>
      </c>
      <c r="B38">
        <v>6495</v>
      </c>
      <c r="C38">
        <v>10263</v>
      </c>
      <c r="D38">
        <v>9850</v>
      </c>
      <c r="E38">
        <v>9755</v>
      </c>
      <c r="F38">
        <v>9912</v>
      </c>
      <c r="G38">
        <v>9935</v>
      </c>
      <c r="H38">
        <v>10101</v>
      </c>
      <c r="I38">
        <v>10101</v>
      </c>
      <c r="J38">
        <v>10101</v>
      </c>
      <c r="K38">
        <v>10101</v>
      </c>
    </row>
    <row r="39" spans="1:46" x14ac:dyDescent="0.25">
      <c r="A39" s="61" t="s">
        <v>819</v>
      </c>
      <c r="B39">
        <v>1755</v>
      </c>
      <c r="C39">
        <v>1584</v>
      </c>
      <c r="D39">
        <v>1453</v>
      </c>
      <c r="E39">
        <v>1212</v>
      </c>
      <c r="F39">
        <v>1433</v>
      </c>
      <c r="G39">
        <v>1815</v>
      </c>
      <c r="H39">
        <v>2017</v>
      </c>
      <c r="I39">
        <v>1653</v>
      </c>
      <c r="J39">
        <v>1647</v>
      </c>
      <c r="K39">
        <v>1658</v>
      </c>
    </row>
    <row r="40" spans="1:46" x14ac:dyDescent="0.25">
      <c r="A40" s="61" t="s">
        <v>820</v>
      </c>
      <c r="B40">
        <f>SUM(B38:B39)</f>
        <v>8250</v>
      </c>
      <c r="C40">
        <f t="shared" ref="C40:K40" si="0">SUM(C38:C39)</f>
        <v>11847</v>
      </c>
      <c r="D40">
        <f t="shared" si="0"/>
        <v>11303</v>
      </c>
      <c r="E40">
        <f t="shared" si="0"/>
        <v>10967</v>
      </c>
      <c r="F40">
        <f t="shared" si="0"/>
        <v>11345</v>
      </c>
      <c r="G40">
        <f t="shared" si="0"/>
        <v>11750</v>
      </c>
      <c r="H40">
        <f t="shared" si="0"/>
        <v>12118</v>
      </c>
      <c r="I40">
        <f t="shared" si="0"/>
        <v>11754</v>
      </c>
      <c r="J40">
        <f t="shared" si="0"/>
        <v>11748</v>
      </c>
      <c r="K40">
        <f t="shared" si="0"/>
        <v>11759</v>
      </c>
      <c r="L40" s="2">
        <f>K40</f>
        <v>11759</v>
      </c>
      <c r="M40" s="2">
        <f t="shared" ref="M40:AT40" si="1">L40</f>
        <v>11759</v>
      </c>
      <c r="N40" s="2">
        <f t="shared" si="1"/>
        <v>11759</v>
      </c>
      <c r="O40" s="2">
        <f t="shared" si="1"/>
        <v>11759</v>
      </c>
      <c r="P40" s="2">
        <f t="shared" si="1"/>
        <v>11759</v>
      </c>
      <c r="Q40" s="2">
        <f t="shared" si="1"/>
        <v>11759</v>
      </c>
      <c r="R40" s="2">
        <f t="shared" si="1"/>
        <v>11759</v>
      </c>
      <c r="S40" s="2">
        <f t="shared" si="1"/>
        <v>11759</v>
      </c>
      <c r="T40" s="2">
        <f t="shared" si="1"/>
        <v>11759</v>
      </c>
      <c r="U40" s="2">
        <f t="shared" si="1"/>
        <v>11759</v>
      </c>
      <c r="V40" s="2">
        <f t="shared" si="1"/>
        <v>11759</v>
      </c>
      <c r="W40" s="2">
        <f t="shared" si="1"/>
        <v>11759</v>
      </c>
      <c r="X40" s="2">
        <f t="shared" si="1"/>
        <v>11759</v>
      </c>
      <c r="Y40" s="2">
        <f t="shared" si="1"/>
        <v>11759</v>
      </c>
      <c r="Z40" s="2">
        <f t="shared" si="1"/>
        <v>11759</v>
      </c>
      <c r="AA40" s="2">
        <f t="shared" si="1"/>
        <v>11759</v>
      </c>
      <c r="AB40" s="2">
        <f t="shared" si="1"/>
        <v>11759</v>
      </c>
      <c r="AC40" s="2">
        <f t="shared" si="1"/>
        <v>11759</v>
      </c>
      <c r="AD40" s="2">
        <f t="shared" si="1"/>
        <v>11759</v>
      </c>
      <c r="AE40" s="2">
        <f t="shared" si="1"/>
        <v>11759</v>
      </c>
      <c r="AF40" s="2">
        <f t="shared" si="1"/>
        <v>11759</v>
      </c>
      <c r="AG40" s="2">
        <f t="shared" si="1"/>
        <v>11759</v>
      </c>
      <c r="AH40" s="2">
        <f t="shared" si="1"/>
        <v>11759</v>
      </c>
      <c r="AI40" s="2">
        <f t="shared" si="1"/>
        <v>11759</v>
      </c>
      <c r="AJ40" s="2">
        <f t="shared" si="1"/>
        <v>11759</v>
      </c>
      <c r="AK40" s="2">
        <f t="shared" si="1"/>
        <v>11759</v>
      </c>
      <c r="AL40" s="2">
        <f t="shared" si="1"/>
        <v>11759</v>
      </c>
      <c r="AM40" s="2">
        <f t="shared" si="1"/>
        <v>11759</v>
      </c>
      <c r="AN40" s="2">
        <f t="shared" si="1"/>
        <v>11759</v>
      </c>
      <c r="AO40" s="2">
        <f t="shared" si="1"/>
        <v>11759</v>
      </c>
      <c r="AP40" s="2">
        <f t="shared" si="1"/>
        <v>11759</v>
      </c>
      <c r="AQ40" s="2">
        <f t="shared" si="1"/>
        <v>11759</v>
      </c>
      <c r="AR40" s="2">
        <f t="shared" si="1"/>
        <v>11759</v>
      </c>
      <c r="AS40" s="2">
        <f t="shared" si="1"/>
        <v>11759</v>
      </c>
      <c r="AT40" s="2">
        <f t="shared" si="1"/>
        <v>11759</v>
      </c>
    </row>
    <row r="42" spans="1:46" x14ac:dyDescent="0.25">
      <c r="A42" s="94" t="s">
        <v>925</v>
      </c>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row>
    <row r="43" spans="1:46" x14ac:dyDescent="0.25">
      <c r="B43">
        <v>2015</v>
      </c>
      <c r="C43">
        <v>2016</v>
      </c>
      <c r="D43">
        <v>2017</v>
      </c>
      <c r="E43">
        <v>2018</v>
      </c>
      <c r="F43">
        <v>2019</v>
      </c>
      <c r="G43">
        <v>2020</v>
      </c>
      <c r="H43">
        <v>2021</v>
      </c>
      <c r="I43">
        <v>2022</v>
      </c>
      <c r="J43">
        <v>2023</v>
      </c>
      <c r="K43">
        <v>2024</v>
      </c>
      <c r="L43">
        <v>2025</v>
      </c>
      <c r="M43">
        <v>2026</v>
      </c>
      <c r="N43">
        <v>2027</v>
      </c>
      <c r="O43">
        <v>2028</v>
      </c>
      <c r="P43">
        <v>2029</v>
      </c>
      <c r="Q43">
        <v>2030</v>
      </c>
      <c r="R43">
        <v>2031</v>
      </c>
      <c r="S43">
        <v>2032</v>
      </c>
      <c r="T43">
        <v>2033</v>
      </c>
      <c r="U43">
        <v>2034</v>
      </c>
      <c r="V43">
        <v>2035</v>
      </c>
      <c r="W43">
        <v>2036</v>
      </c>
      <c r="X43">
        <v>2037</v>
      </c>
      <c r="Y43">
        <v>2038</v>
      </c>
      <c r="Z43">
        <v>2039</v>
      </c>
      <c r="AA43">
        <v>2040</v>
      </c>
      <c r="AB43">
        <v>2041</v>
      </c>
      <c r="AC43">
        <v>2042</v>
      </c>
      <c r="AD43">
        <v>2043</v>
      </c>
      <c r="AE43">
        <v>2044</v>
      </c>
      <c r="AF43">
        <v>2045</v>
      </c>
      <c r="AG43">
        <v>2046</v>
      </c>
      <c r="AH43">
        <v>2047</v>
      </c>
      <c r="AI43">
        <v>2048</v>
      </c>
      <c r="AJ43">
        <v>2049</v>
      </c>
      <c r="AK43">
        <v>2050</v>
      </c>
    </row>
    <row r="44" spans="1:46" x14ac:dyDescent="0.25">
      <c r="A44" s="61" t="s">
        <v>941</v>
      </c>
      <c r="B44" s="101">
        <f>SUM(J7,J14)/'Cross-Page Data'!D13*1000</f>
        <v>197.98657718120805</v>
      </c>
      <c r="C44">
        <f>$B$44*L40/$K$40</f>
        <v>197.98657718120805</v>
      </c>
      <c r="D44">
        <f t="shared" ref="D44:AE44" si="2">$B$44*M40/$K$40</f>
        <v>197.98657718120805</v>
      </c>
      <c r="E44">
        <f t="shared" si="2"/>
        <v>197.98657718120805</v>
      </c>
      <c r="F44">
        <f t="shared" si="2"/>
        <v>197.98657718120805</v>
      </c>
      <c r="G44">
        <f t="shared" si="2"/>
        <v>197.98657718120805</v>
      </c>
      <c r="H44">
        <f t="shared" si="2"/>
        <v>197.98657718120805</v>
      </c>
      <c r="I44">
        <f t="shared" si="2"/>
        <v>197.98657718120805</v>
      </c>
      <c r="J44">
        <f t="shared" si="2"/>
        <v>197.98657718120805</v>
      </c>
      <c r="K44">
        <f t="shared" si="2"/>
        <v>197.98657718120805</v>
      </c>
      <c r="L44">
        <f t="shared" si="2"/>
        <v>197.98657718120805</v>
      </c>
      <c r="M44">
        <f t="shared" si="2"/>
        <v>197.98657718120805</v>
      </c>
      <c r="N44">
        <f t="shared" si="2"/>
        <v>197.98657718120805</v>
      </c>
      <c r="O44">
        <f t="shared" si="2"/>
        <v>197.98657718120805</v>
      </c>
      <c r="P44">
        <f t="shared" si="2"/>
        <v>197.98657718120805</v>
      </c>
      <c r="Q44">
        <f t="shared" si="2"/>
        <v>197.98657718120805</v>
      </c>
      <c r="R44">
        <f t="shared" si="2"/>
        <v>197.98657718120805</v>
      </c>
      <c r="S44">
        <f t="shared" si="2"/>
        <v>197.98657718120805</v>
      </c>
      <c r="T44">
        <f t="shared" si="2"/>
        <v>197.98657718120805</v>
      </c>
      <c r="U44">
        <f t="shared" si="2"/>
        <v>197.98657718120805</v>
      </c>
      <c r="V44">
        <f t="shared" si="2"/>
        <v>197.98657718120805</v>
      </c>
      <c r="W44">
        <f t="shared" si="2"/>
        <v>197.98657718120805</v>
      </c>
      <c r="X44">
        <f t="shared" si="2"/>
        <v>197.98657718120805</v>
      </c>
      <c r="Y44">
        <f t="shared" si="2"/>
        <v>197.98657718120805</v>
      </c>
      <c r="Z44">
        <f t="shared" si="2"/>
        <v>197.98657718120805</v>
      </c>
      <c r="AA44">
        <f t="shared" si="2"/>
        <v>197.98657718120805</v>
      </c>
      <c r="AB44">
        <f t="shared" si="2"/>
        <v>197.98657718120805</v>
      </c>
      <c r="AC44">
        <f t="shared" si="2"/>
        <v>197.98657718120805</v>
      </c>
      <c r="AD44">
        <f t="shared" si="2"/>
        <v>197.98657718120805</v>
      </c>
      <c r="AE44">
        <f t="shared" si="2"/>
        <v>197.98657718120805</v>
      </c>
      <c r="AF44">
        <f t="shared" ref="AF44" si="3">$B$44*AO40/$K$40</f>
        <v>197.98657718120805</v>
      </c>
      <c r="AG44">
        <f t="shared" ref="AG44" si="4">$B$44*AP40/$K$40</f>
        <v>197.98657718120805</v>
      </c>
      <c r="AH44">
        <f t="shared" ref="AH44" si="5">$B$44*AQ40/$K$40</f>
        <v>197.98657718120805</v>
      </c>
      <c r="AI44">
        <f t="shared" ref="AI44" si="6">$B$44*AR40/$K$40</f>
        <v>197.98657718120805</v>
      </c>
      <c r="AJ44">
        <f t="shared" ref="AJ44" si="7">$B$44*AS40/$K$40</f>
        <v>197.98657718120805</v>
      </c>
      <c r="AK44">
        <f t="shared" ref="AK44" si="8">$B$44*AT40/$K$40</f>
        <v>197.98657718120805</v>
      </c>
    </row>
    <row r="45" spans="1:46" x14ac:dyDescent="0.25">
      <c r="B45" s="101"/>
    </row>
    <row r="46" spans="1:46" x14ac:dyDescent="0.25">
      <c r="A46" s="95" t="s">
        <v>926</v>
      </c>
      <c r="B46" s="74"/>
      <c r="C46" s="74"/>
      <c r="D46" s="74"/>
      <c r="E46" s="74"/>
      <c r="F46" s="74"/>
      <c r="G46" s="74"/>
      <c r="H46" s="74"/>
      <c r="I46" s="74"/>
      <c r="J46" s="74"/>
      <c r="K46" s="74"/>
      <c r="L46" s="74"/>
      <c r="M46" s="74"/>
      <c r="N46" s="74"/>
      <c r="O46" s="74"/>
      <c r="P46" s="74"/>
      <c r="Q46" s="74"/>
    </row>
    <row r="47" spans="1:46" x14ac:dyDescent="0.25">
      <c r="A47" s="94" t="s">
        <v>813</v>
      </c>
      <c r="B47" s="59"/>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row>
    <row r="48" spans="1:46" x14ac:dyDescent="0.25">
      <c r="A48" s="61" t="s">
        <v>923</v>
      </c>
      <c r="B48">
        <v>2015</v>
      </c>
      <c r="C48">
        <v>2016</v>
      </c>
      <c r="D48">
        <v>2017</v>
      </c>
      <c r="E48">
        <v>2018</v>
      </c>
      <c r="F48">
        <v>2019</v>
      </c>
      <c r="G48">
        <v>2020</v>
      </c>
      <c r="H48">
        <v>2021</v>
      </c>
      <c r="I48">
        <v>2022</v>
      </c>
      <c r="J48">
        <v>2023</v>
      </c>
      <c r="K48">
        <v>2024</v>
      </c>
      <c r="L48">
        <v>2025</v>
      </c>
      <c r="M48">
        <v>2026</v>
      </c>
      <c r="N48">
        <v>2027</v>
      </c>
      <c r="O48">
        <v>2028</v>
      </c>
      <c r="P48">
        <v>2029</v>
      </c>
      <c r="Q48">
        <v>2030</v>
      </c>
      <c r="R48">
        <v>2031</v>
      </c>
      <c r="S48">
        <v>2032</v>
      </c>
      <c r="T48">
        <v>2033</v>
      </c>
      <c r="U48">
        <v>2034</v>
      </c>
      <c r="V48">
        <v>2035</v>
      </c>
      <c r="W48">
        <v>2036</v>
      </c>
      <c r="X48">
        <v>2037</v>
      </c>
      <c r="Y48">
        <v>2038</v>
      </c>
      <c r="Z48">
        <v>2039</v>
      </c>
      <c r="AA48">
        <v>2040</v>
      </c>
      <c r="AB48">
        <v>2041</v>
      </c>
      <c r="AC48">
        <v>2042</v>
      </c>
      <c r="AD48">
        <v>2043</v>
      </c>
      <c r="AE48">
        <v>2044</v>
      </c>
      <c r="AF48">
        <v>2045</v>
      </c>
      <c r="AG48">
        <v>2046</v>
      </c>
      <c r="AH48">
        <v>2047</v>
      </c>
      <c r="AI48">
        <v>2048</v>
      </c>
      <c r="AJ48">
        <v>2049</v>
      </c>
      <c r="AK48">
        <v>2050</v>
      </c>
    </row>
    <row r="49" spans="1:46" x14ac:dyDescent="0.25">
      <c r="A49" s="61" t="s">
        <v>913</v>
      </c>
      <c r="B49">
        <v>80.7</v>
      </c>
      <c r="C49">
        <v>86.8</v>
      </c>
      <c r="D49">
        <v>82.3</v>
      </c>
      <c r="E49">
        <v>81.8</v>
      </c>
      <c r="F49">
        <v>81.8</v>
      </c>
      <c r="G49">
        <v>80.8</v>
      </c>
      <c r="H49">
        <v>80.3</v>
      </c>
      <c r="I49">
        <v>80.3</v>
      </c>
      <c r="J49">
        <v>79.3</v>
      </c>
      <c r="K49">
        <v>79.3</v>
      </c>
      <c r="L49">
        <v>78.8</v>
      </c>
      <c r="M49">
        <v>78.3</v>
      </c>
      <c r="N49" s="66">
        <f>($M49-$H49)/COUNT($I$48:$M$48)+M49</f>
        <v>77.899999999999991</v>
      </c>
      <c r="O49" s="66">
        <f t="shared" ref="O49:AK58" si="9">($M49-$H49)/COUNT($I$48:$M$48)+N49</f>
        <v>77.499999999999986</v>
      </c>
      <c r="P49" s="66">
        <f t="shared" si="9"/>
        <v>77.09999999999998</v>
      </c>
      <c r="Q49" s="66">
        <f t="shared" si="9"/>
        <v>76.699999999999974</v>
      </c>
      <c r="R49" s="66">
        <f t="shared" si="9"/>
        <v>76.299999999999969</v>
      </c>
      <c r="S49" s="66">
        <f t="shared" si="9"/>
        <v>75.899999999999963</v>
      </c>
      <c r="T49" s="66">
        <f t="shared" si="9"/>
        <v>75.499999999999957</v>
      </c>
      <c r="U49" s="66">
        <f t="shared" si="9"/>
        <v>75.099999999999952</v>
      </c>
      <c r="V49" s="66">
        <f t="shared" si="9"/>
        <v>74.699999999999946</v>
      </c>
      <c r="W49" s="66">
        <f t="shared" si="9"/>
        <v>74.29999999999994</v>
      </c>
      <c r="X49" s="66">
        <f t="shared" si="9"/>
        <v>73.899999999999935</v>
      </c>
      <c r="Y49" s="66">
        <f t="shared" si="9"/>
        <v>73.499999999999929</v>
      </c>
      <c r="Z49" s="66">
        <f t="shared" si="9"/>
        <v>73.099999999999923</v>
      </c>
      <c r="AA49" s="66">
        <f t="shared" si="9"/>
        <v>72.699999999999918</v>
      </c>
      <c r="AB49" s="66">
        <f t="shared" si="9"/>
        <v>72.299999999999912</v>
      </c>
      <c r="AC49" s="66">
        <f t="shared" si="9"/>
        <v>71.899999999999906</v>
      </c>
      <c r="AD49" s="66">
        <f t="shared" si="9"/>
        <v>71.499999999999901</v>
      </c>
      <c r="AE49" s="66">
        <f t="shared" si="9"/>
        <v>71.099999999999895</v>
      </c>
      <c r="AF49" s="66">
        <f t="shared" si="9"/>
        <v>70.699999999999889</v>
      </c>
      <c r="AG49" s="66">
        <f t="shared" si="9"/>
        <v>70.299999999999883</v>
      </c>
      <c r="AH49" s="66">
        <f t="shared" si="9"/>
        <v>69.899999999999878</v>
      </c>
      <c r="AI49" s="66">
        <f t="shared" si="9"/>
        <v>69.499999999999872</v>
      </c>
      <c r="AJ49" s="66">
        <f t="shared" si="9"/>
        <v>69.099999999999866</v>
      </c>
      <c r="AK49" s="66">
        <f t="shared" si="9"/>
        <v>68.699999999999861</v>
      </c>
    </row>
    <row r="50" spans="1:46" x14ac:dyDescent="0.25">
      <c r="A50" s="61" t="s">
        <v>914</v>
      </c>
      <c r="B50">
        <v>7.9</v>
      </c>
      <c r="C50">
        <v>6</v>
      </c>
      <c r="D50">
        <v>5.4</v>
      </c>
      <c r="E50">
        <v>5.4</v>
      </c>
      <c r="F50">
        <v>5.4</v>
      </c>
      <c r="G50">
        <v>5.3</v>
      </c>
      <c r="H50">
        <v>5.0999999999999996</v>
      </c>
      <c r="I50">
        <v>5.0999999999999996</v>
      </c>
      <c r="J50">
        <v>5</v>
      </c>
      <c r="K50">
        <v>4.9000000000000004</v>
      </c>
      <c r="L50">
        <v>4.8</v>
      </c>
      <c r="M50">
        <v>4.8</v>
      </c>
      <c r="N50" s="66">
        <f t="shared" ref="N50:AC58" si="10">($M50-$H50)/COUNT($I$48:$M$48)+M50</f>
        <v>4.74</v>
      </c>
      <c r="O50" s="66">
        <f t="shared" si="10"/>
        <v>4.6800000000000006</v>
      </c>
      <c r="P50" s="66">
        <f t="shared" si="10"/>
        <v>4.620000000000001</v>
      </c>
      <c r="Q50" s="66">
        <f t="shared" si="10"/>
        <v>4.5600000000000014</v>
      </c>
      <c r="R50" s="66">
        <f t="shared" si="10"/>
        <v>4.5000000000000018</v>
      </c>
      <c r="S50" s="66">
        <f t="shared" si="10"/>
        <v>4.4400000000000022</v>
      </c>
      <c r="T50" s="66">
        <f t="shared" si="10"/>
        <v>4.3800000000000026</v>
      </c>
      <c r="U50" s="66">
        <f t="shared" si="10"/>
        <v>4.3200000000000029</v>
      </c>
      <c r="V50" s="66">
        <f t="shared" si="10"/>
        <v>4.2600000000000033</v>
      </c>
      <c r="W50" s="66">
        <f t="shared" si="10"/>
        <v>4.2000000000000037</v>
      </c>
      <c r="X50" s="66">
        <f t="shared" si="10"/>
        <v>4.1400000000000041</v>
      </c>
      <c r="Y50" s="66">
        <f t="shared" si="10"/>
        <v>4.0800000000000045</v>
      </c>
      <c r="Z50" s="66">
        <f t="shared" si="10"/>
        <v>4.0200000000000049</v>
      </c>
      <c r="AA50" s="66">
        <f t="shared" si="10"/>
        <v>3.9600000000000048</v>
      </c>
      <c r="AB50" s="66">
        <f t="shared" si="10"/>
        <v>3.9000000000000048</v>
      </c>
      <c r="AC50" s="66">
        <f t="shared" si="10"/>
        <v>3.8400000000000047</v>
      </c>
      <c r="AD50" s="66">
        <f t="shared" si="9"/>
        <v>3.7800000000000047</v>
      </c>
      <c r="AE50" s="66">
        <f t="shared" si="9"/>
        <v>3.7200000000000046</v>
      </c>
      <c r="AF50" s="66">
        <f t="shared" si="9"/>
        <v>3.6600000000000046</v>
      </c>
      <c r="AG50" s="66">
        <f t="shared" si="9"/>
        <v>3.6000000000000045</v>
      </c>
      <c r="AH50" s="66">
        <f t="shared" si="9"/>
        <v>3.5400000000000045</v>
      </c>
      <c r="AI50" s="66">
        <f t="shared" si="9"/>
        <v>3.4800000000000044</v>
      </c>
      <c r="AJ50" s="66">
        <f t="shared" si="9"/>
        <v>3.4200000000000044</v>
      </c>
      <c r="AK50" s="66">
        <f t="shared" si="9"/>
        <v>3.3600000000000043</v>
      </c>
    </row>
    <row r="51" spans="1:46" x14ac:dyDescent="0.25">
      <c r="A51" s="61" t="s">
        <v>915</v>
      </c>
      <c r="B51">
        <v>3.2</v>
      </c>
      <c r="C51">
        <v>2.6</v>
      </c>
      <c r="D51">
        <v>2.5</v>
      </c>
      <c r="E51">
        <v>2.4</v>
      </c>
      <c r="F51">
        <v>2.4</v>
      </c>
      <c r="G51">
        <v>2.4</v>
      </c>
      <c r="H51">
        <v>2.4</v>
      </c>
      <c r="I51">
        <v>2.4</v>
      </c>
      <c r="J51">
        <v>2.4</v>
      </c>
      <c r="K51">
        <v>2.4</v>
      </c>
      <c r="L51">
        <v>2.4</v>
      </c>
      <c r="M51">
        <v>2.4</v>
      </c>
      <c r="N51" s="66">
        <f t="shared" si="10"/>
        <v>2.4</v>
      </c>
      <c r="O51" s="66">
        <f t="shared" si="9"/>
        <v>2.4</v>
      </c>
      <c r="P51" s="66">
        <f t="shared" si="9"/>
        <v>2.4</v>
      </c>
      <c r="Q51" s="66">
        <f t="shared" si="9"/>
        <v>2.4</v>
      </c>
      <c r="R51" s="66">
        <f t="shared" si="9"/>
        <v>2.4</v>
      </c>
      <c r="S51" s="66">
        <f t="shared" si="9"/>
        <v>2.4</v>
      </c>
      <c r="T51" s="66">
        <f t="shared" si="9"/>
        <v>2.4</v>
      </c>
      <c r="U51" s="66">
        <f t="shared" si="9"/>
        <v>2.4</v>
      </c>
      <c r="V51" s="66">
        <f t="shared" si="9"/>
        <v>2.4</v>
      </c>
      <c r="W51" s="66">
        <f t="shared" si="9"/>
        <v>2.4</v>
      </c>
      <c r="X51" s="66">
        <f t="shared" si="9"/>
        <v>2.4</v>
      </c>
      <c r="Y51" s="66">
        <f t="shared" si="9"/>
        <v>2.4</v>
      </c>
      <c r="Z51" s="66">
        <f t="shared" si="9"/>
        <v>2.4</v>
      </c>
      <c r="AA51" s="66">
        <f t="shared" si="9"/>
        <v>2.4</v>
      </c>
      <c r="AB51" s="66">
        <f t="shared" si="9"/>
        <v>2.4</v>
      </c>
      <c r="AC51" s="66">
        <f t="shared" si="9"/>
        <v>2.4</v>
      </c>
      <c r="AD51" s="66">
        <f t="shared" si="9"/>
        <v>2.4</v>
      </c>
      <c r="AE51" s="66">
        <f t="shared" si="9"/>
        <v>2.4</v>
      </c>
      <c r="AF51" s="66">
        <f t="shared" si="9"/>
        <v>2.4</v>
      </c>
      <c r="AG51" s="66">
        <f t="shared" si="9"/>
        <v>2.4</v>
      </c>
      <c r="AH51" s="66">
        <f t="shared" si="9"/>
        <v>2.4</v>
      </c>
      <c r="AI51" s="66">
        <f t="shared" si="9"/>
        <v>2.4</v>
      </c>
      <c r="AJ51" s="66">
        <f t="shared" si="9"/>
        <v>2.4</v>
      </c>
      <c r="AK51" s="66">
        <f t="shared" si="9"/>
        <v>2.4</v>
      </c>
    </row>
    <row r="52" spans="1:46" x14ac:dyDescent="0.25">
      <c r="A52" s="61" t="s">
        <v>916</v>
      </c>
      <c r="B52">
        <v>1.3</v>
      </c>
      <c r="C52">
        <v>1</v>
      </c>
      <c r="D52">
        <v>0.9</v>
      </c>
      <c r="E52">
        <v>0.9</v>
      </c>
      <c r="F52">
        <v>0.9</v>
      </c>
      <c r="G52">
        <v>0.9</v>
      </c>
      <c r="H52">
        <v>0.9</v>
      </c>
      <c r="I52">
        <v>0.9</v>
      </c>
      <c r="J52">
        <v>0.9</v>
      </c>
      <c r="K52">
        <v>0.9</v>
      </c>
      <c r="L52">
        <v>0.9</v>
      </c>
      <c r="M52">
        <v>0.9</v>
      </c>
      <c r="N52" s="66">
        <f t="shared" si="10"/>
        <v>0.9</v>
      </c>
      <c r="O52" s="66">
        <f t="shared" si="9"/>
        <v>0.9</v>
      </c>
      <c r="P52" s="66">
        <f t="shared" si="9"/>
        <v>0.9</v>
      </c>
      <c r="Q52" s="66">
        <f t="shared" si="9"/>
        <v>0.9</v>
      </c>
      <c r="R52" s="66">
        <f t="shared" si="9"/>
        <v>0.9</v>
      </c>
      <c r="S52" s="66">
        <f t="shared" si="9"/>
        <v>0.9</v>
      </c>
      <c r="T52" s="66">
        <f t="shared" si="9"/>
        <v>0.9</v>
      </c>
      <c r="U52" s="66">
        <f t="shared" si="9"/>
        <v>0.9</v>
      </c>
      <c r="V52" s="66">
        <f t="shared" si="9"/>
        <v>0.9</v>
      </c>
      <c r="W52" s="66">
        <f t="shared" si="9"/>
        <v>0.9</v>
      </c>
      <c r="X52" s="66">
        <f t="shared" si="9"/>
        <v>0.9</v>
      </c>
      <c r="Y52" s="66">
        <f t="shared" si="9"/>
        <v>0.9</v>
      </c>
      <c r="Z52" s="66">
        <f t="shared" si="9"/>
        <v>0.9</v>
      </c>
      <c r="AA52" s="66">
        <f t="shared" si="9"/>
        <v>0.9</v>
      </c>
      <c r="AB52" s="66">
        <f t="shared" si="9"/>
        <v>0.9</v>
      </c>
      <c r="AC52" s="66">
        <f t="shared" si="9"/>
        <v>0.9</v>
      </c>
      <c r="AD52" s="66">
        <f t="shared" si="9"/>
        <v>0.9</v>
      </c>
      <c r="AE52" s="66">
        <f t="shared" si="9"/>
        <v>0.9</v>
      </c>
      <c r="AF52" s="66">
        <f t="shared" si="9"/>
        <v>0.9</v>
      </c>
      <c r="AG52" s="66">
        <f t="shared" si="9"/>
        <v>0.9</v>
      </c>
      <c r="AH52" s="66">
        <f t="shared" si="9"/>
        <v>0.9</v>
      </c>
      <c r="AI52" s="66">
        <f t="shared" si="9"/>
        <v>0.9</v>
      </c>
      <c r="AJ52" s="66">
        <f t="shared" si="9"/>
        <v>0.9</v>
      </c>
      <c r="AK52" s="66">
        <f t="shared" si="9"/>
        <v>0.9</v>
      </c>
    </row>
    <row r="53" spans="1:46" x14ac:dyDescent="0.25">
      <c r="A53" s="61" t="s">
        <v>917</v>
      </c>
      <c r="B53">
        <v>47.3</v>
      </c>
      <c r="C53">
        <v>43.9</v>
      </c>
      <c r="D53">
        <v>41.1</v>
      </c>
      <c r="E53">
        <v>41.6</v>
      </c>
      <c r="F53">
        <v>42</v>
      </c>
      <c r="G53">
        <v>42</v>
      </c>
      <c r="H53">
        <v>42</v>
      </c>
      <c r="I53">
        <v>42</v>
      </c>
      <c r="J53">
        <v>42</v>
      </c>
      <c r="K53">
        <v>42</v>
      </c>
      <c r="L53">
        <v>42</v>
      </c>
      <c r="M53">
        <v>42</v>
      </c>
      <c r="N53" s="66">
        <f t="shared" si="10"/>
        <v>42</v>
      </c>
      <c r="O53" s="66">
        <f t="shared" si="9"/>
        <v>42</v>
      </c>
      <c r="P53" s="66">
        <f t="shared" si="9"/>
        <v>42</v>
      </c>
      <c r="Q53" s="66">
        <f t="shared" si="9"/>
        <v>42</v>
      </c>
      <c r="R53" s="66">
        <f t="shared" si="9"/>
        <v>42</v>
      </c>
      <c r="S53" s="66">
        <f t="shared" si="9"/>
        <v>42</v>
      </c>
      <c r="T53" s="66">
        <f t="shared" si="9"/>
        <v>42</v>
      </c>
      <c r="U53" s="66">
        <f t="shared" si="9"/>
        <v>42</v>
      </c>
      <c r="V53" s="66">
        <f t="shared" si="9"/>
        <v>42</v>
      </c>
      <c r="W53" s="66">
        <f t="shared" si="9"/>
        <v>42</v>
      </c>
      <c r="X53" s="66">
        <f t="shared" si="9"/>
        <v>42</v>
      </c>
      <c r="Y53" s="66">
        <f t="shared" si="9"/>
        <v>42</v>
      </c>
      <c r="Z53" s="66">
        <f t="shared" si="9"/>
        <v>42</v>
      </c>
      <c r="AA53" s="66">
        <f t="shared" si="9"/>
        <v>42</v>
      </c>
      <c r="AB53" s="66">
        <f t="shared" si="9"/>
        <v>42</v>
      </c>
      <c r="AC53" s="66">
        <f t="shared" si="9"/>
        <v>42</v>
      </c>
      <c r="AD53" s="66">
        <f t="shared" si="9"/>
        <v>42</v>
      </c>
      <c r="AE53" s="66">
        <f t="shared" si="9"/>
        <v>42</v>
      </c>
      <c r="AF53" s="66">
        <f t="shared" si="9"/>
        <v>42</v>
      </c>
      <c r="AG53" s="66">
        <f t="shared" si="9"/>
        <v>42</v>
      </c>
      <c r="AH53" s="66">
        <f t="shared" si="9"/>
        <v>42</v>
      </c>
      <c r="AI53" s="66">
        <f t="shared" si="9"/>
        <v>42</v>
      </c>
      <c r="AJ53" s="66">
        <f t="shared" si="9"/>
        <v>42</v>
      </c>
      <c r="AK53" s="66">
        <f t="shared" si="9"/>
        <v>42</v>
      </c>
    </row>
    <row r="54" spans="1:46" x14ac:dyDescent="0.25">
      <c r="A54" s="61" t="s">
        <v>918</v>
      </c>
      <c r="B54">
        <v>2.6</v>
      </c>
      <c r="C54">
        <v>3.1</v>
      </c>
      <c r="D54">
        <v>2.7</v>
      </c>
      <c r="E54">
        <v>2.8</v>
      </c>
      <c r="F54">
        <v>2.8</v>
      </c>
      <c r="G54">
        <v>2.8</v>
      </c>
      <c r="H54">
        <v>2.8</v>
      </c>
      <c r="I54">
        <v>2.8</v>
      </c>
      <c r="J54">
        <v>2.9</v>
      </c>
      <c r="K54">
        <v>2.9</v>
      </c>
      <c r="L54">
        <v>2.9</v>
      </c>
      <c r="M54">
        <v>2.9</v>
      </c>
      <c r="N54" s="66">
        <f t="shared" si="10"/>
        <v>2.92</v>
      </c>
      <c r="O54" s="66">
        <f t="shared" si="9"/>
        <v>2.94</v>
      </c>
      <c r="P54" s="66">
        <f t="shared" si="9"/>
        <v>2.96</v>
      </c>
      <c r="Q54" s="66">
        <f t="shared" si="9"/>
        <v>2.98</v>
      </c>
      <c r="R54" s="66">
        <f t="shared" si="9"/>
        <v>3</v>
      </c>
      <c r="S54" s="66">
        <f t="shared" si="9"/>
        <v>3.02</v>
      </c>
      <c r="T54" s="66">
        <f t="shared" si="9"/>
        <v>3.04</v>
      </c>
      <c r="U54" s="66">
        <f t="shared" si="9"/>
        <v>3.06</v>
      </c>
      <c r="V54" s="66">
        <f t="shared" si="9"/>
        <v>3.08</v>
      </c>
      <c r="W54" s="66">
        <f t="shared" si="9"/>
        <v>3.1</v>
      </c>
      <c r="X54" s="66">
        <f t="shared" si="9"/>
        <v>3.12</v>
      </c>
      <c r="Y54" s="66">
        <f t="shared" si="9"/>
        <v>3.14</v>
      </c>
      <c r="Z54" s="66">
        <f t="shared" si="9"/>
        <v>3.16</v>
      </c>
      <c r="AA54" s="66">
        <f t="shared" si="9"/>
        <v>3.18</v>
      </c>
      <c r="AB54" s="66">
        <f t="shared" si="9"/>
        <v>3.2</v>
      </c>
      <c r="AC54" s="66">
        <f t="shared" si="9"/>
        <v>3.22</v>
      </c>
      <c r="AD54" s="66">
        <f t="shared" si="9"/>
        <v>3.24</v>
      </c>
      <c r="AE54" s="66">
        <f t="shared" si="9"/>
        <v>3.2600000000000002</v>
      </c>
      <c r="AF54" s="66">
        <f t="shared" si="9"/>
        <v>3.2800000000000002</v>
      </c>
      <c r="AG54" s="66">
        <f t="shared" si="9"/>
        <v>3.3000000000000003</v>
      </c>
      <c r="AH54" s="66">
        <f t="shared" si="9"/>
        <v>3.3200000000000003</v>
      </c>
      <c r="AI54" s="66">
        <f t="shared" si="9"/>
        <v>3.3400000000000003</v>
      </c>
      <c r="AJ54" s="66">
        <f t="shared" si="9"/>
        <v>3.3600000000000003</v>
      </c>
      <c r="AK54" s="66">
        <f t="shared" si="9"/>
        <v>3.3800000000000003</v>
      </c>
    </row>
    <row r="55" spans="1:46" x14ac:dyDescent="0.25">
      <c r="A55" s="61" t="s">
        <v>919</v>
      </c>
      <c r="B55">
        <v>7.9</v>
      </c>
      <c r="C55">
        <v>9.5</v>
      </c>
      <c r="D55">
        <v>9.5</v>
      </c>
      <c r="E55">
        <v>9</v>
      </c>
      <c r="F55">
        <v>8.8000000000000007</v>
      </c>
      <c r="G55">
        <v>8.8000000000000007</v>
      </c>
      <c r="H55">
        <v>8.8000000000000007</v>
      </c>
      <c r="I55">
        <v>8.8000000000000007</v>
      </c>
      <c r="J55">
        <v>8.8000000000000007</v>
      </c>
      <c r="K55">
        <v>8.8000000000000007</v>
      </c>
      <c r="L55">
        <v>8.8000000000000007</v>
      </c>
      <c r="M55">
        <v>8.8000000000000007</v>
      </c>
      <c r="N55" s="66">
        <f t="shared" si="10"/>
        <v>8.8000000000000007</v>
      </c>
      <c r="O55" s="66">
        <f t="shared" si="9"/>
        <v>8.8000000000000007</v>
      </c>
      <c r="P55" s="66">
        <f t="shared" si="9"/>
        <v>8.8000000000000007</v>
      </c>
      <c r="Q55" s="66">
        <f t="shared" si="9"/>
        <v>8.8000000000000007</v>
      </c>
      <c r="R55" s="66">
        <f t="shared" si="9"/>
        <v>8.8000000000000007</v>
      </c>
      <c r="S55" s="66">
        <f t="shared" si="9"/>
        <v>8.8000000000000007</v>
      </c>
      <c r="T55" s="66">
        <f t="shared" si="9"/>
        <v>8.8000000000000007</v>
      </c>
      <c r="U55" s="66">
        <f t="shared" si="9"/>
        <v>8.8000000000000007</v>
      </c>
      <c r="V55" s="66">
        <f t="shared" si="9"/>
        <v>8.8000000000000007</v>
      </c>
      <c r="W55" s="66">
        <f t="shared" si="9"/>
        <v>8.8000000000000007</v>
      </c>
      <c r="X55" s="66">
        <f t="shared" si="9"/>
        <v>8.8000000000000007</v>
      </c>
      <c r="Y55" s="66">
        <f t="shared" si="9"/>
        <v>8.8000000000000007</v>
      </c>
      <c r="Z55" s="66">
        <f t="shared" si="9"/>
        <v>8.8000000000000007</v>
      </c>
      <c r="AA55" s="66">
        <f t="shared" si="9"/>
        <v>8.8000000000000007</v>
      </c>
      <c r="AB55" s="66">
        <f t="shared" si="9"/>
        <v>8.8000000000000007</v>
      </c>
      <c r="AC55" s="66">
        <f t="shared" si="9"/>
        <v>8.8000000000000007</v>
      </c>
      <c r="AD55" s="66">
        <f t="shared" si="9"/>
        <v>8.8000000000000007</v>
      </c>
      <c r="AE55" s="66">
        <f t="shared" si="9"/>
        <v>8.8000000000000007</v>
      </c>
      <c r="AF55" s="66">
        <f t="shared" si="9"/>
        <v>8.8000000000000007</v>
      </c>
      <c r="AG55" s="66">
        <f t="shared" si="9"/>
        <v>8.8000000000000007</v>
      </c>
      <c r="AH55" s="66">
        <f t="shared" si="9"/>
        <v>8.8000000000000007</v>
      </c>
      <c r="AI55" s="66">
        <f t="shared" si="9"/>
        <v>8.8000000000000007</v>
      </c>
      <c r="AJ55" s="66">
        <f t="shared" si="9"/>
        <v>8.8000000000000007</v>
      </c>
      <c r="AK55" s="66">
        <f t="shared" si="9"/>
        <v>8.8000000000000007</v>
      </c>
    </row>
    <row r="56" spans="1:46" x14ac:dyDescent="0.25">
      <c r="A56" s="61" t="s">
        <v>920</v>
      </c>
      <c r="B56">
        <v>81.7</v>
      </c>
      <c r="C56">
        <v>83</v>
      </c>
      <c r="D56">
        <v>84.6</v>
      </c>
      <c r="E56">
        <v>84.1</v>
      </c>
      <c r="F56">
        <v>83.6</v>
      </c>
      <c r="G56">
        <v>83.6</v>
      </c>
      <c r="H56">
        <v>84.1</v>
      </c>
      <c r="I56">
        <v>84.1</v>
      </c>
      <c r="J56">
        <v>84.1</v>
      </c>
      <c r="K56">
        <v>84.1</v>
      </c>
      <c r="L56">
        <v>84.1</v>
      </c>
      <c r="M56">
        <v>84.1</v>
      </c>
      <c r="N56" s="66">
        <f t="shared" si="10"/>
        <v>84.1</v>
      </c>
      <c r="O56" s="66">
        <f t="shared" si="9"/>
        <v>84.1</v>
      </c>
      <c r="P56" s="66">
        <f t="shared" si="9"/>
        <v>84.1</v>
      </c>
      <c r="Q56" s="66">
        <f t="shared" si="9"/>
        <v>84.1</v>
      </c>
      <c r="R56" s="66">
        <f t="shared" si="9"/>
        <v>84.1</v>
      </c>
      <c r="S56" s="66">
        <f t="shared" si="9"/>
        <v>84.1</v>
      </c>
      <c r="T56" s="66">
        <f t="shared" si="9"/>
        <v>84.1</v>
      </c>
      <c r="U56" s="66">
        <f t="shared" si="9"/>
        <v>84.1</v>
      </c>
      <c r="V56" s="66">
        <f t="shared" si="9"/>
        <v>84.1</v>
      </c>
      <c r="W56" s="66">
        <f t="shared" si="9"/>
        <v>84.1</v>
      </c>
      <c r="X56" s="66">
        <f t="shared" si="9"/>
        <v>84.1</v>
      </c>
      <c r="Y56" s="66">
        <f t="shared" si="9"/>
        <v>84.1</v>
      </c>
      <c r="Z56" s="66">
        <f t="shared" si="9"/>
        <v>84.1</v>
      </c>
      <c r="AA56" s="66">
        <f t="shared" si="9"/>
        <v>84.1</v>
      </c>
      <c r="AB56" s="66">
        <f t="shared" si="9"/>
        <v>84.1</v>
      </c>
      <c r="AC56" s="66">
        <f t="shared" si="9"/>
        <v>84.1</v>
      </c>
      <c r="AD56" s="66">
        <f t="shared" si="9"/>
        <v>84.1</v>
      </c>
      <c r="AE56" s="66">
        <f t="shared" si="9"/>
        <v>84.1</v>
      </c>
      <c r="AF56" s="66">
        <f t="shared" si="9"/>
        <v>84.1</v>
      </c>
      <c r="AG56" s="66">
        <f t="shared" si="9"/>
        <v>84.1</v>
      </c>
      <c r="AH56" s="66">
        <f t="shared" si="9"/>
        <v>84.1</v>
      </c>
      <c r="AI56" s="66">
        <f t="shared" si="9"/>
        <v>84.1</v>
      </c>
      <c r="AJ56" s="66">
        <f t="shared" si="9"/>
        <v>84.1</v>
      </c>
      <c r="AK56" s="66">
        <f t="shared" si="9"/>
        <v>84.1</v>
      </c>
    </row>
    <row r="57" spans="1:46" x14ac:dyDescent="0.25">
      <c r="A57" s="61" t="s">
        <v>921</v>
      </c>
      <c r="B57">
        <v>1.145</v>
      </c>
      <c r="C57">
        <v>1.1259999999999999</v>
      </c>
      <c r="D57">
        <v>1.177</v>
      </c>
      <c r="E57">
        <v>1.1439999999999999</v>
      </c>
      <c r="F57">
        <v>1.1379999999999999</v>
      </c>
      <c r="G57">
        <v>1.0960000000000001</v>
      </c>
      <c r="H57">
        <v>1.0820000000000001</v>
      </c>
      <c r="I57">
        <v>1.0820000000000001</v>
      </c>
      <c r="J57">
        <v>1.046</v>
      </c>
      <c r="K57">
        <v>1.022</v>
      </c>
      <c r="L57">
        <v>1.02</v>
      </c>
      <c r="M57">
        <v>1.002</v>
      </c>
      <c r="N57" s="66">
        <f t="shared" si="10"/>
        <v>0.98599999999999999</v>
      </c>
      <c r="O57" s="66">
        <f t="shared" si="9"/>
        <v>0.97</v>
      </c>
      <c r="P57" s="66">
        <f t="shared" si="9"/>
        <v>0.95399999999999996</v>
      </c>
      <c r="Q57" s="66">
        <f t="shared" si="9"/>
        <v>0.93799999999999994</v>
      </c>
      <c r="R57" s="66">
        <f t="shared" si="9"/>
        <v>0.92199999999999993</v>
      </c>
      <c r="S57" s="66">
        <f t="shared" si="9"/>
        <v>0.90599999999999992</v>
      </c>
      <c r="T57" s="66">
        <f t="shared" si="9"/>
        <v>0.8899999999999999</v>
      </c>
      <c r="U57" s="66">
        <f t="shared" si="9"/>
        <v>0.87399999999999989</v>
      </c>
      <c r="V57" s="66">
        <f t="shared" si="9"/>
        <v>0.85799999999999987</v>
      </c>
      <c r="W57" s="66">
        <f t="shared" si="9"/>
        <v>0.84199999999999986</v>
      </c>
      <c r="X57" s="66">
        <f t="shared" si="9"/>
        <v>0.82599999999999985</v>
      </c>
      <c r="Y57" s="66">
        <f t="shared" si="9"/>
        <v>0.80999999999999983</v>
      </c>
      <c r="Z57" s="66">
        <f t="shared" si="9"/>
        <v>0.79399999999999982</v>
      </c>
      <c r="AA57" s="66">
        <f t="shared" si="9"/>
        <v>0.7779999999999998</v>
      </c>
      <c r="AB57" s="66">
        <f t="shared" si="9"/>
        <v>0.76199999999999979</v>
      </c>
      <c r="AC57" s="66">
        <f t="shared" si="9"/>
        <v>0.74599999999999977</v>
      </c>
      <c r="AD57" s="66">
        <f t="shared" si="9"/>
        <v>0.72999999999999976</v>
      </c>
      <c r="AE57" s="66">
        <f t="shared" si="9"/>
        <v>0.71399999999999975</v>
      </c>
      <c r="AF57" s="66">
        <f t="shared" si="9"/>
        <v>0.69799999999999973</v>
      </c>
      <c r="AG57" s="66">
        <f t="shared" si="9"/>
        <v>0.68199999999999972</v>
      </c>
      <c r="AH57" s="66">
        <f t="shared" si="9"/>
        <v>0.6659999999999997</v>
      </c>
      <c r="AI57" s="66">
        <f t="shared" si="9"/>
        <v>0.64999999999999969</v>
      </c>
      <c r="AJ57" s="66">
        <f t="shared" si="9"/>
        <v>0.63399999999999967</v>
      </c>
      <c r="AK57" s="66">
        <f t="shared" si="9"/>
        <v>0.61799999999999966</v>
      </c>
    </row>
    <row r="58" spans="1:46" x14ac:dyDescent="0.25">
      <c r="A58" s="61" t="s">
        <v>922</v>
      </c>
      <c r="B58">
        <v>0.84399999999999997</v>
      </c>
      <c r="C58">
        <v>0.874</v>
      </c>
      <c r="D58">
        <v>0.89500000000000002</v>
      </c>
      <c r="E58">
        <v>0.91500000000000004</v>
      </c>
      <c r="F58">
        <v>0.92100000000000004</v>
      </c>
      <c r="G58">
        <v>0.91600000000000004</v>
      </c>
      <c r="H58">
        <v>0.91800000000000004</v>
      </c>
      <c r="I58">
        <v>0.93</v>
      </c>
      <c r="J58">
        <v>0.93</v>
      </c>
      <c r="K58">
        <v>0.92500000000000004</v>
      </c>
      <c r="L58">
        <v>0.92800000000000005</v>
      </c>
      <c r="M58">
        <v>0.93100000000000005</v>
      </c>
      <c r="N58" s="66">
        <f t="shared" si="10"/>
        <v>0.9336000000000001</v>
      </c>
      <c r="O58" s="66">
        <f t="shared" si="9"/>
        <v>0.93620000000000014</v>
      </c>
      <c r="P58" s="66">
        <f t="shared" si="9"/>
        <v>0.93880000000000019</v>
      </c>
      <c r="Q58" s="66">
        <f t="shared" si="9"/>
        <v>0.94140000000000024</v>
      </c>
      <c r="R58" s="66">
        <f t="shared" si="9"/>
        <v>0.94400000000000028</v>
      </c>
      <c r="S58" s="66">
        <f t="shared" si="9"/>
        <v>0.94660000000000033</v>
      </c>
      <c r="T58" s="66">
        <f t="shared" si="9"/>
        <v>0.94920000000000038</v>
      </c>
      <c r="U58" s="66">
        <f t="shared" si="9"/>
        <v>0.95180000000000042</v>
      </c>
      <c r="V58" s="66">
        <f t="shared" si="9"/>
        <v>0.95440000000000047</v>
      </c>
      <c r="W58" s="66">
        <f t="shared" si="9"/>
        <v>0.95700000000000052</v>
      </c>
      <c r="X58" s="66">
        <f t="shared" si="9"/>
        <v>0.95960000000000056</v>
      </c>
      <c r="Y58" s="66">
        <f t="shared" si="9"/>
        <v>0.96220000000000061</v>
      </c>
      <c r="Z58" s="66">
        <f t="shared" si="9"/>
        <v>0.96480000000000066</v>
      </c>
      <c r="AA58" s="66">
        <f t="shared" si="9"/>
        <v>0.9674000000000007</v>
      </c>
      <c r="AB58" s="66">
        <f t="shared" si="9"/>
        <v>0.97000000000000075</v>
      </c>
      <c r="AC58" s="66">
        <f t="shared" si="9"/>
        <v>0.9726000000000008</v>
      </c>
      <c r="AD58" s="66">
        <f t="shared" si="9"/>
        <v>0.97520000000000084</v>
      </c>
      <c r="AE58" s="66">
        <f t="shared" si="9"/>
        <v>0.97780000000000089</v>
      </c>
      <c r="AF58" s="66">
        <f t="shared" si="9"/>
        <v>0.98040000000000094</v>
      </c>
      <c r="AG58" s="66">
        <f t="shared" si="9"/>
        <v>0.98300000000000098</v>
      </c>
      <c r="AH58" s="66">
        <f t="shared" si="9"/>
        <v>0.98560000000000103</v>
      </c>
      <c r="AI58" s="66">
        <f t="shared" si="9"/>
        <v>0.98820000000000108</v>
      </c>
      <c r="AJ58" s="66">
        <f t="shared" si="9"/>
        <v>0.99080000000000112</v>
      </c>
      <c r="AK58" s="66">
        <f t="shared" si="9"/>
        <v>0.99340000000000117</v>
      </c>
    </row>
    <row r="60" spans="1:46" x14ac:dyDescent="0.25">
      <c r="A60" s="94" t="s">
        <v>924</v>
      </c>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row>
    <row r="61" spans="1:46" x14ac:dyDescent="0.25">
      <c r="A61" s="61" t="s">
        <v>913</v>
      </c>
      <c r="B61">
        <v>0.87</v>
      </c>
    </row>
    <row r="62" spans="1:46" x14ac:dyDescent="0.25">
      <c r="A62" s="61" t="s">
        <v>914</v>
      </c>
      <c r="B62">
        <v>0.89</v>
      </c>
    </row>
    <row r="63" spans="1:46" x14ac:dyDescent="0.25">
      <c r="A63" s="61" t="s">
        <v>915</v>
      </c>
      <c r="B63">
        <v>0.89</v>
      </c>
    </row>
    <row r="64" spans="1:46" x14ac:dyDescent="0.25">
      <c r="A64" s="61" t="s">
        <v>916</v>
      </c>
      <c r="B64">
        <v>0.89</v>
      </c>
    </row>
    <row r="65" spans="1:46" x14ac:dyDescent="0.25">
      <c r="A65" s="61" t="s">
        <v>917</v>
      </c>
      <c r="B65">
        <v>0.89</v>
      </c>
    </row>
    <row r="66" spans="1:46" x14ac:dyDescent="0.25">
      <c r="A66" s="61" t="s">
        <v>918</v>
      </c>
      <c r="B66">
        <v>0.89</v>
      </c>
    </row>
    <row r="67" spans="1:46" x14ac:dyDescent="0.25">
      <c r="A67" s="61" t="s">
        <v>919</v>
      </c>
      <c r="B67">
        <v>0.89</v>
      </c>
      <c r="C67" t="s">
        <v>927</v>
      </c>
    </row>
    <row r="68" spans="1:46" x14ac:dyDescent="0.25">
      <c r="A68" s="61" t="s">
        <v>920</v>
      </c>
      <c r="B68">
        <v>0.91</v>
      </c>
    </row>
    <row r="69" spans="1:46" x14ac:dyDescent="0.25">
      <c r="A69" s="61" t="s">
        <v>921</v>
      </c>
      <c r="B69">
        <v>0.94</v>
      </c>
    </row>
    <row r="70" spans="1:46" x14ac:dyDescent="0.25">
      <c r="A70" s="61" t="s">
        <v>922</v>
      </c>
      <c r="B70">
        <v>0.9</v>
      </c>
    </row>
    <row r="72" spans="1:46" x14ac:dyDescent="0.25">
      <c r="A72" s="94" t="s">
        <v>928</v>
      </c>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row>
    <row r="73" spans="1:46" x14ac:dyDescent="0.25">
      <c r="A73" s="61" t="s">
        <v>913</v>
      </c>
      <c r="B73">
        <v>6.0000000000000001E-3</v>
      </c>
    </row>
    <row r="74" spans="1:46" x14ac:dyDescent="0.25">
      <c r="A74" s="61" t="s">
        <v>914</v>
      </c>
      <c r="B74">
        <v>7.0000000000000001E-3</v>
      </c>
    </row>
    <row r="75" spans="1:46" x14ac:dyDescent="0.25">
      <c r="A75" s="61" t="s">
        <v>915</v>
      </c>
      <c r="B75">
        <v>7.0000000000000001E-3</v>
      </c>
    </row>
    <row r="76" spans="1:46" x14ac:dyDescent="0.25">
      <c r="A76" s="61" t="s">
        <v>916</v>
      </c>
      <c r="B76">
        <v>7.0000000000000001E-3</v>
      </c>
    </row>
    <row r="77" spans="1:46" x14ac:dyDescent="0.25">
      <c r="A77" s="61" t="s">
        <v>917</v>
      </c>
      <c r="B77">
        <v>6.0000000000000001E-3</v>
      </c>
    </row>
    <row r="78" spans="1:46" x14ac:dyDescent="0.25">
      <c r="A78" s="61" t="s">
        <v>918</v>
      </c>
      <c r="B78">
        <v>7.0000000000000001E-3</v>
      </c>
    </row>
    <row r="79" spans="1:46" x14ac:dyDescent="0.25">
      <c r="A79" s="61" t="s">
        <v>919</v>
      </c>
      <c r="B79">
        <v>7.0000000000000001E-3</v>
      </c>
      <c r="C79" t="s">
        <v>929</v>
      </c>
    </row>
    <row r="80" spans="1:46" x14ac:dyDescent="0.25">
      <c r="A80" s="61" t="s">
        <v>920</v>
      </c>
      <c r="B80">
        <v>8.0000000000000002E-3</v>
      </c>
    </row>
    <row r="81" spans="1:46" x14ac:dyDescent="0.25">
      <c r="A81" s="61" t="s">
        <v>921</v>
      </c>
      <c r="B81">
        <v>1.6E-2</v>
      </c>
    </row>
    <row r="82" spans="1:46" x14ac:dyDescent="0.25">
      <c r="A82" s="61" t="s">
        <v>922</v>
      </c>
      <c r="B82">
        <v>1.4999999999999999E-2</v>
      </c>
    </row>
    <row r="84" spans="1:46" x14ac:dyDescent="0.25">
      <c r="A84" s="94" t="s">
        <v>930</v>
      </c>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row>
    <row r="85" spans="1:46" x14ac:dyDescent="0.25">
      <c r="A85" s="61" t="s">
        <v>913</v>
      </c>
      <c r="B85">
        <v>0.22</v>
      </c>
    </row>
    <row r="86" spans="1:46" x14ac:dyDescent="0.25">
      <c r="A86" s="61" t="s">
        <v>914</v>
      </c>
      <c r="B86">
        <v>0</v>
      </c>
    </row>
    <row r="87" spans="1:46" x14ac:dyDescent="0.25">
      <c r="A87" s="61" t="s">
        <v>915</v>
      </c>
      <c r="B87">
        <v>0.22</v>
      </c>
    </row>
    <row r="88" spans="1:46" x14ac:dyDescent="0.25">
      <c r="A88" s="61" t="s">
        <v>916</v>
      </c>
      <c r="B88">
        <v>0.25</v>
      </c>
    </row>
    <row r="89" spans="1:46" x14ac:dyDescent="0.25">
      <c r="A89" s="61" t="s">
        <v>917</v>
      </c>
      <c r="B89">
        <v>0.24</v>
      </c>
    </row>
    <row r="90" spans="1:46" x14ac:dyDescent="0.25">
      <c r="A90" s="61" t="s">
        <v>918</v>
      </c>
      <c r="B90">
        <v>0.16</v>
      </c>
    </row>
    <row r="91" spans="1:46" x14ac:dyDescent="0.25">
      <c r="A91" s="61" t="s">
        <v>919</v>
      </c>
      <c r="B91">
        <v>0.2</v>
      </c>
      <c r="C91" t="s">
        <v>931</v>
      </c>
    </row>
    <row r="92" spans="1:46" x14ac:dyDescent="0.25">
      <c r="A92" s="61" t="s">
        <v>920</v>
      </c>
      <c r="B92">
        <v>0.19</v>
      </c>
    </row>
    <row r="93" spans="1:46" x14ac:dyDescent="0.25">
      <c r="A93" s="61" t="s">
        <v>921</v>
      </c>
      <c r="B93">
        <v>0.2</v>
      </c>
    </row>
    <row r="94" spans="1:46" x14ac:dyDescent="0.25">
      <c r="A94" s="61" t="s">
        <v>922</v>
      </c>
      <c r="B94">
        <v>0.8</v>
      </c>
    </row>
    <row r="96" spans="1:46" x14ac:dyDescent="0.25">
      <c r="A96" s="94" t="s">
        <v>932</v>
      </c>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row>
    <row r="97" spans="1:46" x14ac:dyDescent="0.25">
      <c r="A97" s="61" t="s">
        <v>913</v>
      </c>
      <c r="B97">
        <v>7.0000000000000001E-3</v>
      </c>
    </row>
    <row r="98" spans="1:46" x14ac:dyDescent="0.25">
      <c r="A98" s="61" t="s">
        <v>914</v>
      </c>
      <c r="B98">
        <v>6.0000000000000001E-3</v>
      </c>
    </row>
    <row r="99" spans="1:46" x14ac:dyDescent="0.25">
      <c r="A99" s="61" t="s">
        <v>915</v>
      </c>
      <c r="B99">
        <v>1.4E-2</v>
      </c>
    </row>
    <row r="100" spans="1:46" x14ac:dyDescent="0.25">
      <c r="A100" s="61" t="s">
        <v>916</v>
      </c>
      <c r="B100">
        <v>8.0000000000000002E-3</v>
      </c>
    </row>
    <row r="101" spans="1:46" x14ac:dyDescent="0.25">
      <c r="A101" s="61" t="s">
        <v>917</v>
      </c>
      <c r="B101">
        <v>8.9999999999999993E-3</v>
      </c>
    </row>
    <row r="102" spans="1:46" x14ac:dyDescent="0.25">
      <c r="A102" s="61" t="s">
        <v>918</v>
      </c>
      <c r="B102">
        <v>0</v>
      </c>
    </row>
    <row r="103" spans="1:46" x14ac:dyDescent="0.25">
      <c r="A103" s="61" t="s">
        <v>919</v>
      </c>
      <c r="B103">
        <v>0.01</v>
      </c>
      <c r="C103" t="s">
        <v>933</v>
      </c>
    </row>
    <row r="104" spans="1:46" x14ac:dyDescent="0.25">
      <c r="A104" s="61" t="s">
        <v>920</v>
      </c>
      <c r="B104">
        <v>8.0000000000000002E-3</v>
      </c>
    </row>
    <row r="105" spans="1:46" x14ac:dyDescent="0.25">
      <c r="A105" s="61" t="s">
        <v>921</v>
      </c>
      <c r="B105">
        <v>1.4E-2</v>
      </c>
    </row>
    <row r="106" spans="1:46" x14ac:dyDescent="0.25">
      <c r="A106" s="61" t="s">
        <v>922</v>
      </c>
      <c r="B106">
        <v>1.2E-2</v>
      </c>
    </row>
    <row r="108" spans="1:46" x14ac:dyDescent="0.25">
      <c r="A108" s="94" t="s">
        <v>934</v>
      </c>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row>
    <row r="109" spans="1:46" x14ac:dyDescent="0.25">
      <c r="A109" s="61" t="s">
        <v>923</v>
      </c>
      <c r="B109">
        <v>2015</v>
      </c>
      <c r="C109">
        <v>2016</v>
      </c>
      <c r="D109">
        <v>2017</v>
      </c>
      <c r="E109">
        <v>2018</v>
      </c>
      <c r="F109">
        <v>2019</v>
      </c>
      <c r="G109">
        <v>2020</v>
      </c>
      <c r="H109">
        <v>2021</v>
      </c>
      <c r="I109">
        <v>2022</v>
      </c>
      <c r="J109">
        <v>2023</v>
      </c>
      <c r="K109">
        <v>2024</v>
      </c>
      <c r="L109">
        <v>2025</v>
      </c>
      <c r="M109">
        <v>2026</v>
      </c>
      <c r="N109">
        <v>2027</v>
      </c>
      <c r="O109">
        <v>2028</v>
      </c>
      <c r="P109">
        <v>2029</v>
      </c>
      <c r="Q109">
        <v>2030</v>
      </c>
      <c r="R109">
        <v>2031</v>
      </c>
      <c r="S109">
        <v>2032</v>
      </c>
      <c r="T109">
        <v>2033</v>
      </c>
      <c r="U109">
        <v>2034</v>
      </c>
      <c r="V109">
        <v>2035</v>
      </c>
      <c r="W109">
        <v>2036</v>
      </c>
      <c r="X109">
        <v>2037</v>
      </c>
      <c r="Y109">
        <v>2038</v>
      </c>
      <c r="Z109">
        <v>2039</v>
      </c>
      <c r="AA109">
        <v>2040</v>
      </c>
      <c r="AB109">
        <v>2041</v>
      </c>
      <c r="AC109">
        <v>2042</v>
      </c>
      <c r="AD109">
        <v>2043</v>
      </c>
      <c r="AE109">
        <v>2044</v>
      </c>
      <c r="AF109">
        <v>2045</v>
      </c>
      <c r="AG109">
        <v>2046</v>
      </c>
      <c r="AH109">
        <v>2047</v>
      </c>
      <c r="AI109">
        <v>2048</v>
      </c>
      <c r="AJ109">
        <v>2049</v>
      </c>
      <c r="AK109">
        <v>2050</v>
      </c>
    </row>
    <row r="110" spans="1:46" x14ac:dyDescent="0.25">
      <c r="A110" s="61" t="s">
        <v>913</v>
      </c>
      <c r="B110" s="102">
        <f>B49*($B61*$B73+$B85*$B97)</f>
        <v>0.54553200000000002</v>
      </c>
      <c r="C110" s="102">
        <f t="shared" ref="C110:AK117" si="11">C49*($B61*$B73+$B85*$B97)</f>
        <v>0.58676800000000007</v>
      </c>
      <c r="D110" s="102">
        <f t="shared" si="11"/>
        <v>0.55634800000000006</v>
      </c>
      <c r="E110" s="102">
        <f t="shared" si="11"/>
        <v>0.55296800000000002</v>
      </c>
      <c r="F110" s="102">
        <f t="shared" si="11"/>
        <v>0.55296800000000002</v>
      </c>
      <c r="G110" s="102">
        <f t="shared" si="11"/>
        <v>0.54620800000000003</v>
      </c>
      <c r="H110" s="102">
        <f t="shared" si="11"/>
        <v>0.54282799999999998</v>
      </c>
      <c r="I110" s="102">
        <f t="shared" si="11"/>
        <v>0.54282799999999998</v>
      </c>
      <c r="J110" s="102">
        <f t="shared" si="11"/>
        <v>0.53606799999999999</v>
      </c>
      <c r="K110" s="102">
        <f t="shared" si="11"/>
        <v>0.53606799999999999</v>
      </c>
      <c r="L110" s="102">
        <f t="shared" si="11"/>
        <v>0.53268800000000005</v>
      </c>
      <c r="M110" s="102">
        <f t="shared" si="11"/>
        <v>0.529308</v>
      </c>
      <c r="N110" s="102">
        <f t="shared" si="11"/>
        <v>0.52660399999999996</v>
      </c>
      <c r="O110" s="102">
        <f t="shared" si="11"/>
        <v>0.52389999999999992</v>
      </c>
      <c r="P110" s="102">
        <f t="shared" si="11"/>
        <v>0.52119599999999988</v>
      </c>
      <c r="Q110" s="102">
        <f t="shared" si="11"/>
        <v>0.51849199999999984</v>
      </c>
      <c r="R110" s="102">
        <f t="shared" si="11"/>
        <v>0.5157879999999998</v>
      </c>
      <c r="S110" s="102">
        <f t="shared" si="11"/>
        <v>0.51308399999999976</v>
      </c>
      <c r="T110" s="102">
        <f t="shared" si="11"/>
        <v>0.51037999999999972</v>
      </c>
      <c r="U110" s="102">
        <f t="shared" si="11"/>
        <v>0.50767599999999968</v>
      </c>
      <c r="V110" s="102">
        <f t="shared" si="11"/>
        <v>0.50497199999999964</v>
      </c>
      <c r="W110" s="102">
        <f t="shared" si="11"/>
        <v>0.5022679999999996</v>
      </c>
      <c r="X110" s="102">
        <f t="shared" si="11"/>
        <v>0.49956399999999956</v>
      </c>
      <c r="Y110" s="102">
        <f t="shared" si="11"/>
        <v>0.49685999999999952</v>
      </c>
      <c r="Z110" s="102">
        <f t="shared" si="11"/>
        <v>0.49415599999999948</v>
      </c>
      <c r="AA110" s="102">
        <f t="shared" si="11"/>
        <v>0.49145199999999944</v>
      </c>
      <c r="AB110" s="102">
        <f t="shared" si="11"/>
        <v>0.48874799999999941</v>
      </c>
      <c r="AC110" s="102">
        <f t="shared" si="11"/>
        <v>0.48604399999999942</v>
      </c>
      <c r="AD110" s="102">
        <f t="shared" si="11"/>
        <v>0.48333999999999938</v>
      </c>
      <c r="AE110" s="102">
        <f t="shared" si="11"/>
        <v>0.48063599999999934</v>
      </c>
      <c r="AF110" s="102">
        <f t="shared" si="11"/>
        <v>0.4779319999999993</v>
      </c>
      <c r="AG110" s="102">
        <f t="shared" si="11"/>
        <v>0.47522799999999926</v>
      </c>
      <c r="AH110" s="102">
        <f t="shared" si="11"/>
        <v>0.47252399999999922</v>
      </c>
      <c r="AI110" s="102">
        <f t="shared" si="11"/>
        <v>0.46981999999999918</v>
      </c>
      <c r="AJ110" s="102">
        <f t="shared" si="11"/>
        <v>0.46711599999999914</v>
      </c>
      <c r="AK110" s="102">
        <f t="shared" si="11"/>
        <v>0.4644119999999991</v>
      </c>
    </row>
    <row r="111" spans="1:46" x14ac:dyDescent="0.25">
      <c r="A111" s="61" t="s">
        <v>914</v>
      </c>
      <c r="B111" s="102">
        <f t="shared" ref="B111:Q119" si="12">B50*($B62*$B74+$B86*$B98)</f>
        <v>4.9217000000000004E-2</v>
      </c>
      <c r="C111" s="102">
        <f t="shared" si="12"/>
        <v>3.7380000000000004E-2</v>
      </c>
      <c r="D111" s="102">
        <f t="shared" si="12"/>
        <v>3.3642000000000005E-2</v>
      </c>
      <c r="E111" s="102">
        <f t="shared" si="12"/>
        <v>3.3642000000000005E-2</v>
      </c>
      <c r="F111" s="102">
        <f t="shared" si="12"/>
        <v>3.3642000000000005E-2</v>
      </c>
      <c r="G111" s="102">
        <f t="shared" si="12"/>
        <v>3.3019E-2</v>
      </c>
      <c r="H111" s="102">
        <f t="shared" si="12"/>
        <v>3.1773000000000003E-2</v>
      </c>
      <c r="I111" s="102">
        <f t="shared" si="12"/>
        <v>3.1773000000000003E-2</v>
      </c>
      <c r="J111" s="102">
        <f t="shared" si="12"/>
        <v>3.1150000000000001E-2</v>
      </c>
      <c r="K111" s="102">
        <f t="shared" si="12"/>
        <v>3.0527000000000002E-2</v>
      </c>
      <c r="L111" s="102">
        <f t="shared" si="12"/>
        <v>2.9904E-2</v>
      </c>
      <c r="M111" s="102">
        <f t="shared" si="12"/>
        <v>2.9904E-2</v>
      </c>
      <c r="N111" s="102">
        <f t="shared" si="12"/>
        <v>2.9530200000000003E-2</v>
      </c>
      <c r="O111" s="102">
        <f t="shared" si="12"/>
        <v>2.9156400000000006E-2</v>
      </c>
      <c r="P111" s="102">
        <f t="shared" si="12"/>
        <v>2.8782600000000009E-2</v>
      </c>
      <c r="Q111" s="102">
        <f t="shared" si="12"/>
        <v>2.8408800000000008E-2</v>
      </c>
      <c r="R111" s="102">
        <f t="shared" si="11"/>
        <v>2.8035000000000011E-2</v>
      </c>
      <c r="S111" s="102">
        <f t="shared" si="11"/>
        <v>2.7661200000000014E-2</v>
      </c>
      <c r="T111" s="102">
        <f t="shared" si="11"/>
        <v>2.7287400000000017E-2</v>
      </c>
      <c r="U111" s="102">
        <f t="shared" si="11"/>
        <v>2.691360000000002E-2</v>
      </c>
      <c r="V111" s="102">
        <f t="shared" si="11"/>
        <v>2.6539800000000023E-2</v>
      </c>
      <c r="W111" s="102">
        <f t="shared" si="11"/>
        <v>2.6166000000000026E-2</v>
      </c>
      <c r="X111" s="102">
        <f t="shared" si="11"/>
        <v>2.5792200000000026E-2</v>
      </c>
      <c r="Y111" s="102">
        <f t="shared" si="11"/>
        <v>2.5418400000000028E-2</v>
      </c>
      <c r="Z111" s="102">
        <f t="shared" si="11"/>
        <v>2.5044600000000031E-2</v>
      </c>
      <c r="AA111" s="102">
        <f t="shared" si="11"/>
        <v>2.4670800000000031E-2</v>
      </c>
      <c r="AB111" s="102">
        <f t="shared" si="11"/>
        <v>2.429700000000003E-2</v>
      </c>
      <c r="AC111" s="102">
        <f t="shared" si="11"/>
        <v>2.392320000000003E-2</v>
      </c>
      <c r="AD111" s="102">
        <f t="shared" si="11"/>
        <v>2.3549400000000029E-2</v>
      </c>
      <c r="AE111" s="102">
        <f t="shared" si="11"/>
        <v>2.3175600000000029E-2</v>
      </c>
      <c r="AF111" s="102">
        <f t="shared" si="11"/>
        <v>2.2801800000000028E-2</v>
      </c>
      <c r="AG111" s="102">
        <f t="shared" si="11"/>
        <v>2.2428000000000028E-2</v>
      </c>
      <c r="AH111" s="102">
        <f t="shared" si="11"/>
        <v>2.2054200000000027E-2</v>
      </c>
      <c r="AI111" s="102">
        <f t="shared" si="11"/>
        <v>2.168040000000003E-2</v>
      </c>
      <c r="AJ111" s="102">
        <f t="shared" si="11"/>
        <v>2.130660000000003E-2</v>
      </c>
      <c r="AK111" s="102">
        <f t="shared" si="11"/>
        <v>2.0932800000000029E-2</v>
      </c>
    </row>
    <row r="112" spans="1:46" x14ac:dyDescent="0.25">
      <c r="A112" s="61" t="s">
        <v>915</v>
      </c>
      <c r="B112" s="102">
        <f t="shared" si="12"/>
        <v>2.9792000000000003E-2</v>
      </c>
      <c r="C112" s="102">
        <f t="shared" si="11"/>
        <v>2.4206000000000002E-2</v>
      </c>
      <c r="D112" s="102">
        <f t="shared" si="11"/>
        <v>2.3275000000000001E-2</v>
      </c>
      <c r="E112" s="102">
        <f t="shared" si="11"/>
        <v>2.2343999999999999E-2</v>
      </c>
      <c r="F112" s="102">
        <f t="shared" si="11"/>
        <v>2.2343999999999999E-2</v>
      </c>
      <c r="G112" s="102">
        <f t="shared" si="11"/>
        <v>2.2343999999999999E-2</v>
      </c>
      <c r="H112" s="102">
        <f t="shared" si="11"/>
        <v>2.2343999999999999E-2</v>
      </c>
      <c r="I112" s="102">
        <f t="shared" si="11"/>
        <v>2.2343999999999999E-2</v>
      </c>
      <c r="J112" s="102">
        <f t="shared" si="11"/>
        <v>2.2343999999999999E-2</v>
      </c>
      <c r="K112" s="102">
        <f t="shared" si="11"/>
        <v>2.2343999999999999E-2</v>
      </c>
      <c r="L112" s="102">
        <f t="shared" si="11"/>
        <v>2.2343999999999999E-2</v>
      </c>
      <c r="M112" s="102">
        <f t="shared" si="11"/>
        <v>2.2343999999999999E-2</v>
      </c>
      <c r="N112" s="102">
        <f t="shared" si="11"/>
        <v>2.2343999999999999E-2</v>
      </c>
      <c r="O112" s="102">
        <f t="shared" si="11"/>
        <v>2.2343999999999999E-2</v>
      </c>
      <c r="P112" s="102">
        <f t="shared" si="11"/>
        <v>2.2343999999999999E-2</v>
      </c>
      <c r="Q112" s="102">
        <f t="shared" si="11"/>
        <v>2.2343999999999999E-2</v>
      </c>
      <c r="R112" s="102">
        <f t="shared" si="11"/>
        <v>2.2343999999999999E-2</v>
      </c>
      <c r="S112" s="102">
        <f t="shared" si="11"/>
        <v>2.2343999999999999E-2</v>
      </c>
      <c r="T112" s="102">
        <f t="shared" si="11"/>
        <v>2.2343999999999999E-2</v>
      </c>
      <c r="U112" s="102">
        <f t="shared" si="11"/>
        <v>2.2343999999999999E-2</v>
      </c>
      <c r="V112" s="102">
        <f t="shared" si="11"/>
        <v>2.2343999999999999E-2</v>
      </c>
      <c r="W112" s="102">
        <f t="shared" si="11"/>
        <v>2.2343999999999999E-2</v>
      </c>
      <c r="X112" s="102">
        <f t="shared" si="11"/>
        <v>2.2343999999999999E-2</v>
      </c>
      <c r="Y112" s="102">
        <f t="shared" si="11"/>
        <v>2.2343999999999999E-2</v>
      </c>
      <c r="Z112" s="102">
        <f t="shared" si="11"/>
        <v>2.2343999999999999E-2</v>
      </c>
      <c r="AA112" s="102">
        <f t="shared" si="11"/>
        <v>2.2343999999999999E-2</v>
      </c>
      <c r="AB112" s="102">
        <f t="shared" si="11"/>
        <v>2.2343999999999999E-2</v>
      </c>
      <c r="AC112" s="102">
        <f t="shared" si="11"/>
        <v>2.2343999999999999E-2</v>
      </c>
      <c r="AD112" s="102">
        <f t="shared" si="11"/>
        <v>2.2343999999999999E-2</v>
      </c>
      <c r="AE112" s="102">
        <f t="shared" si="11"/>
        <v>2.2343999999999999E-2</v>
      </c>
      <c r="AF112" s="102">
        <f t="shared" si="11"/>
        <v>2.2343999999999999E-2</v>
      </c>
      <c r="AG112" s="102">
        <f t="shared" si="11"/>
        <v>2.2343999999999999E-2</v>
      </c>
      <c r="AH112" s="102">
        <f t="shared" si="11"/>
        <v>2.2343999999999999E-2</v>
      </c>
      <c r="AI112" s="102">
        <f t="shared" si="11"/>
        <v>2.2343999999999999E-2</v>
      </c>
      <c r="AJ112" s="102">
        <f t="shared" si="11"/>
        <v>2.2343999999999999E-2</v>
      </c>
      <c r="AK112" s="102">
        <f t="shared" si="11"/>
        <v>2.2343999999999999E-2</v>
      </c>
    </row>
    <row r="113" spans="1:46" x14ac:dyDescent="0.25">
      <c r="A113" s="61" t="s">
        <v>916</v>
      </c>
      <c r="B113" s="102">
        <f t="shared" si="12"/>
        <v>1.0699000000000002E-2</v>
      </c>
      <c r="C113" s="102">
        <f t="shared" si="11"/>
        <v>8.2300000000000012E-3</v>
      </c>
      <c r="D113" s="102">
        <f t="shared" si="11"/>
        <v>7.4070000000000013E-3</v>
      </c>
      <c r="E113" s="102">
        <f t="shared" si="11"/>
        <v>7.4070000000000013E-3</v>
      </c>
      <c r="F113" s="102">
        <f t="shared" si="11"/>
        <v>7.4070000000000013E-3</v>
      </c>
      <c r="G113" s="102">
        <f t="shared" si="11"/>
        <v>7.4070000000000013E-3</v>
      </c>
      <c r="H113" s="102">
        <f t="shared" si="11"/>
        <v>7.4070000000000013E-3</v>
      </c>
      <c r="I113" s="102">
        <f t="shared" si="11"/>
        <v>7.4070000000000013E-3</v>
      </c>
      <c r="J113" s="102">
        <f t="shared" si="11"/>
        <v>7.4070000000000013E-3</v>
      </c>
      <c r="K113" s="102">
        <f t="shared" si="11"/>
        <v>7.4070000000000013E-3</v>
      </c>
      <c r="L113" s="102">
        <f t="shared" si="11"/>
        <v>7.4070000000000013E-3</v>
      </c>
      <c r="M113" s="102">
        <f t="shared" si="11"/>
        <v>7.4070000000000013E-3</v>
      </c>
      <c r="N113" s="102">
        <f t="shared" si="11"/>
        <v>7.4070000000000013E-3</v>
      </c>
      <c r="O113" s="102">
        <f t="shared" si="11"/>
        <v>7.4070000000000013E-3</v>
      </c>
      <c r="P113" s="102">
        <f t="shared" si="11"/>
        <v>7.4070000000000013E-3</v>
      </c>
      <c r="Q113" s="102">
        <f t="shared" si="11"/>
        <v>7.4070000000000013E-3</v>
      </c>
      <c r="R113" s="102">
        <f t="shared" si="11"/>
        <v>7.4070000000000013E-3</v>
      </c>
      <c r="S113" s="102">
        <f t="shared" si="11"/>
        <v>7.4070000000000013E-3</v>
      </c>
      <c r="T113" s="102">
        <f t="shared" si="11"/>
        <v>7.4070000000000013E-3</v>
      </c>
      <c r="U113" s="102">
        <f t="shared" si="11"/>
        <v>7.4070000000000013E-3</v>
      </c>
      <c r="V113" s="102">
        <f t="shared" si="11"/>
        <v>7.4070000000000013E-3</v>
      </c>
      <c r="W113" s="102">
        <f t="shared" si="11"/>
        <v>7.4070000000000013E-3</v>
      </c>
      <c r="X113" s="102">
        <f t="shared" si="11"/>
        <v>7.4070000000000013E-3</v>
      </c>
      <c r="Y113" s="102">
        <f t="shared" si="11"/>
        <v>7.4070000000000013E-3</v>
      </c>
      <c r="Z113" s="102">
        <f t="shared" si="11"/>
        <v>7.4070000000000013E-3</v>
      </c>
      <c r="AA113" s="102">
        <f t="shared" si="11"/>
        <v>7.4070000000000013E-3</v>
      </c>
      <c r="AB113" s="102">
        <f t="shared" si="11"/>
        <v>7.4070000000000013E-3</v>
      </c>
      <c r="AC113" s="102">
        <f t="shared" si="11"/>
        <v>7.4070000000000013E-3</v>
      </c>
      <c r="AD113" s="102">
        <f t="shared" si="11"/>
        <v>7.4070000000000013E-3</v>
      </c>
      <c r="AE113" s="102">
        <f t="shared" si="11"/>
        <v>7.4070000000000013E-3</v>
      </c>
      <c r="AF113" s="102">
        <f t="shared" si="11"/>
        <v>7.4070000000000013E-3</v>
      </c>
      <c r="AG113" s="102">
        <f t="shared" si="11"/>
        <v>7.4070000000000013E-3</v>
      </c>
      <c r="AH113" s="102">
        <f t="shared" si="11"/>
        <v>7.4070000000000013E-3</v>
      </c>
      <c r="AI113" s="102">
        <f t="shared" si="11"/>
        <v>7.4070000000000013E-3</v>
      </c>
      <c r="AJ113" s="102">
        <f t="shared" si="11"/>
        <v>7.4070000000000013E-3</v>
      </c>
      <c r="AK113" s="102">
        <f t="shared" si="11"/>
        <v>7.4070000000000013E-3</v>
      </c>
    </row>
    <row r="114" spans="1:46" x14ac:dyDescent="0.25">
      <c r="A114" s="61" t="s">
        <v>917</v>
      </c>
      <c r="B114" s="102">
        <f t="shared" si="12"/>
        <v>0.35474999999999995</v>
      </c>
      <c r="C114" s="102">
        <f t="shared" si="11"/>
        <v>0.32924999999999999</v>
      </c>
      <c r="D114" s="102">
        <f t="shared" si="11"/>
        <v>0.30825000000000002</v>
      </c>
      <c r="E114" s="102">
        <f t="shared" si="11"/>
        <v>0.312</v>
      </c>
      <c r="F114" s="102">
        <f t="shared" si="11"/>
        <v>0.315</v>
      </c>
      <c r="G114" s="102">
        <f t="shared" si="11"/>
        <v>0.315</v>
      </c>
      <c r="H114" s="102">
        <f t="shared" si="11"/>
        <v>0.315</v>
      </c>
      <c r="I114" s="102">
        <f t="shared" si="11"/>
        <v>0.315</v>
      </c>
      <c r="J114" s="102">
        <f t="shared" si="11"/>
        <v>0.315</v>
      </c>
      <c r="K114" s="102">
        <f t="shared" si="11"/>
        <v>0.315</v>
      </c>
      <c r="L114" s="102">
        <f t="shared" si="11"/>
        <v>0.315</v>
      </c>
      <c r="M114" s="102">
        <f t="shared" si="11"/>
        <v>0.315</v>
      </c>
      <c r="N114" s="102">
        <f t="shared" si="11"/>
        <v>0.315</v>
      </c>
      <c r="O114" s="102">
        <f t="shared" si="11"/>
        <v>0.315</v>
      </c>
      <c r="P114" s="102">
        <f t="shared" si="11"/>
        <v>0.315</v>
      </c>
      <c r="Q114" s="102">
        <f t="shared" si="11"/>
        <v>0.315</v>
      </c>
      <c r="R114" s="102">
        <f t="shared" si="11"/>
        <v>0.315</v>
      </c>
      <c r="S114" s="102">
        <f t="shared" si="11"/>
        <v>0.315</v>
      </c>
      <c r="T114" s="102">
        <f t="shared" si="11"/>
        <v>0.315</v>
      </c>
      <c r="U114" s="102">
        <f t="shared" si="11"/>
        <v>0.315</v>
      </c>
      <c r="V114" s="102">
        <f t="shared" si="11"/>
        <v>0.315</v>
      </c>
      <c r="W114" s="102">
        <f t="shared" si="11"/>
        <v>0.315</v>
      </c>
      <c r="X114" s="102">
        <f t="shared" si="11"/>
        <v>0.315</v>
      </c>
      <c r="Y114" s="102">
        <f t="shared" si="11"/>
        <v>0.315</v>
      </c>
      <c r="Z114" s="102">
        <f t="shared" si="11"/>
        <v>0.315</v>
      </c>
      <c r="AA114" s="102">
        <f t="shared" si="11"/>
        <v>0.315</v>
      </c>
      <c r="AB114" s="102">
        <f t="shared" si="11"/>
        <v>0.315</v>
      </c>
      <c r="AC114" s="102">
        <f t="shared" si="11"/>
        <v>0.315</v>
      </c>
      <c r="AD114" s="102">
        <f t="shared" si="11"/>
        <v>0.315</v>
      </c>
      <c r="AE114" s="102">
        <f t="shared" si="11"/>
        <v>0.315</v>
      </c>
      <c r="AF114" s="102">
        <f t="shared" si="11"/>
        <v>0.315</v>
      </c>
      <c r="AG114" s="102">
        <f t="shared" si="11"/>
        <v>0.315</v>
      </c>
      <c r="AH114" s="102">
        <f t="shared" si="11"/>
        <v>0.315</v>
      </c>
      <c r="AI114" s="102">
        <f t="shared" si="11"/>
        <v>0.315</v>
      </c>
      <c r="AJ114" s="102">
        <f t="shared" si="11"/>
        <v>0.315</v>
      </c>
      <c r="AK114" s="102">
        <f t="shared" si="11"/>
        <v>0.315</v>
      </c>
    </row>
    <row r="115" spans="1:46" x14ac:dyDescent="0.25">
      <c r="A115" s="61" t="s">
        <v>918</v>
      </c>
      <c r="B115" s="102">
        <f t="shared" si="12"/>
        <v>1.6198000000000001E-2</v>
      </c>
      <c r="C115" s="102">
        <f t="shared" si="11"/>
        <v>1.9313E-2</v>
      </c>
      <c r="D115" s="102">
        <f t="shared" si="11"/>
        <v>1.6821000000000003E-2</v>
      </c>
      <c r="E115" s="102">
        <f t="shared" si="11"/>
        <v>1.7444000000000001E-2</v>
      </c>
      <c r="F115" s="102">
        <f t="shared" si="11"/>
        <v>1.7444000000000001E-2</v>
      </c>
      <c r="G115" s="102">
        <f t="shared" si="11"/>
        <v>1.7444000000000001E-2</v>
      </c>
      <c r="H115" s="102">
        <f t="shared" si="11"/>
        <v>1.7444000000000001E-2</v>
      </c>
      <c r="I115" s="102">
        <f t="shared" si="11"/>
        <v>1.7444000000000001E-2</v>
      </c>
      <c r="J115" s="102">
        <f t="shared" si="11"/>
        <v>1.8067E-2</v>
      </c>
      <c r="K115" s="102">
        <f t="shared" si="11"/>
        <v>1.8067E-2</v>
      </c>
      <c r="L115" s="102">
        <f t="shared" si="11"/>
        <v>1.8067E-2</v>
      </c>
      <c r="M115" s="102">
        <f t="shared" si="11"/>
        <v>1.8067E-2</v>
      </c>
      <c r="N115" s="102">
        <f t="shared" si="11"/>
        <v>1.8191599999999999E-2</v>
      </c>
      <c r="O115" s="102">
        <f t="shared" si="11"/>
        <v>1.8316200000000001E-2</v>
      </c>
      <c r="P115" s="102">
        <f t="shared" si="11"/>
        <v>1.84408E-2</v>
      </c>
      <c r="Q115" s="102">
        <f t="shared" si="11"/>
        <v>1.8565399999999999E-2</v>
      </c>
      <c r="R115" s="102">
        <f t="shared" si="11"/>
        <v>1.8690000000000002E-2</v>
      </c>
      <c r="S115" s="102">
        <f t="shared" si="11"/>
        <v>1.8814600000000001E-2</v>
      </c>
      <c r="T115" s="102">
        <f t="shared" si="11"/>
        <v>1.89392E-2</v>
      </c>
      <c r="U115" s="102">
        <f t="shared" si="11"/>
        <v>1.9063800000000002E-2</v>
      </c>
      <c r="V115" s="102">
        <f t="shared" si="11"/>
        <v>1.9188400000000001E-2</v>
      </c>
      <c r="W115" s="102">
        <f t="shared" si="11"/>
        <v>1.9313E-2</v>
      </c>
      <c r="X115" s="102">
        <f t="shared" si="11"/>
        <v>1.9437600000000003E-2</v>
      </c>
      <c r="Y115" s="102">
        <f t="shared" si="11"/>
        <v>1.9562200000000002E-2</v>
      </c>
      <c r="Z115" s="102">
        <f t="shared" si="11"/>
        <v>1.9686800000000001E-2</v>
      </c>
      <c r="AA115" s="102">
        <f t="shared" si="11"/>
        <v>1.9811400000000003E-2</v>
      </c>
      <c r="AB115" s="102">
        <f t="shared" si="11"/>
        <v>1.9936000000000002E-2</v>
      </c>
      <c r="AC115" s="102">
        <f t="shared" si="11"/>
        <v>2.0060600000000001E-2</v>
      </c>
      <c r="AD115" s="102">
        <f t="shared" si="11"/>
        <v>2.0185200000000004E-2</v>
      </c>
      <c r="AE115" s="102">
        <f t="shared" si="11"/>
        <v>2.0309800000000003E-2</v>
      </c>
      <c r="AF115" s="102">
        <f t="shared" si="11"/>
        <v>2.0434400000000002E-2</v>
      </c>
      <c r="AG115" s="102">
        <f t="shared" si="11"/>
        <v>2.0559000000000004E-2</v>
      </c>
      <c r="AH115" s="102">
        <f t="shared" si="11"/>
        <v>2.0683600000000003E-2</v>
      </c>
      <c r="AI115" s="102">
        <f t="shared" si="11"/>
        <v>2.0808200000000002E-2</v>
      </c>
      <c r="AJ115" s="102">
        <f t="shared" si="11"/>
        <v>2.0932800000000001E-2</v>
      </c>
      <c r="AK115" s="102">
        <f t="shared" si="11"/>
        <v>2.1057400000000004E-2</v>
      </c>
    </row>
    <row r="116" spans="1:46" x14ac:dyDescent="0.25">
      <c r="A116" s="61" t="s">
        <v>919</v>
      </c>
      <c r="B116" s="102">
        <f t="shared" si="12"/>
        <v>6.5017000000000019E-2</v>
      </c>
      <c r="C116" s="102">
        <f t="shared" si="11"/>
        <v>7.8185000000000004E-2</v>
      </c>
      <c r="D116" s="102">
        <f t="shared" si="11"/>
        <v>7.8185000000000004E-2</v>
      </c>
      <c r="E116" s="102">
        <f t="shared" si="11"/>
        <v>7.4070000000000011E-2</v>
      </c>
      <c r="F116" s="102">
        <f t="shared" si="11"/>
        <v>7.2424000000000016E-2</v>
      </c>
      <c r="G116" s="102">
        <f t="shared" si="11"/>
        <v>7.2424000000000016E-2</v>
      </c>
      <c r="H116" s="102">
        <f t="shared" si="11"/>
        <v>7.2424000000000016E-2</v>
      </c>
      <c r="I116" s="102">
        <f t="shared" si="11"/>
        <v>7.2424000000000016E-2</v>
      </c>
      <c r="J116" s="102">
        <f t="shared" si="11"/>
        <v>7.2424000000000016E-2</v>
      </c>
      <c r="K116" s="102">
        <f t="shared" si="11"/>
        <v>7.2424000000000016E-2</v>
      </c>
      <c r="L116" s="102">
        <f t="shared" si="11"/>
        <v>7.2424000000000016E-2</v>
      </c>
      <c r="M116" s="102">
        <f t="shared" si="11"/>
        <v>7.2424000000000016E-2</v>
      </c>
      <c r="N116" s="102">
        <f t="shared" si="11"/>
        <v>7.2424000000000016E-2</v>
      </c>
      <c r="O116" s="102">
        <f t="shared" si="11"/>
        <v>7.2424000000000016E-2</v>
      </c>
      <c r="P116" s="102">
        <f t="shared" si="11"/>
        <v>7.2424000000000016E-2</v>
      </c>
      <c r="Q116" s="102">
        <f t="shared" si="11"/>
        <v>7.2424000000000016E-2</v>
      </c>
      <c r="R116" s="102">
        <f t="shared" si="11"/>
        <v>7.2424000000000016E-2</v>
      </c>
      <c r="S116" s="102">
        <f t="shared" si="11"/>
        <v>7.2424000000000016E-2</v>
      </c>
      <c r="T116" s="102">
        <f t="shared" si="11"/>
        <v>7.2424000000000016E-2</v>
      </c>
      <c r="U116" s="102">
        <f t="shared" si="11"/>
        <v>7.2424000000000016E-2</v>
      </c>
      <c r="V116" s="102">
        <f t="shared" si="11"/>
        <v>7.2424000000000016E-2</v>
      </c>
      <c r="W116" s="102">
        <f t="shared" si="11"/>
        <v>7.2424000000000016E-2</v>
      </c>
      <c r="X116" s="102">
        <f t="shared" si="11"/>
        <v>7.2424000000000016E-2</v>
      </c>
      <c r="Y116" s="102">
        <f t="shared" si="11"/>
        <v>7.2424000000000016E-2</v>
      </c>
      <c r="Z116" s="102">
        <f t="shared" si="11"/>
        <v>7.2424000000000016E-2</v>
      </c>
      <c r="AA116" s="102">
        <f t="shared" si="11"/>
        <v>7.2424000000000016E-2</v>
      </c>
      <c r="AB116" s="102">
        <f t="shared" si="11"/>
        <v>7.2424000000000016E-2</v>
      </c>
      <c r="AC116" s="102">
        <f t="shared" si="11"/>
        <v>7.2424000000000016E-2</v>
      </c>
      <c r="AD116" s="102">
        <f t="shared" si="11"/>
        <v>7.2424000000000016E-2</v>
      </c>
      <c r="AE116" s="102">
        <f t="shared" si="11"/>
        <v>7.2424000000000016E-2</v>
      </c>
      <c r="AF116" s="102">
        <f t="shared" si="11"/>
        <v>7.2424000000000016E-2</v>
      </c>
      <c r="AG116" s="102">
        <f t="shared" si="11"/>
        <v>7.2424000000000016E-2</v>
      </c>
      <c r="AH116" s="102">
        <f t="shared" si="11"/>
        <v>7.2424000000000016E-2</v>
      </c>
      <c r="AI116" s="102">
        <f t="shared" si="11"/>
        <v>7.2424000000000016E-2</v>
      </c>
      <c r="AJ116" s="102">
        <f t="shared" si="11"/>
        <v>7.2424000000000016E-2</v>
      </c>
      <c r="AK116" s="102">
        <f t="shared" si="11"/>
        <v>7.2424000000000016E-2</v>
      </c>
    </row>
    <row r="117" spans="1:46" x14ac:dyDescent="0.25">
      <c r="A117" s="61" t="s">
        <v>920</v>
      </c>
      <c r="B117" s="102">
        <f t="shared" si="12"/>
        <v>0.71896000000000004</v>
      </c>
      <c r="C117" s="102">
        <f t="shared" si="11"/>
        <v>0.73040000000000005</v>
      </c>
      <c r="D117" s="102">
        <f t="shared" si="11"/>
        <v>0.74448000000000003</v>
      </c>
      <c r="E117" s="102">
        <f t="shared" si="11"/>
        <v>0.74007999999999996</v>
      </c>
      <c r="F117" s="102">
        <f t="shared" si="11"/>
        <v>0.73568</v>
      </c>
      <c r="G117" s="102">
        <f t="shared" si="11"/>
        <v>0.73568</v>
      </c>
      <c r="H117" s="102">
        <f t="shared" si="11"/>
        <v>0.74007999999999996</v>
      </c>
      <c r="I117" s="102">
        <f t="shared" si="11"/>
        <v>0.74007999999999996</v>
      </c>
      <c r="J117" s="102">
        <f t="shared" si="11"/>
        <v>0.74007999999999996</v>
      </c>
      <c r="K117" s="102">
        <f t="shared" si="11"/>
        <v>0.74007999999999996</v>
      </c>
      <c r="L117" s="102">
        <f t="shared" si="11"/>
        <v>0.74007999999999996</v>
      </c>
      <c r="M117" s="102">
        <f t="shared" si="11"/>
        <v>0.74007999999999996</v>
      </c>
      <c r="N117" s="102">
        <f t="shared" si="11"/>
        <v>0.74007999999999996</v>
      </c>
      <c r="O117" s="102">
        <f t="shared" si="11"/>
        <v>0.74007999999999996</v>
      </c>
      <c r="P117" s="102">
        <f t="shared" si="11"/>
        <v>0.74007999999999996</v>
      </c>
      <c r="Q117" s="102">
        <f t="shared" si="11"/>
        <v>0.74007999999999996</v>
      </c>
      <c r="R117" s="102">
        <f t="shared" si="11"/>
        <v>0.74007999999999996</v>
      </c>
      <c r="S117" s="102">
        <f t="shared" si="11"/>
        <v>0.74007999999999996</v>
      </c>
      <c r="T117" s="102">
        <f t="shared" si="11"/>
        <v>0.74007999999999996</v>
      </c>
      <c r="U117" s="102">
        <f t="shared" si="11"/>
        <v>0.74007999999999996</v>
      </c>
      <c r="V117" s="102">
        <f t="shared" si="11"/>
        <v>0.74007999999999996</v>
      </c>
      <c r="W117" s="102">
        <f t="shared" si="11"/>
        <v>0.74007999999999996</v>
      </c>
      <c r="X117" s="102">
        <f t="shared" si="11"/>
        <v>0.74007999999999996</v>
      </c>
      <c r="Y117" s="102">
        <f t="shared" si="11"/>
        <v>0.74007999999999996</v>
      </c>
      <c r="Z117" s="102">
        <f t="shared" si="11"/>
        <v>0.74007999999999996</v>
      </c>
      <c r="AA117" s="102">
        <f t="shared" si="11"/>
        <v>0.74007999999999996</v>
      </c>
      <c r="AB117" s="102">
        <f t="shared" ref="C117:AK119" si="13">AB56*($B68*$B80+$B92*$B104)</f>
        <v>0.74007999999999996</v>
      </c>
      <c r="AC117" s="102">
        <f t="shared" si="13"/>
        <v>0.74007999999999996</v>
      </c>
      <c r="AD117" s="102">
        <f t="shared" si="13"/>
        <v>0.74007999999999996</v>
      </c>
      <c r="AE117" s="102">
        <f t="shared" si="13"/>
        <v>0.74007999999999996</v>
      </c>
      <c r="AF117" s="102">
        <f t="shared" si="13"/>
        <v>0.74007999999999996</v>
      </c>
      <c r="AG117" s="102">
        <f t="shared" si="13"/>
        <v>0.74007999999999996</v>
      </c>
      <c r="AH117" s="102">
        <f t="shared" si="13"/>
        <v>0.74007999999999996</v>
      </c>
      <c r="AI117" s="102">
        <f t="shared" si="13"/>
        <v>0.74007999999999996</v>
      </c>
      <c r="AJ117" s="102">
        <f t="shared" si="13"/>
        <v>0.74007999999999996</v>
      </c>
      <c r="AK117" s="102">
        <f t="shared" si="13"/>
        <v>0.74007999999999996</v>
      </c>
    </row>
    <row r="118" spans="1:46" x14ac:dyDescent="0.25">
      <c r="A118" s="61" t="s">
        <v>921</v>
      </c>
      <c r="B118" s="102">
        <f t="shared" si="12"/>
        <v>2.0426800000000002E-2</v>
      </c>
      <c r="C118" s="102">
        <f t="shared" si="13"/>
        <v>2.0087839999999999E-2</v>
      </c>
      <c r="D118" s="102">
        <f t="shared" si="13"/>
        <v>2.0997680000000001E-2</v>
      </c>
      <c r="E118" s="102">
        <f t="shared" si="13"/>
        <v>2.040896E-2</v>
      </c>
      <c r="F118" s="102">
        <f t="shared" si="13"/>
        <v>2.0301920000000001E-2</v>
      </c>
      <c r="G118" s="102">
        <f t="shared" si="13"/>
        <v>1.9552640000000003E-2</v>
      </c>
      <c r="H118" s="102">
        <f t="shared" si="13"/>
        <v>1.9302880000000001E-2</v>
      </c>
      <c r="I118" s="102">
        <f t="shared" si="13"/>
        <v>1.9302880000000001E-2</v>
      </c>
      <c r="J118" s="102">
        <f t="shared" si="13"/>
        <v>1.8660640000000003E-2</v>
      </c>
      <c r="K118" s="102">
        <f t="shared" si="13"/>
        <v>1.8232480000000002E-2</v>
      </c>
      <c r="L118" s="102">
        <f t="shared" si="13"/>
        <v>1.8196800000000003E-2</v>
      </c>
      <c r="M118" s="102">
        <f t="shared" si="13"/>
        <v>1.7875680000000001E-2</v>
      </c>
      <c r="N118" s="102">
        <f t="shared" si="13"/>
        <v>1.759024E-2</v>
      </c>
      <c r="O118" s="102">
        <f t="shared" si="13"/>
        <v>1.7304800000000002E-2</v>
      </c>
      <c r="P118" s="102">
        <f t="shared" si="13"/>
        <v>1.7019360000000001E-2</v>
      </c>
      <c r="Q118" s="102">
        <f t="shared" si="13"/>
        <v>1.6733919999999999E-2</v>
      </c>
      <c r="R118" s="102">
        <f t="shared" si="13"/>
        <v>1.6448480000000001E-2</v>
      </c>
      <c r="S118" s="102">
        <f t="shared" si="13"/>
        <v>1.616304E-2</v>
      </c>
      <c r="T118" s="102">
        <f t="shared" si="13"/>
        <v>1.5877599999999999E-2</v>
      </c>
      <c r="U118" s="102">
        <f t="shared" si="13"/>
        <v>1.5592159999999999E-2</v>
      </c>
      <c r="V118" s="102">
        <f t="shared" si="13"/>
        <v>1.5306719999999999E-2</v>
      </c>
      <c r="W118" s="102">
        <f t="shared" si="13"/>
        <v>1.502128E-2</v>
      </c>
      <c r="X118" s="102">
        <f t="shared" si="13"/>
        <v>1.4735839999999998E-2</v>
      </c>
      <c r="Y118" s="102">
        <f t="shared" si="13"/>
        <v>1.4450399999999999E-2</v>
      </c>
      <c r="Z118" s="102">
        <f t="shared" si="13"/>
        <v>1.4164959999999997E-2</v>
      </c>
      <c r="AA118" s="102">
        <f t="shared" si="13"/>
        <v>1.3879519999999998E-2</v>
      </c>
      <c r="AB118" s="102">
        <f t="shared" si="13"/>
        <v>1.3594079999999998E-2</v>
      </c>
      <c r="AC118" s="102">
        <f t="shared" si="13"/>
        <v>1.3308639999999997E-2</v>
      </c>
      <c r="AD118" s="102">
        <f t="shared" si="13"/>
        <v>1.3023199999999997E-2</v>
      </c>
      <c r="AE118" s="102">
        <f t="shared" si="13"/>
        <v>1.2737759999999997E-2</v>
      </c>
      <c r="AF118" s="102">
        <f t="shared" si="13"/>
        <v>1.2452319999999996E-2</v>
      </c>
      <c r="AG118" s="102">
        <f t="shared" si="13"/>
        <v>1.2166879999999996E-2</v>
      </c>
      <c r="AH118" s="102">
        <f t="shared" si="13"/>
        <v>1.1881439999999997E-2</v>
      </c>
      <c r="AI118" s="102">
        <f t="shared" si="13"/>
        <v>1.1595999999999995E-2</v>
      </c>
      <c r="AJ118" s="102">
        <f t="shared" si="13"/>
        <v>1.1310559999999996E-2</v>
      </c>
      <c r="AK118" s="102">
        <f t="shared" si="13"/>
        <v>1.1025119999999994E-2</v>
      </c>
    </row>
    <row r="119" spans="1:46" x14ac:dyDescent="0.25">
      <c r="A119" s="61" t="s">
        <v>922</v>
      </c>
      <c r="B119" s="102">
        <f t="shared" si="12"/>
        <v>1.9496400000000001E-2</v>
      </c>
      <c r="C119" s="102">
        <f t="shared" si="13"/>
        <v>2.0189400000000003E-2</v>
      </c>
      <c r="D119" s="102">
        <f t="shared" si="13"/>
        <v>2.0674500000000002E-2</v>
      </c>
      <c r="E119" s="102">
        <f t="shared" si="13"/>
        <v>2.1136500000000003E-2</v>
      </c>
      <c r="F119" s="102">
        <f t="shared" si="13"/>
        <v>2.1275100000000002E-2</v>
      </c>
      <c r="G119" s="102">
        <f t="shared" si="13"/>
        <v>2.1159600000000004E-2</v>
      </c>
      <c r="H119" s="102">
        <f t="shared" si="13"/>
        <v>2.1205800000000004E-2</v>
      </c>
      <c r="I119" s="102">
        <f t="shared" si="13"/>
        <v>2.1483000000000002E-2</v>
      </c>
      <c r="J119" s="102">
        <f t="shared" si="13"/>
        <v>2.1483000000000002E-2</v>
      </c>
      <c r="K119" s="102">
        <f t="shared" si="13"/>
        <v>2.1367500000000005E-2</v>
      </c>
      <c r="L119" s="102">
        <f t="shared" si="13"/>
        <v>2.1436800000000002E-2</v>
      </c>
      <c r="M119" s="102">
        <f t="shared" si="13"/>
        <v>2.1506100000000004E-2</v>
      </c>
      <c r="N119" s="102">
        <f t="shared" si="13"/>
        <v>2.1566160000000004E-2</v>
      </c>
      <c r="O119" s="102">
        <f t="shared" si="13"/>
        <v>2.1626220000000005E-2</v>
      </c>
      <c r="P119" s="102">
        <f t="shared" si="13"/>
        <v>2.1686280000000006E-2</v>
      </c>
      <c r="Q119" s="102">
        <f t="shared" si="13"/>
        <v>2.1746340000000006E-2</v>
      </c>
      <c r="R119" s="102">
        <f t="shared" si="13"/>
        <v>2.180640000000001E-2</v>
      </c>
      <c r="S119" s="102">
        <f t="shared" si="13"/>
        <v>2.1866460000000011E-2</v>
      </c>
      <c r="T119" s="102">
        <f t="shared" si="13"/>
        <v>2.1926520000000012E-2</v>
      </c>
      <c r="U119" s="102">
        <f t="shared" si="13"/>
        <v>2.1986580000000013E-2</v>
      </c>
      <c r="V119" s="102">
        <f t="shared" si="13"/>
        <v>2.2046640000000013E-2</v>
      </c>
      <c r="W119" s="102">
        <f t="shared" si="13"/>
        <v>2.2106700000000014E-2</v>
      </c>
      <c r="X119" s="102">
        <f t="shared" si="13"/>
        <v>2.2166760000000015E-2</v>
      </c>
      <c r="Y119" s="102">
        <f t="shared" si="13"/>
        <v>2.2226820000000015E-2</v>
      </c>
      <c r="Z119" s="102">
        <f t="shared" si="13"/>
        <v>2.2286880000000016E-2</v>
      </c>
      <c r="AA119" s="102">
        <f t="shared" si="13"/>
        <v>2.234694000000002E-2</v>
      </c>
      <c r="AB119" s="102">
        <f t="shared" si="13"/>
        <v>2.2407000000000021E-2</v>
      </c>
      <c r="AC119" s="102">
        <f t="shared" si="13"/>
        <v>2.2467060000000021E-2</v>
      </c>
      <c r="AD119" s="102">
        <f t="shared" si="13"/>
        <v>2.2527120000000022E-2</v>
      </c>
      <c r="AE119" s="102">
        <f t="shared" si="13"/>
        <v>2.2587180000000023E-2</v>
      </c>
      <c r="AF119" s="102">
        <f t="shared" si="13"/>
        <v>2.2647240000000023E-2</v>
      </c>
      <c r="AG119" s="102">
        <f t="shared" si="13"/>
        <v>2.2707300000000024E-2</v>
      </c>
      <c r="AH119" s="102">
        <f t="shared" si="13"/>
        <v>2.2767360000000025E-2</v>
      </c>
      <c r="AI119" s="102">
        <f t="shared" si="13"/>
        <v>2.2827420000000029E-2</v>
      </c>
      <c r="AJ119" s="102">
        <f t="shared" si="13"/>
        <v>2.2887480000000029E-2</v>
      </c>
      <c r="AK119" s="102">
        <f t="shared" si="13"/>
        <v>2.294754000000003E-2</v>
      </c>
    </row>
    <row r="121" spans="1:46" x14ac:dyDescent="0.25">
      <c r="A121" s="94" t="s">
        <v>935</v>
      </c>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row>
    <row r="122" spans="1:46" x14ac:dyDescent="0.25">
      <c r="B122">
        <v>2015</v>
      </c>
      <c r="C122">
        <v>2016</v>
      </c>
      <c r="D122">
        <v>2017</v>
      </c>
      <c r="E122">
        <v>2018</v>
      </c>
      <c r="F122">
        <v>2019</v>
      </c>
      <c r="G122">
        <v>2020</v>
      </c>
      <c r="H122">
        <v>2021</v>
      </c>
      <c r="I122">
        <v>2022</v>
      </c>
      <c r="J122">
        <v>2023</v>
      </c>
      <c r="K122">
        <v>2024</v>
      </c>
      <c r="L122">
        <v>2025</v>
      </c>
      <c r="M122">
        <v>2026</v>
      </c>
      <c r="N122">
        <v>2027</v>
      </c>
      <c r="O122">
        <v>2028</v>
      </c>
      <c r="P122">
        <v>2029</v>
      </c>
      <c r="Q122">
        <v>2030</v>
      </c>
      <c r="R122">
        <v>2031</v>
      </c>
      <c r="S122">
        <v>2032</v>
      </c>
      <c r="T122">
        <v>2033</v>
      </c>
      <c r="U122">
        <v>2034</v>
      </c>
      <c r="V122">
        <v>2035</v>
      </c>
      <c r="W122">
        <v>2036</v>
      </c>
      <c r="X122">
        <v>2037</v>
      </c>
      <c r="Y122">
        <v>2038</v>
      </c>
      <c r="Z122">
        <v>2039</v>
      </c>
      <c r="AA122">
        <v>2040</v>
      </c>
      <c r="AB122">
        <v>2041</v>
      </c>
      <c r="AC122">
        <v>2042</v>
      </c>
      <c r="AD122">
        <v>2043</v>
      </c>
      <c r="AE122">
        <v>2044</v>
      </c>
      <c r="AF122">
        <v>2045</v>
      </c>
      <c r="AG122">
        <v>2046</v>
      </c>
      <c r="AH122">
        <v>2047</v>
      </c>
      <c r="AI122">
        <v>2048</v>
      </c>
      <c r="AJ122">
        <v>2049</v>
      </c>
      <c r="AK122">
        <v>2050</v>
      </c>
    </row>
    <row r="123" spans="1:46" x14ac:dyDescent="0.25">
      <c r="A123" s="61" t="s">
        <v>936</v>
      </c>
      <c r="B123" s="66">
        <f>(J9+J18)/'Cross-Page Data'!D13*1000</f>
        <v>127.85234899328857</v>
      </c>
      <c r="C123" s="102">
        <f>$B$123*SUM(C110:C119)/SUM($B$110:$B$119)</f>
        <v>129.52350405257064</v>
      </c>
      <c r="D123" s="102">
        <f t="shared" ref="D123:AK123" si="14">$B$123*SUM(D110:D119)/SUM($B$110:$B$119)</f>
        <v>126.45456261572235</v>
      </c>
      <c r="E123" s="102">
        <f t="shared" si="14"/>
        <v>125.85517218431872</v>
      </c>
      <c r="F123" s="102">
        <f t="shared" si="14"/>
        <v>125.64457947359621</v>
      </c>
      <c r="G123" s="102">
        <f t="shared" si="14"/>
        <v>125.06837880360669</v>
      </c>
      <c r="H123" s="102">
        <f t="shared" si="14"/>
        <v>125.03836918164772</v>
      </c>
      <c r="I123" s="102">
        <f t="shared" si="14"/>
        <v>125.0577347352538</v>
      </c>
      <c r="J123" s="102">
        <f t="shared" si="14"/>
        <v>124.54060459266717</v>
      </c>
      <c r="K123" s="102">
        <f t="shared" si="14"/>
        <v>124.45910020316478</v>
      </c>
      <c r="L123" s="102">
        <f t="shared" si="14"/>
        <v>124.18179413832762</v>
      </c>
      <c r="M123" s="102">
        <f t="shared" si="14"/>
        <v>123.92807045543583</v>
      </c>
      <c r="N123" s="102">
        <f t="shared" si="14"/>
        <v>123.70601071019345</v>
      </c>
      <c r="O123" s="102">
        <f t="shared" si="14"/>
        <v>123.48395096495105</v>
      </c>
      <c r="P123" s="102">
        <f t="shared" si="14"/>
        <v>123.26189121970866</v>
      </c>
      <c r="Q123" s="102">
        <f t="shared" si="14"/>
        <v>123.0398314744663</v>
      </c>
      <c r="R123" s="102">
        <f t="shared" si="14"/>
        <v>122.81777172922391</v>
      </c>
      <c r="S123" s="102">
        <f t="shared" si="14"/>
        <v>122.59571198398152</v>
      </c>
      <c r="T123" s="102">
        <f t="shared" si="14"/>
        <v>122.37365223873914</v>
      </c>
      <c r="U123" s="102">
        <f t="shared" si="14"/>
        <v>122.15159249349675</v>
      </c>
      <c r="V123" s="102">
        <f t="shared" si="14"/>
        <v>121.92953274825439</v>
      </c>
      <c r="W123" s="102">
        <f t="shared" si="14"/>
        <v>121.70747300301197</v>
      </c>
      <c r="X123" s="102">
        <f t="shared" si="14"/>
        <v>121.48541325776959</v>
      </c>
      <c r="Y123" s="102">
        <f t="shared" si="14"/>
        <v>121.26335351252723</v>
      </c>
      <c r="Z123" s="102">
        <f t="shared" si="14"/>
        <v>121.04129376728483</v>
      </c>
      <c r="AA123" s="102">
        <f t="shared" si="14"/>
        <v>120.81923402204245</v>
      </c>
      <c r="AB123" s="102">
        <f t="shared" si="14"/>
        <v>120.59717427680009</v>
      </c>
      <c r="AC123" s="102">
        <f t="shared" si="14"/>
        <v>120.37511453155768</v>
      </c>
      <c r="AD123" s="102">
        <f t="shared" si="14"/>
        <v>120.15305478631531</v>
      </c>
      <c r="AE123" s="102">
        <f t="shared" si="14"/>
        <v>119.93099504107293</v>
      </c>
      <c r="AF123" s="102">
        <f t="shared" si="14"/>
        <v>119.70893529583053</v>
      </c>
      <c r="AG123" s="102">
        <f t="shared" si="14"/>
        <v>119.48687555058815</v>
      </c>
      <c r="AH123" s="102">
        <f t="shared" si="14"/>
        <v>119.26481580534578</v>
      </c>
      <c r="AI123" s="102">
        <f t="shared" si="14"/>
        <v>119.04275606010337</v>
      </c>
      <c r="AJ123" s="102">
        <f t="shared" si="14"/>
        <v>118.82069631486101</v>
      </c>
      <c r="AK123" s="102">
        <f t="shared" si="14"/>
        <v>118.59863656961863</v>
      </c>
    </row>
    <row r="124" spans="1:46" x14ac:dyDescent="0.25">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2"/>
      <c r="AK124" s="102"/>
    </row>
    <row r="125" spans="1:46" x14ac:dyDescent="0.25">
      <c r="A125" s="95" t="s">
        <v>812</v>
      </c>
      <c r="B125" s="74"/>
      <c r="C125" s="74"/>
      <c r="D125" s="74"/>
      <c r="E125" s="74"/>
      <c r="F125" s="74"/>
      <c r="G125" s="74"/>
      <c r="H125" s="74"/>
      <c r="I125" s="74"/>
      <c r="J125" s="74"/>
      <c r="K125" s="74"/>
      <c r="L125" s="74"/>
      <c r="M125" s="74"/>
      <c r="N125" s="74"/>
      <c r="O125" s="74"/>
      <c r="P125" s="74"/>
      <c r="Q125" s="74"/>
    </row>
    <row r="126" spans="1:46" x14ac:dyDescent="0.25">
      <c r="A126" s="94" t="s">
        <v>937</v>
      </c>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row>
    <row r="127" spans="1:46" x14ac:dyDescent="0.25">
      <c r="A127" s="63" t="s">
        <v>761</v>
      </c>
      <c r="B127" s="103">
        <v>0.44</v>
      </c>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2"/>
      <c r="AI127" s="102"/>
      <c r="AJ127" s="102"/>
      <c r="AK127" s="102"/>
    </row>
    <row r="128" spans="1:46" x14ac:dyDescent="0.25">
      <c r="A128" s="63" t="s">
        <v>762</v>
      </c>
      <c r="B128" s="103">
        <v>0.31</v>
      </c>
      <c r="C128" s="102"/>
      <c r="D128" s="102"/>
      <c r="E128" s="102"/>
      <c r="F128" s="102"/>
      <c r="G128" s="102"/>
      <c r="H128" s="102" t="s">
        <v>942</v>
      </c>
      <c r="I128" s="102"/>
      <c r="J128" s="102"/>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2"/>
      <c r="AH128" s="102"/>
      <c r="AI128" s="102"/>
      <c r="AJ128" s="102"/>
      <c r="AK128" s="102"/>
    </row>
    <row r="129" spans="1:46" x14ac:dyDescent="0.25">
      <c r="A129" s="63" t="s">
        <v>749</v>
      </c>
      <c r="B129" s="103">
        <v>0.5</v>
      </c>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2"/>
      <c r="AH129" s="102"/>
      <c r="AI129" s="102"/>
      <c r="AJ129" s="102"/>
      <c r="AK129" s="102"/>
    </row>
    <row r="130" spans="1:46" x14ac:dyDescent="0.25">
      <c r="A130" s="63" t="s">
        <v>750</v>
      </c>
      <c r="B130" s="103">
        <v>0.42</v>
      </c>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102"/>
      <c r="AH130" s="102"/>
      <c r="AI130" s="102"/>
      <c r="AJ130" s="102"/>
      <c r="AK130" s="102"/>
    </row>
    <row r="131" spans="1:46" x14ac:dyDescent="0.25">
      <c r="A131" s="63" t="s">
        <v>751</v>
      </c>
      <c r="B131" s="103">
        <v>0.45</v>
      </c>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102"/>
      <c r="AH131" s="102"/>
      <c r="AI131" s="102"/>
      <c r="AJ131" s="102"/>
      <c r="AK131" s="102"/>
    </row>
    <row r="132" spans="1:46" x14ac:dyDescent="0.25">
      <c r="A132" s="63" t="s">
        <v>771</v>
      </c>
      <c r="B132" s="103">
        <v>0.83</v>
      </c>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102"/>
      <c r="AH132" s="102"/>
      <c r="AI132" s="102"/>
      <c r="AJ132" s="102"/>
      <c r="AK132" s="102"/>
    </row>
    <row r="133" spans="1:46" x14ac:dyDescent="0.25">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2"/>
      <c r="AH133" s="102"/>
      <c r="AI133" s="102"/>
      <c r="AJ133" s="102"/>
      <c r="AK133" s="102"/>
    </row>
    <row r="134" spans="1:46" x14ac:dyDescent="0.25">
      <c r="A134" s="94" t="s">
        <v>938</v>
      </c>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row>
    <row r="135" spans="1:46" x14ac:dyDescent="0.25">
      <c r="A135" s="63" t="s">
        <v>761</v>
      </c>
      <c r="B135" s="103">
        <v>604</v>
      </c>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2"/>
      <c r="AK135" s="102"/>
    </row>
    <row r="136" spans="1:46" x14ac:dyDescent="0.25">
      <c r="A136" s="63" t="s">
        <v>762</v>
      </c>
      <c r="B136" s="103">
        <v>389</v>
      </c>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102"/>
      <c r="AH136" s="102"/>
      <c r="AI136" s="102"/>
      <c r="AJ136" s="102"/>
      <c r="AK136" s="102"/>
    </row>
    <row r="137" spans="1:46" x14ac:dyDescent="0.25">
      <c r="A137" s="63" t="s">
        <v>749</v>
      </c>
      <c r="B137" s="103">
        <v>46</v>
      </c>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102"/>
      <c r="AK137" s="102"/>
    </row>
    <row r="138" spans="1:46" x14ac:dyDescent="0.25">
      <c r="A138" s="63" t="s">
        <v>750</v>
      </c>
      <c r="B138" s="103">
        <v>48.5</v>
      </c>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102"/>
      <c r="AK138" s="102"/>
    </row>
    <row r="139" spans="1:46" x14ac:dyDescent="0.25">
      <c r="A139" s="63" t="s">
        <v>751</v>
      </c>
      <c r="B139" s="103">
        <v>38.5</v>
      </c>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2"/>
      <c r="AK139" s="102"/>
    </row>
    <row r="140" spans="1:46" x14ac:dyDescent="0.25">
      <c r="A140" s="63" t="s">
        <v>771</v>
      </c>
      <c r="B140" s="103">
        <v>0.9</v>
      </c>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2"/>
      <c r="AK140" s="102"/>
    </row>
    <row r="142" spans="1:46" x14ac:dyDescent="0.25">
      <c r="A142" s="94" t="s">
        <v>940</v>
      </c>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row>
    <row r="143" spans="1:46" x14ac:dyDescent="0.25">
      <c r="B143">
        <v>2015</v>
      </c>
      <c r="C143">
        <v>2016</v>
      </c>
      <c r="D143">
        <v>2017</v>
      </c>
      <c r="E143">
        <v>2018</v>
      </c>
      <c r="F143">
        <v>2019</v>
      </c>
      <c r="G143">
        <v>2020</v>
      </c>
      <c r="H143">
        <v>2021</v>
      </c>
      <c r="I143">
        <v>2022</v>
      </c>
      <c r="J143">
        <v>2023</v>
      </c>
      <c r="K143">
        <v>2024</v>
      </c>
      <c r="L143">
        <v>2025</v>
      </c>
      <c r="M143">
        <v>2026</v>
      </c>
      <c r="N143">
        <v>2027</v>
      </c>
      <c r="O143">
        <v>2028</v>
      </c>
      <c r="P143">
        <v>2029</v>
      </c>
      <c r="Q143">
        <v>2030</v>
      </c>
      <c r="R143">
        <v>2031</v>
      </c>
      <c r="S143">
        <v>2032</v>
      </c>
      <c r="T143">
        <v>2033</v>
      </c>
      <c r="U143">
        <v>2034</v>
      </c>
      <c r="V143">
        <v>2035</v>
      </c>
      <c r="W143">
        <v>2036</v>
      </c>
      <c r="X143">
        <v>2037</v>
      </c>
      <c r="Y143">
        <v>2038</v>
      </c>
      <c r="Z143">
        <v>2039</v>
      </c>
      <c r="AA143">
        <v>2040</v>
      </c>
      <c r="AB143">
        <v>2041</v>
      </c>
      <c r="AC143">
        <v>2042</v>
      </c>
      <c r="AD143">
        <v>2043</v>
      </c>
      <c r="AE143">
        <v>2044</v>
      </c>
      <c r="AF143">
        <v>2045</v>
      </c>
      <c r="AG143">
        <v>2046</v>
      </c>
      <c r="AH143">
        <v>2047</v>
      </c>
      <c r="AI143">
        <v>2048</v>
      </c>
      <c r="AJ143">
        <v>2049</v>
      </c>
      <c r="AK143">
        <v>2050</v>
      </c>
    </row>
    <row r="144" spans="1:46" x14ac:dyDescent="0.25">
      <c r="A144" s="61" t="s">
        <v>939</v>
      </c>
      <c r="B144">
        <f>SUMPRODUCT($B$127:$B$132,$B$135:$B$140,'Agriculture - EF &amp; Manure Mgmt'!K4:K9)/1000*365/10^6</f>
        <v>2.8293059278499997</v>
      </c>
      <c r="C144">
        <f>SUMPRODUCT($B$127:$B$132,$B$135:$B$140,'Agriculture - EF &amp; Manure Mgmt'!L4:L9)/1000*365/10^6</f>
        <v>2.8855956376450003</v>
      </c>
      <c r="D144">
        <f>SUMPRODUCT($B$127:$B$132,$B$135:$B$140,'Agriculture - EF &amp; Manure Mgmt'!M4:M9)/1000*365/10^6</f>
        <v>2.9245079671749998</v>
      </c>
      <c r="E144">
        <f>SUMPRODUCT($B$127:$B$132,$B$135:$B$140,'Agriculture - EF &amp; Manure Mgmt'!N4:N9)/1000*365/10^6</f>
        <v>2.9120327673856918</v>
      </c>
      <c r="F144">
        <f>SUMPRODUCT($B$127:$B$132,$B$135:$B$140,'Agriculture - EF &amp; Manure Mgmt'!O4:O9)/1000*365/10^6</f>
        <v>2.9405242051896869</v>
      </c>
      <c r="G144">
        <f>SUMPRODUCT($B$127:$B$132,$B$135:$B$140,'Agriculture - EF &amp; Manure Mgmt'!P4:P9)/1000*365/10^6</f>
        <v>2.9559915196664641</v>
      </c>
      <c r="H144">
        <f>SUMPRODUCT($B$127:$B$132,$B$135:$B$140,'Agriculture - EF &amp; Manure Mgmt'!Q4:Q9)/1000*365/10^6</f>
        <v>2.9807557270986353</v>
      </c>
      <c r="I144">
        <f>SUMPRODUCT($B$127:$B$132,$B$135:$B$140,'Agriculture - EF &amp; Manure Mgmt'!R4:R9)/1000*365/10^6</f>
        <v>2.980096212485503</v>
      </c>
      <c r="J144">
        <f>SUMPRODUCT($B$127:$B$132,$B$135:$B$140,'Agriculture - EF &amp; Manure Mgmt'!S4:S9)/1000*365/10^6</f>
        <v>2.9803946938269958</v>
      </c>
      <c r="K144">
        <f>SUMPRODUCT($B$127:$B$132,$B$135:$B$140,'Agriculture - EF &amp; Manure Mgmt'!T4:T9)/1000*365/10^6</f>
        <v>2.9739783668529651</v>
      </c>
      <c r="L144">
        <f>SUMPRODUCT($B$127:$B$132,$B$135:$B$140,'Agriculture - EF &amp; Manure Mgmt'!U4:U9)/1000*365/10^6</f>
        <v>2.9737175543628482</v>
      </c>
      <c r="M144">
        <f>SUMPRODUCT($B$127:$B$132,$B$135:$B$140,'Agriculture - EF &amp; Manure Mgmt'!V4:V9)/1000*365/10^6</f>
        <v>2.9712737314206823</v>
      </c>
      <c r="N144">
        <f>SUMPRODUCT($B$127:$B$132,$B$135:$B$140,'Agriculture - EF &amp; Manure Mgmt'!W4:W9)/1000*365/10^6</f>
        <v>2.9851396765759288</v>
      </c>
      <c r="O144">
        <f>SUMPRODUCT($B$127:$B$132,$B$135:$B$140,'Agriculture - EF &amp; Manure Mgmt'!X4:X9)/1000*365/10^6</f>
        <v>2.9991107049095733</v>
      </c>
      <c r="P144">
        <f>SUMPRODUCT($B$127:$B$132,$B$135:$B$140,'Agriculture - EF &amp; Manure Mgmt'!Y4:Y9)/1000*365/10^6</f>
        <v>3.0131873818706771</v>
      </c>
      <c r="Q144">
        <f>SUMPRODUCT($B$127:$B$132,$B$135:$B$140,'Agriculture - EF &amp; Manure Mgmt'!Z4:Z9)/1000*365/10^6</f>
        <v>3.0273702796686366</v>
      </c>
      <c r="R144">
        <f>SUMPRODUCT($B$127:$B$132,$B$135:$B$140,'Agriculture - EF &amp; Manure Mgmt'!AA4:AA9)/1000*365/10^6</f>
        <v>3.0416599772887309</v>
      </c>
      <c r="S144">
        <f>SUMPRODUCT($B$127:$B$132,$B$135:$B$140,'Agriculture - EF &amp; Manure Mgmt'!AB4:AB9)/1000*365/10^6</f>
        <v>3.0560570605082993</v>
      </c>
      <c r="T144">
        <f>SUMPRODUCT($B$127:$B$132,$B$135:$B$140,'Agriculture - EF &amp; Manure Mgmt'!AC4:AC9)/1000*365/10^6</f>
        <v>3.0705621219135462</v>
      </c>
      <c r="U144">
        <f>SUMPRODUCT($B$127:$B$132,$B$135:$B$140,'Agriculture - EF &amp; Manure Mgmt'!AD4:AD9)/1000*365/10^6</f>
        <v>3.0851757609169761</v>
      </c>
      <c r="V144">
        <f>SUMPRODUCT($B$127:$B$132,$B$135:$B$140,'Agriculture - EF &amp; Manure Mgmt'!AE4:AE9)/1000*365/10^6</f>
        <v>3.0998985837754538</v>
      </c>
      <c r="W144">
        <f>SUMPRODUCT($B$127:$B$132,$B$135:$B$140,'Agriculture - EF &amp; Manure Mgmt'!AF4:AF9)/1000*365/10^6</f>
        <v>3.1147312036088786</v>
      </c>
      <c r="X144">
        <f>SUMPRODUCT($B$127:$B$132,$B$135:$B$140,'Agriculture - EF &amp; Manure Mgmt'!AG4:AG9)/1000*365/10^6</f>
        <v>3.1296742404194959</v>
      </c>
      <c r="Y144">
        <f>SUMPRODUCT($B$127:$B$132,$B$135:$B$140,'Agriculture - EF &amp; Manure Mgmt'!AH4:AH9)/1000*365/10^6</f>
        <v>3.1447283211118151</v>
      </c>
      <c r="Z144">
        <f>SUMPRODUCT($B$127:$B$132,$B$135:$B$140,'Agriculture - EF &amp; Manure Mgmt'!AI4:AI9)/1000*365/10^6</f>
        <v>3.1598940795131489</v>
      </c>
      <c r="AA144">
        <f>SUMPRODUCT($B$127:$B$132,$B$135:$B$140,'Agriculture - EF &amp; Manure Mgmt'!AJ4:AJ9)/1000*365/10^6</f>
        <v>3.1751721563947761</v>
      </c>
      <c r="AB144">
        <f>SUMPRODUCT($B$127:$B$132,$B$135:$B$140,'Agriculture - EF &amp; Manure Mgmt'!AK4:AK9)/1000*365/10^6</f>
        <v>3.1905631994937025</v>
      </c>
      <c r="AC144">
        <f>SUMPRODUCT($B$127:$B$132,$B$135:$B$140,'Agriculture - EF &amp; Manure Mgmt'!AL4:AL9)/1000*365/10^6</f>
        <v>3.2060678635350541</v>
      </c>
      <c r="AD144">
        <f>SUMPRODUCT($B$127:$B$132,$B$135:$B$140,'Agriculture - EF &amp; Manure Mgmt'!AM4:AM9)/1000*365/10^6</f>
        <v>3.2216868102550698</v>
      </c>
      <c r="AE144">
        <f>SUMPRODUCT($B$127:$B$132,$B$135:$B$140,'Agriculture - EF &amp; Manure Mgmt'!AN4:AN9)/1000*365/10^6</f>
        <v>3.2374207084247115</v>
      </c>
      <c r="AF144">
        <f>SUMPRODUCT($B$127:$B$132,$B$135:$B$140,'Agriculture - EF &amp; Manure Mgmt'!AO4:AO9)/1000*365/10^6</f>
        <v>3.2532702338738759</v>
      </c>
      <c r="AG144">
        <f>SUMPRODUCT($B$127:$B$132,$B$135:$B$140,'Agriculture - EF &amp; Manure Mgmt'!AP4:AP9)/1000*365/10^6</f>
        <v>3.2692360695162193</v>
      </c>
      <c r="AH144">
        <f>SUMPRODUCT($B$127:$B$132,$B$135:$B$140,'Agriculture - EF &amp; Manure Mgmt'!AQ4:AQ9)/1000*365/10^6</f>
        <v>3.285318905374595</v>
      </c>
      <c r="AI144">
        <f>SUMPRODUCT($B$127:$B$132,$B$135:$B$140,'Agriculture - EF &amp; Manure Mgmt'!AR4:AR9)/1000*365/10^6</f>
        <v>3.3015194386070901</v>
      </c>
      <c r="AJ144">
        <f>SUMPRODUCT($B$127:$B$132,$B$135:$B$140,'Agriculture - EF &amp; Manure Mgmt'!AS4:AS9)/1000*365/10^6</f>
        <v>3.3178383735336667</v>
      </c>
      <c r="AK144">
        <f>SUMPRODUCT($B$127:$B$132,$B$135:$B$140,'Agriculture - EF &amp; Manure Mgmt'!AT4:AT9)/1000*365/10^6</f>
        <v>3.3342764216634082</v>
      </c>
    </row>
    <row r="146" spans="1:46" x14ac:dyDescent="0.25">
      <c r="A146" s="94" t="s">
        <v>935</v>
      </c>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row>
    <row r="147" spans="1:46" x14ac:dyDescent="0.25">
      <c r="B147">
        <v>2015</v>
      </c>
      <c r="C147">
        <v>2016</v>
      </c>
      <c r="D147">
        <v>2017</v>
      </c>
      <c r="E147">
        <v>2018</v>
      </c>
      <c r="F147">
        <v>2019</v>
      </c>
      <c r="G147">
        <v>2020</v>
      </c>
      <c r="H147">
        <v>2021</v>
      </c>
      <c r="I147">
        <v>2022</v>
      </c>
      <c r="J147">
        <v>2023</v>
      </c>
      <c r="K147">
        <v>2024</v>
      </c>
      <c r="L147">
        <v>2025</v>
      </c>
      <c r="M147">
        <v>2026</v>
      </c>
      <c r="N147">
        <v>2027</v>
      </c>
      <c r="O147">
        <v>2028</v>
      </c>
      <c r="P147">
        <v>2029</v>
      </c>
      <c r="Q147">
        <v>2030</v>
      </c>
      <c r="R147">
        <v>2031</v>
      </c>
      <c r="S147">
        <v>2032</v>
      </c>
      <c r="T147">
        <v>2033</v>
      </c>
      <c r="U147">
        <v>2034</v>
      </c>
      <c r="V147">
        <v>2035</v>
      </c>
      <c r="W147">
        <v>2036</v>
      </c>
      <c r="X147">
        <v>2037</v>
      </c>
      <c r="Y147">
        <v>2038</v>
      </c>
      <c r="Z147">
        <v>2039</v>
      </c>
      <c r="AA147">
        <v>2040</v>
      </c>
      <c r="AB147">
        <v>2041</v>
      </c>
      <c r="AC147">
        <v>2042</v>
      </c>
      <c r="AD147">
        <v>2043</v>
      </c>
      <c r="AE147">
        <v>2044</v>
      </c>
      <c r="AF147">
        <v>2045</v>
      </c>
      <c r="AG147">
        <v>2046</v>
      </c>
      <c r="AH147">
        <v>2047</v>
      </c>
      <c r="AI147">
        <v>2048</v>
      </c>
      <c r="AJ147">
        <v>2049</v>
      </c>
      <c r="AK147">
        <v>2050</v>
      </c>
    </row>
    <row r="148" spans="1:46" x14ac:dyDescent="0.25">
      <c r="A148" s="61" t="s">
        <v>941</v>
      </c>
      <c r="B148" s="66">
        <f>(J8+J15+J16)/'Cross-Page Data'!D13*1000</f>
        <v>86.241610738255034</v>
      </c>
      <c r="C148">
        <f>$B$148*C144/$B$144</f>
        <v>87.957407956549758</v>
      </c>
      <c r="D148">
        <f t="shared" ref="D148:AK148" si="15">$B$148*D144/$B$144</f>
        <v>89.143515808377245</v>
      </c>
      <c r="E148">
        <f t="shared" si="15"/>
        <v>88.763252467633095</v>
      </c>
      <c r="F148">
        <f t="shared" si="15"/>
        <v>89.631715458601519</v>
      </c>
      <c r="G148">
        <f t="shared" si="15"/>
        <v>90.103183072316256</v>
      </c>
      <c r="H148">
        <f t="shared" si="15"/>
        <v>90.858034329857588</v>
      </c>
      <c r="I148">
        <f t="shared" si="15"/>
        <v>90.837931306716101</v>
      </c>
      <c r="J148">
        <f t="shared" si="15"/>
        <v>90.847029478607737</v>
      </c>
      <c r="K148">
        <f t="shared" si="15"/>
        <v>90.65144993105271</v>
      </c>
      <c r="L148">
        <f t="shared" si="15"/>
        <v>90.643499963879862</v>
      </c>
      <c r="M148">
        <f t="shared" si="15"/>
        <v>90.569008469405219</v>
      </c>
      <c r="N148">
        <f t="shared" si="15"/>
        <v>90.991663875038739</v>
      </c>
      <c r="O148">
        <f t="shared" si="15"/>
        <v>91.417522378109453</v>
      </c>
      <c r="P148">
        <f t="shared" si="15"/>
        <v>91.84660121437733</v>
      </c>
      <c r="Q148">
        <f t="shared" si="15"/>
        <v>92.278917825667776</v>
      </c>
      <c r="R148">
        <f t="shared" si="15"/>
        <v>92.714489860345566</v>
      </c>
      <c r="S148">
        <f t="shared" si="15"/>
        <v>93.153335173807918</v>
      </c>
      <c r="T148">
        <f t="shared" si="15"/>
        <v>93.59547182899685</v>
      </c>
      <c r="U148">
        <f t="shared" si="15"/>
        <v>94.04091809693044</v>
      </c>
      <c r="V148">
        <f t="shared" si="15"/>
        <v>94.489692457253497</v>
      </c>
      <c r="W148">
        <f t="shared" si="15"/>
        <v>94.941813598806704</v>
      </c>
      <c r="X148">
        <f t="shared" si="15"/>
        <v>95.397300420215217</v>
      </c>
      <c r="Y148">
        <f t="shared" si="15"/>
        <v>95.856172030495912</v>
      </c>
      <c r="Z148">
        <f t="shared" si="15"/>
        <v>96.318447749683401</v>
      </c>
      <c r="AA148">
        <f t="shared" si="15"/>
        <v>96.784147109475043</v>
      </c>
      <c r="AB148">
        <f t="shared" si="15"/>
        <v>97.25328985389433</v>
      </c>
      <c r="AC148">
        <f t="shared" si="15"/>
        <v>97.725895939973441</v>
      </c>
      <c r="AD148">
        <f t="shared" si="15"/>
        <v>98.201985538454139</v>
      </c>
      <c r="AE148">
        <f t="shared" si="15"/>
        <v>98.681579034507322</v>
      </c>
      <c r="AF148">
        <f t="shared" si="15"/>
        <v>99.164697028471167</v>
      </c>
      <c r="AG148">
        <f t="shared" si="15"/>
        <v>99.651360336607738</v>
      </c>
      <c r="AH148">
        <f t="shared" si="15"/>
        <v>100.14158999187846</v>
      </c>
      <c r="AI148">
        <f t="shared" si="15"/>
        <v>100.63540724473762</v>
      </c>
      <c r="AJ148">
        <f t="shared" si="15"/>
        <v>101.13283356394453</v>
      </c>
      <c r="AK148">
        <f t="shared" si="15"/>
        <v>101.63389063739403</v>
      </c>
    </row>
    <row r="151" spans="1:46" x14ac:dyDescent="0.25">
      <c r="A151" s="95" t="s">
        <v>943</v>
      </c>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c r="AE151" s="74"/>
      <c r="AF151" s="74"/>
      <c r="AG151" s="74"/>
      <c r="AH151" s="74"/>
      <c r="AI151" s="74"/>
      <c r="AJ151" s="74"/>
      <c r="AK151" s="74"/>
    </row>
    <row r="152" spans="1:46" x14ac:dyDescent="0.25">
      <c r="B152">
        <v>2015</v>
      </c>
      <c r="C152">
        <v>2016</v>
      </c>
      <c r="D152">
        <v>2017</v>
      </c>
      <c r="E152">
        <v>2018</v>
      </c>
      <c r="F152">
        <v>2019</v>
      </c>
      <c r="G152">
        <v>2020</v>
      </c>
      <c r="H152">
        <v>2021</v>
      </c>
      <c r="I152">
        <v>2022</v>
      </c>
      <c r="J152">
        <v>2023</v>
      </c>
      <c r="K152">
        <v>2024</v>
      </c>
      <c r="L152">
        <v>2025</v>
      </c>
      <c r="M152">
        <v>2026</v>
      </c>
      <c r="N152">
        <v>2027</v>
      </c>
      <c r="O152">
        <v>2028</v>
      </c>
      <c r="P152">
        <v>2029</v>
      </c>
      <c r="Q152">
        <v>2030</v>
      </c>
      <c r="R152">
        <v>2031</v>
      </c>
      <c r="S152">
        <v>2032</v>
      </c>
      <c r="T152">
        <v>2033</v>
      </c>
      <c r="U152">
        <v>2034</v>
      </c>
      <c r="V152">
        <v>2035</v>
      </c>
      <c r="W152">
        <v>2036</v>
      </c>
      <c r="X152">
        <v>2037</v>
      </c>
      <c r="Y152">
        <v>2038</v>
      </c>
      <c r="Z152">
        <v>2039</v>
      </c>
      <c r="AA152">
        <v>2040</v>
      </c>
      <c r="AB152">
        <v>2041</v>
      </c>
      <c r="AC152">
        <v>2042</v>
      </c>
      <c r="AD152">
        <v>2043</v>
      </c>
      <c r="AE152">
        <v>2044</v>
      </c>
      <c r="AF152">
        <v>2045</v>
      </c>
      <c r="AG152">
        <v>2046</v>
      </c>
      <c r="AH152">
        <v>2047</v>
      </c>
      <c r="AI152">
        <v>2048</v>
      </c>
      <c r="AJ152">
        <v>2049</v>
      </c>
      <c r="AK152">
        <v>2050</v>
      </c>
    </row>
    <row r="153" spans="1:46" x14ac:dyDescent="0.25">
      <c r="A153" s="61" t="s">
        <v>811</v>
      </c>
      <c r="B153" s="101">
        <f>B44</f>
        <v>197.98657718120805</v>
      </c>
      <c r="C153" s="101">
        <f>C44</f>
        <v>197.98657718120805</v>
      </c>
      <c r="D153" s="101">
        <f t="shared" ref="D153:AK153" si="16">D44</f>
        <v>197.98657718120805</v>
      </c>
      <c r="E153" s="101">
        <f t="shared" si="16"/>
        <v>197.98657718120805</v>
      </c>
      <c r="F153" s="101">
        <f t="shared" si="16"/>
        <v>197.98657718120805</v>
      </c>
      <c r="G153" s="101">
        <f t="shared" si="16"/>
        <v>197.98657718120805</v>
      </c>
      <c r="H153" s="101">
        <f t="shared" si="16"/>
        <v>197.98657718120805</v>
      </c>
      <c r="I153" s="101">
        <f t="shared" si="16"/>
        <v>197.98657718120805</v>
      </c>
      <c r="J153" s="101">
        <f t="shared" si="16"/>
        <v>197.98657718120805</v>
      </c>
      <c r="K153" s="101">
        <f t="shared" si="16"/>
        <v>197.98657718120805</v>
      </c>
      <c r="L153" s="101">
        <f t="shared" si="16"/>
        <v>197.98657718120805</v>
      </c>
      <c r="M153" s="101">
        <f t="shared" si="16"/>
        <v>197.98657718120805</v>
      </c>
      <c r="N153" s="101">
        <f t="shared" si="16"/>
        <v>197.98657718120805</v>
      </c>
      <c r="O153" s="101">
        <f t="shared" si="16"/>
        <v>197.98657718120805</v>
      </c>
      <c r="P153" s="101">
        <f t="shared" si="16"/>
        <v>197.98657718120805</v>
      </c>
      <c r="Q153" s="101">
        <f t="shared" si="16"/>
        <v>197.98657718120805</v>
      </c>
      <c r="R153" s="101">
        <f t="shared" si="16"/>
        <v>197.98657718120805</v>
      </c>
      <c r="S153" s="101">
        <f t="shared" si="16"/>
        <v>197.98657718120805</v>
      </c>
      <c r="T153" s="101">
        <f t="shared" si="16"/>
        <v>197.98657718120805</v>
      </c>
      <c r="U153" s="101">
        <f t="shared" si="16"/>
        <v>197.98657718120805</v>
      </c>
      <c r="V153" s="101">
        <f t="shared" si="16"/>
        <v>197.98657718120805</v>
      </c>
      <c r="W153" s="101">
        <f t="shared" si="16"/>
        <v>197.98657718120805</v>
      </c>
      <c r="X153" s="101">
        <f t="shared" si="16"/>
        <v>197.98657718120805</v>
      </c>
      <c r="Y153" s="101">
        <f t="shared" si="16"/>
        <v>197.98657718120805</v>
      </c>
      <c r="Z153" s="101">
        <f t="shared" si="16"/>
        <v>197.98657718120805</v>
      </c>
      <c r="AA153" s="101">
        <f t="shared" si="16"/>
        <v>197.98657718120805</v>
      </c>
      <c r="AB153" s="101">
        <f t="shared" si="16"/>
        <v>197.98657718120805</v>
      </c>
      <c r="AC153" s="101">
        <f t="shared" si="16"/>
        <v>197.98657718120805</v>
      </c>
      <c r="AD153" s="101">
        <f t="shared" si="16"/>
        <v>197.98657718120805</v>
      </c>
      <c r="AE153" s="101">
        <f t="shared" si="16"/>
        <v>197.98657718120805</v>
      </c>
      <c r="AF153" s="101">
        <f t="shared" si="16"/>
        <v>197.98657718120805</v>
      </c>
      <c r="AG153" s="101">
        <f t="shared" si="16"/>
        <v>197.98657718120805</v>
      </c>
      <c r="AH153" s="101">
        <f t="shared" si="16"/>
        <v>197.98657718120805</v>
      </c>
      <c r="AI153" s="101">
        <f t="shared" si="16"/>
        <v>197.98657718120805</v>
      </c>
      <c r="AJ153" s="101">
        <f t="shared" si="16"/>
        <v>197.98657718120805</v>
      </c>
      <c r="AK153" s="101">
        <f t="shared" si="16"/>
        <v>197.98657718120805</v>
      </c>
    </row>
    <row r="154" spans="1:46" x14ac:dyDescent="0.25">
      <c r="A154" s="61" t="s">
        <v>812</v>
      </c>
      <c r="B154" s="66">
        <f>B123</f>
        <v>127.85234899328857</v>
      </c>
      <c r="C154" s="66">
        <f>C123</f>
        <v>129.52350405257064</v>
      </c>
      <c r="D154" s="66">
        <f t="shared" ref="D154:AK154" si="17">D123</f>
        <v>126.45456261572235</v>
      </c>
      <c r="E154" s="66">
        <f t="shared" si="17"/>
        <v>125.85517218431872</v>
      </c>
      <c r="F154" s="66">
        <f t="shared" si="17"/>
        <v>125.64457947359621</v>
      </c>
      <c r="G154" s="66">
        <f t="shared" si="17"/>
        <v>125.06837880360669</v>
      </c>
      <c r="H154" s="66">
        <f t="shared" si="17"/>
        <v>125.03836918164772</v>
      </c>
      <c r="I154" s="66">
        <f t="shared" si="17"/>
        <v>125.0577347352538</v>
      </c>
      <c r="J154" s="66">
        <f t="shared" si="17"/>
        <v>124.54060459266717</v>
      </c>
      <c r="K154" s="66">
        <f t="shared" si="17"/>
        <v>124.45910020316478</v>
      </c>
      <c r="L154" s="66">
        <f t="shared" si="17"/>
        <v>124.18179413832762</v>
      </c>
      <c r="M154" s="66">
        <f t="shared" si="17"/>
        <v>123.92807045543583</v>
      </c>
      <c r="N154" s="66">
        <f t="shared" si="17"/>
        <v>123.70601071019345</v>
      </c>
      <c r="O154" s="66">
        <f t="shared" si="17"/>
        <v>123.48395096495105</v>
      </c>
      <c r="P154" s="66">
        <f t="shared" si="17"/>
        <v>123.26189121970866</v>
      </c>
      <c r="Q154" s="66">
        <f t="shared" si="17"/>
        <v>123.0398314744663</v>
      </c>
      <c r="R154" s="66">
        <f t="shared" si="17"/>
        <v>122.81777172922391</v>
      </c>
      <c r="S154" s="66">
        <f t="shared" si="17"/>
        <v>122.59571198398152</v>
      </c>
      <c r="T154" s="66">
        <f t="shared" si="17"/>
        <v>122.37365223873914</v>
      </c>
      <c r="U154" s="66">
        <f t="shared" si="17"/>
        <v>122.15159249349675</v>
      </c>
      <c r="V154" s="66">
        <f t="shared" si="17"/>
        <v>121.92953274825439</v>
      </c>
      <c r="W154" s="66">
        <f t="shared" si="17"/>
        <v>121.70747300301197</v>
      </c>
      <c r="X154" s="66">
        <f t="shared" si="17"/>
        <v>121.48541325776959</v>
      </c>
      <c r="Y154" s="66">
        <f t="shared" si="17"/>
        <v>121.26335351252723</v>
      </c>
      <c r="Z154" s="66">
        <f t="shared" si="17"/>
        <v>121.04129376728483</v>
      </c>
      <c r="AA154" s="66">
        <f t="shared" si="17"/>
        <v>120.81923402204245</v>
      </c>
      <c r="AB154" s="66">
        <f t="shared" si="17"/>
        <v>120.59717427680009</v>
      </c>
      <c r="AC154" s="66">
        <f t="shared" si="17"/>
        <v>120.37511453155768</v>
      </c>
      <c r="AD154" s="66">
        <f t="shared" si="17"/>
        <v>120.15305478631531</v>
      </c>
      <c r="AE154" s="66">
        <f t="shared" si="17"/>
        <v>119.93099504107293</v>
      </c>
      <c r="AF154" s="66">
        <f t="shared" si="17"/>
        <v>119.70893529583053</v>
      </c>
      <c r="AG154" s="66">
        <f t="shared" si="17"/>
        <v>119.48687555058815</v>
      </c>
      <c r="AH154" s="66">
        <f t="shared" si="17"/>
        <v>119.26481580534578</v>
      </c>
      <c r="AI154" s="66">
        <f t="shared" si="17"/>
        <v>119.04275606010337</v>
      </c>
      <c r="AJ154" s="66">
        <f t="shared" si="17"/>
        <v>118.82069631486101</v>
      </c>
      <c r="AK154" s="66">
        <f t="shared" si="17"/>
        <v>118.59863656961863</v>
      </c>
    </row>
    <row r="155" spans="1:46" x14ac:dyDescent="0.25">
      <c r="A155" s="61" t="s">
        <v>813</v>
      </c>
      <c r="B155" s="66">
        <f>B148</f>
        <v>86.241610738255034</v>
      </c>
      <c r="C155" s="66">
        <f>C148</f>
        <v>87.957407956549758</v>
      </c>
      <c r="D155" s="66">
        <f t="shared" ref="D155:AK155" si="18">D148</f>
        <v>89.143515808377245</v>
      </c>
      <c r="E155" s="66">
        <f t="shared" si="18"/>
        <v>88.763252467633095</v>
      </c>
      <c r="F155" s="66">
        <f t="shared" si="18"/>
        <v>89.631715458601519</v>
      </c>
      <c r="G155" s="66">
        <f t="shared" si="18"/>
        <v>90.103183072316256</v>
      </c>
      <c r="H155" s="66">
        <f t="shared" si="18"/>
        <v>90.858034329857588</v>
      </c>
      <c r="I155" s="66">
        <f t="shared" si="18"/>
        <v>90.837931306716101</v>
      </c>
      <c r="J155" s="66">
        <f t="shared" si="18"/>
        <v>90.847029478607737</v>
      </c>
      <c r="K155" s="66">
        <f t="shared" si="18"/>
        <v>90.65144993105271</v>
      </c>
      <c r="L155" s="66">
        <f t="shared" si="18"/>
        <v>90.643499963879862</v>
      </c>
      <c r="M155" s="66">
        <f t="shared" si="18"/>
        <v>90.569008469405219</v>
      </c>
      <c r="N155" s="66">
        <f t="shared" si="18"/>
        <v>90.991663875038739</v>
      </c>
      <c r="O155" s="66">
        <f t="shared" si="18"/>
        <v>91.417522378109453</v>
      </c>
      <c r="P155" s="66">
        <f t="shared" si="18"/>
        <v>91.84660121437733</v>
      </c>
      <c r="Q155" s="66">
        <f t="shared" si="18"/>
        <v>92.278917825667776</v>
      </c>
      <c r="R155" s="66">
        <f t="shared" si="18"/>
        <v>92.714489860345566</v>
      </c>
      <c r="S155" s="66">
        <f t="shared" si="18"/>
        <v>93.153335173807918</v>
      </c>
      <c r="T155" s="66">
        <f t="shared" si="18"/>
        <v>93.59547182899685</v>
      </c>
      <c r="U155" s="66">
        <f t="shared" si="18"/>
        <v>94.04091809693044</v>
      </c>
      <c r="V155" s="66">
        <f t="shared" si="18"/>
        <v>94.489692457253497</v>
      </c>
      <c r="W155" s="66">
        <f t="shared" si="18"/>
        <v>94.941813598806704</v>
      </c>
      <c r="X155" s="66">
        <f t="shared" si="18"/>
        <v>95.397300420215217</v>
      </c>
      <c r="Y155" s="66">
        <f t="shared" si="18"/>
        <v>95.856172030495912</v>
      </c>
      <c r="Z155" s="66">
        <f t="shared" si="18"/>
        <v>96.318447749683401</v>
      </c>
      <c r="AA155" s="66">
        <f t="shared" si="18"/>
        <v>96.784147109475043</v>
      </c>
      <c r="AB155" s="66">
        <f t="shared" si="18"/>
        <v>97.25328985389433</v>
      </c>
      <c r="AC155" s="66">
        <f t="shared" si="18"/>
        <v>97.725895939973441</v>
      </c>
      <c r="AD155" s="66">
        <f t="shared" si="18"/>
        <v>98.201985538454139</v>
      </c>
      <c r="AE155" s="66">
        <f t="shared" si="18"/>
        <v>98.681579034507322</v>
      </c>
      <c r="AF155" s="66">
        <f t="shared" si="18"/>
        <v>99.164697028471167</v>
      </c>
      <c r="AG155" s="66">
        <f t="shared" si="18"/>
        <v>99.651360336607738</v>
      </c>
      <c r="AH155" s="66">
        <f t="shared" si="18"/>
        <v>100.14158999187846</v>
      </c>
      <c r="AI155" s="66">
        <f t="shared" si="18"/>
        <v>100.63540724473762</v>
      </c>
      <c r="AJ155" s="66">
        <f t="shared" si="18"/>
        <v>101.13283356394453</v>
      </c>
      <c r="AK155" s="66">
        <f t="shared" si="18"/>
        <v>101.63389063739403</v>
      </c>
    </row>
    <row r="156" spans="1:46" x14ac:dyDescent="0.25">
      <c r="A156" s="61" t="s">
        <v>944</v>
      </c>
      <c r="B156" s="66">
        <f>SUM(J10,J11,J17,J19,J20)/'Cross-Page Data'!D13*1000</f>
        <v>304.02684563758385</v>
      </c>
      <c r="C156" s="66">
        <f>B156</f>
        <v>304.02684563758385</v>
      </c>
      <c r="D156" s="66">
        <f t="shared" ref="D156:AK156" si="19">C156</f>
        <v>304.02684563758385</v>
      </c>
      <c r="E156" s="66">
        <f t="shared" si="19"/>
        <v>304.02684563758385</v>
      </c>
      <c r="F156" s="66">
        <f t="shared" si="19"/>
        <v>304.02684563758385</v>
      </c>
      <c r="G156" s="66">
        <f t="shared" si="19"/>
        <v>304.02684563758385</v>
      </c>
      <c r="H156" s="66">
        <f t="shared" si="19"/>
        <v>304.02684563758385</v>
      </c>
      <c r="I156" s="66">
        <f t="shared" si="19"/>
        <v>304.02684563758385</v>
      </c>
      <c r="J156" s="66">
        <f t="shared" si="19"/>
        <v>304.02684563758385</v>
      </c>
      <c r="K156" s="66">
        <f t="shared" si="19"/>
        <v>304.02684563758385</v>
      </c>
      <c r="L156" s="66">
        <f t="shared" si="19"/>
        <v>304.02684563758385</v>
      </c>
      <c r="M156" s="66">
        <f t="shared" si="19"/>
        <v>304.02684563758385</v>
      </c>
      <c r="N156" s="66">
        <f t="shared" si="19"/>
        <v>304.02684563758385</v>
      </c>
      <c r="O156" s="66">
        <f t="shared" si="19"/>
        <v>304.02684563758385</v>
      </c>
      <c r="P156" s="66">
        <f t="shared" si="19"/>
        <v>304.02684563758385</v>
      </c>
      <c r="Q156" s="66">
        <f t="shared" si="19"/>
        <v>304.02684563758385</v>
      </c>
      <c r="R156" s="66">
        <f t="shared" si="19"/>
        <v>304.02684563758385</v>
      </c>
      <c r="S156" s="66">
        <f t="shared" si="19"/>
        <v>304.02684563758385</v>
      </c>
      <c r="T156" s="66">
        <f t="shared" si="19"/>
        <v>304.02684563758385</v>
      </c>
      <c r="U156" s="66">
        <f t="shared" si="19"/>
        <v>304.02684563758385</v>
      </c>
      <c r="V156" s="66">
        <f t="shared" si="19"/>
        <v>304.02684563758385</v>
      </c>
      <c r="W156" s="66">
        <f t="shared" si="19"/>
        <v>304.02684563758385</v>
      </c>
      <c r="X156" s="66">
        <f t="shared" si="19"/>
        <v>304.02684563758385</v>
      </c>
      <c r="Y156" s="66">
        <f t="shared" si="19"/>
        <v>304.02684563758385</v>
      </c>
      <c r="Z156" s="66">
        <f t="shared" si="19"/>
        <v>304.02684563758385</v>
      </c>
      <c r="AA156" s="66">
        <f t="shared" si="19"/>
        <v>304.02684563758385</v>
      </c>
      <c r="AB156" s="66">
        <f t="shared" si="19"/>
        <v>304.02684563758385</v>
      </c>
      <c r="AC156" s="66">
        <f t="shared" si="19"/>
        <v>304.02684563758385</v>
      </c>
      <c r="AD156" s="66">
        <f t="shared" si="19"/>
        <v>304.02684563758385</v>
      </c>
      <c r="AE156" s="66">
        <f t="shared" si="19"/>
        <v>304.02684563758385</v>
      </c>
      <c r="AF156" s="66">
        <f t="shared" si="19"/>
        <v>304.02684563758385</v>
      </c>
      <c r="AG156" s="66">
        <f t="shared" si="19"/>
        <v>304.02684563758385</v>
      </c>
      <c r="AH156" s="66">
        <f t="shared" si="19"/>
        <v>304.02684563758385</v>
      </c>
      <c r="AI156" s="66">
        <f t="shared" si="19"/>
        <v>304.02684563758385</v>
      </c>
      <c r="AJ156" s="66">
        <f t="shared" si="19"/>
        <v>304.02684563758385</v>
      </c>
      <c r="AK156" s="66">
        <f t="shared" si="19"/>
        <v>304.02684563758385</v>
      </c>
    </row>
    <row r="157" spans="1:46" x14ac:dyDescent="0.25">
      <c r="A157" s="61" t="s">
        <v>945</v>
      </c>
      <c r="B157" s="66">
        <f>L32/'Cross-Page Data'!D13*1000</f>
        <v>127.51677852348995</v>
      </c>
      <c r="C157">
        <f>$B$157*SUM(C153:C156)/SUM($B$153:$B$156)</f>
        <v>128.11989092530777</v>
      </c>
      <c r="D157">
        <f t="shared" ref="D157:AK157" si="20">$B$157*SUM(D153:D156)/SUM($B$153:$B$156)</f>
        <v>127.78461596640058</v>
      </c>
      <c r="E157">
        <f t="shared" si="20"/>
        <v>127.61016965270976</v>
      </c>
      <c r="F157">
        <f t="shared" si="20"/>
        <v>127.72731618808628</v>
      </c>
      <c r="G157">
        <f t="shared" si="20"/>
        <v>127.70866644048344</v>
      </c>
      <c r="H157">
        <f t="shared" si="20"/>
        <v>127.83773852179614</v>
      </c>
      <c r="I157">
        <f t="shared" si="20"/>
        <v>127.8376072010729</v>
      </c>
      <c r="J157">
        <f t="shared" si="20"/>
        <v>127.74714227658176</v>
      </c>
      <c r="K157">
        <f t="shared" si="20"/>
        <v>127.69780211909259</v>
      </c>
      <c r="L157">
        <f t="shared" si="20"/>
        <v>127.64700676193992</v>
      </c>
      <c r="M157">
        <f t="shared" si="20"/>
        <v>127.58856169755416</v>
      </c>
      <c r="N157">
        <f t="shared" si="20"/>
        <v>127.62428163708022</v>
      </c>
      <c r="O157">
        <f t="shared" si="20"/>
        <v>127.66057195009559</v>
      </c>
      <c r="P157">
        <f t="shared" si="20"/>
        <v>127.69743570576085</v>
      </c>
      <c r="Q157">
        <f t="shared" si="20"/>
        <v>127.7348760099306</v>
      </c>
      <c r="R157">
        <f t="shared" si="20"/>
        <v>127.77289600523775</v>
      </c>
      <c r="S157">
        <f t="shared" si="20"/>
        <v>127.81149887118133</v>
      </c>
      <c r="T157">
        <f t="shared" si="20"/>
        <v>127.85068782421773</v>
      </c>
      <c r="U157">
        <f t="shared" si="20"/>
        <v>127.89046611785535</v>
      </c>
      <c r="V157">
        <f t="shared" si="20"/>
        <v>127.93083704275259</v>
      </c>
      <c r="W157">
        <f t="shared" si="20"/>
        <v>127.97180392681915</v>
      </c>
      <c r="X157">
        <f t="shared" si="20"/>
        <v>128.01337013532108</v>
      </c>
      <c r="Y157">
        <f t="shared" si="20"/>
        <v>128.05553907098866</v>
      </c>
      <c r="Z157">
        <f t="shared" si="20"/>
        <v>128.09831417412789</v>
      </c>
      <c r="AA157">
        <f t="shared" si="20"/>
        <v>128.14169892273554</v>
      </c>
      <c r="AB157">
        <f t="shared" si="20"/>
        <v>128.18569683261708</v>
      </c>
      <c r="AC157">
        <f t="shared" si="20"/>
        <v>128.23031145750832</v>
      </c>
      <c r="AD157">
        <f t="shared" si="20"/>
        <v>128.27554638920026</v>
      </c>
      <c r="AE157">
        <f t="shared" si="20"/>
        <v>128.32140525766701</v>
      </c>
      <c r="AF157">
        <f t="shared" si="20"/>
        <v>128.36789173119757</v>
      </c>
      <c r="AG157">
        <f t="shared" si="20"/>
        <v>128.41500951653018</v>
      </c>
      <c r="AH157">
        <f t="shared" si="20"/>
        <v>128.46276235899069</v>
      </c>
      <c r="AI157">
        <f t="shared" si="20"/>
        <v>128.51115404263382</v>
      </c>
      <c r="AJ157">
        <f t="shared" si="20"/>
        <v>128.56018839038759</v>
      </c>
      <c r="AK157">
        <f t="shared" si="20"/>
        <v>128.60986926420139</v>
      </c>
    </row>
    <row r="159" spans="1:46" x14ac:dyDescent="0.25">
      <c r="A159" s="61" t="s">
        <v>946</v>
      </c>
      <c r="B159" s="101">
        <f>SUM(B153:B157)</f>
        <v>843.62416107382546</v>
      </c>
      <c r="C159" s="101">
        <f t="shared" ref="C159:AK159" si="21">SUM(C153:C157)</f>
        <v>847.61422575322013</v>
      </c>
      <c r="D159" s="101">
        <f t="shared" si="21"/>
        <v>845.39611720929213</v>
      </c>
      <c r="E159" s="101">
        <f t="shared" si="21"/>
        <v>844.24201712345337</v>
      </c>
      <c r="F159" s="101">
        <f t="shared" si="21"/>
        <v>845.01703393907599</v>
      </c>
      <c r="G159" s="101">
        <f t="shared" si="21"/>
        <v>844.89365113519818</v>
      </c>
      <c r="H159" s="101">
        <f t="shared" si="21"/>
        <v>845.74756485209332</v>
      </c>
      <c r="I159" s="101">
        <f t="shared" si="21"/>
        <v>845.74669606183465</v>
      </c>
      <c r="J159" s="101">
        <f t="shared" si="21"/>
        <v>845.14819916664851</v>
      </c>
      <c r="K159" s="101">
        <f t="shared" si="21"/>
        <v>844.8217750721019</v>
      </c>
      <c r="L159" s="101">
        <f t="shared" si="21"/>
        <v>844.48572368293924</v>
      </c>
      <c r="M159" s="101">
        <f t="shared" si="21"/>
        <v>844.09906344118701</v>
      </c>
      <c r="N159" s="101">
        <f t="shared" si="21"/>
        <v>844.33537904110426</v>
      </c>
      <c r="O159" s="101">
        <f t="shared" si="21"/>
        <v>844.575468111948</v>
      </c>
      <c r="P159" s="101">
        <f t="shared" si="21"/>
        <v>844.81935095863878</v>
      </c>
      <c r="Q159" s="101">
        <f t="shared" si="21"/>
        <v>845.06704812885664</v>
      </c>
      <c r="R159" s="101">
        <f t="shared" si="21"/>
        <v>845.31858041359908</v>
      </c>
      <c r="S159" s="101">
        <f t="shared" si="21"/>
        <v>845.57396884776267</v>
      </c>
      <c r="T159" s="101">
        <f t="shared" si="21"/>
        <v>845.83323471074561</v>
      </c>
      <c r="U159" s="101">
        <f t="shared" si="21"/>
        <v>846.09639952707448</v>
      </c>
      <c r="V159" s="101">
        <f t="shared" si="21"/>
        <v>846.36348506705247</v>
      </c>
      <c r="W159" s="101">
        <f t="shared" si="21"/>
        <v>846.63451334742967</v>
      </c>
      <c r="X159" s="101">
        <f t="shared" si="21"/>
        <v>846.90950663209787</v>
      </c>
      <c r="Y159" s="101">
        <f t="shared" si="21"/>
        <v>847.18848743280364</v>
      </c>
      <c r="Z159" s="101">
        <f t="shared" si="21"/>
        <v>847.4714785098879</v>
      </c>
      <c r="AA159" s="101">
        <f t="shared" si="21"/>
        <v>847.75850287304502</v>
      </c>
      <c r="AB159" s="101">
        <f t="shared" si="21"/>
        <v>848.04958378210335</v>
      </c>
      <c r="AC159" s="101">
        <f t="shared" si="21"/>
        <v>848.34474474783133</v>
      </c>
      <c r="AD159" s="101">
        <f t="shared" si="21"/>
        <v>848.64400953276163</v>
      </c>
      <c r="AE159" s="101">
        <f t="shared" si="21"/>
        <v>848.9474021520391</v>
      </c>
      <c r="AF159" s="101">
        <f t="shared" si="21"/>
        <v>849.25494687429114</v>
      </c>
      <c r="AG159" s="101">
        <f t="shared" si="21"/>
        <v>849.56666822251793</v>
      </c>
      <c r="AH159" s="101">
        <f t="shared" si="21"/>
        <v>849.88259097500668</v>
      </c>
      <c r="AI159" s="101">
        <f t="shared" si="21"/>
        <v>850.20274016626672</v>
      </c>
      <c r="AJ159" s="101">
        <f t="shared" si="21"/>
        <v>850.527141087985</v>
      </c>
      <c r="AK159" s="101">
        <f t="shared" si="21"/>
        <v>850.85581929000602</v>
      </c>
    </row>
  </sheetData>
  <mergeCells count="2">
    <mergeCell ref="A22:J22"/>
    <mergeCell ref="A33:L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K13"/>
  <sheetViews>
    <sheetView workbookViewId="0">
      <selection activeCell="B13" sqref="B13:C13"/>
    </sheetView>
  </sheetViews>
  <sheetFormatPr defaultRowHeight="15" x14ac:dyDescent="0.25"/>
  <cols>
    <col min="1" max="1" width="39.140625" customWidth="1"/>
    <col min="2" max="2" width="12" bestFit="1" customWidth="1"/>
  </cols>
  <sheetData>
    <row r="1" spans="1:37" x14ac:dyDescent="0.25">
      <c r="A1" s="56" t="s">
        <v>958</v>
      </c>
      <c r="B1" s="56"/>
      <c r="C1" s="56"/>
      <c r="D1" s="56"/>
      <c r="E1" s="56"/>
      <c r="F1" s="56"/>
    </row>
    <row r="2" spans="1:37" x14ac:dyDescent="0.25">
      <c r="A2" s="106" t="s">
        <v>976</v>
      </c>
      <c r="B2">
        <v>2011</v>
      </c>
      <c r="C2">
        <v>2012</v>
      </c>
      <c r="D2">
        <v>2013</v>
      </c>
      <c r="E2">
        <v>2014</v>
      </c>
      <c r="F2">
        <v>2015</v>
      </c>
    </row>
    <row r="3" spans="1:37" x14ac:dyDescent="0.25">
      <c r="A3" t="s">
        <v>972</v>
      </c>
      <c r="B3">
        <v>4169</v>
      </c>
      <c r="C3">
        <v>4241</v>
      </c>
      <c r="D3">
        <v>4074</v>
      </c>
      <c r="E3">
        <v>4067</v>
      </c>
      <c r="F3">
        <v>4032</v>
      </c>
    </row>
    <row r="4" spans="1:37" x14ac:dyDescent="0.25">
      <c r="A4" t="s">
        <v>973</v>
      </c>
      <c r="B4">
        <v>657</v>
      </c>
      <c r="C4">
        <v>659</v>
      </c>
      <c r="D4">
        <v>661</v>
      </c>
      <c r="E4">
        <v>662</v>
      </c>
      <c r="F4">
        <v>662</v>
      </c>
    </row>
    <row r="5" spans="1:37" x14ac:dyDescent="0.25">
      <c r="A5" t="s">
        <v>974</v>
      </c>
      <c r="B5">
        <v>66</v>
      </c>
      <c r="C5">
        <v>66</v>
      </c>
      <c r="D5">
        <v>66</v>
      </c>
      <c r="E5">
        <v>66</v>
      </c>
      <c r="F5">
        <v>66</v>
      </c>
    </row>
    <row r="7" spans="1:37" x14ac:dyDescent="0.25">
      <c r="A7" s="56" t="s">
        <v>737</v>
      </c>
      <c r="B7" s="56"/>
      <c r="C7" s="56"/>
      <c r="D7" s="56"/>
      <c r="E7" s="56"/>
      <c r="F7" s="56"/>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row>
    <row r="8" spans="1:37" x14ac:dyDescent="0.25">
      <c r="B8">
        <v>2015</v>
      </c>
      <c r="C8">
        <v>2016</v>
      </c>
      <c r="D8">
        <v>2017</v>
      </c>
      <c r="E8">
        <v>2018</v>
      </c>
      <c r="F8">
        <v>2019</v>
      </c>
      <c r="G8">
        <v>2020</v>
      </c>
      <c r="H8">
        <v>2021</v>
      </c>
      <c r="I8">
        <v>2022</v>
      </c>
      <c r="J8">
        <v>2023</v>
      </c>
      <c r="K8">
        <v>2024</v>
      </c>
      <c r="L8">
        <v>2025</v>
      </c>
      <c r="M8">
        <v>2026</v>
      </c>
      <c r="N8">
        <v>2027</v>
      </c>
      <c r="O8">
        <v>2028</v>
      </c>
      <c r="P8">
        <v>2029</v>
      </c>
      <c r="Q8">
        <v>2030</v>
      </c>
      <c r="R8">
        <v>2031</v>
      </c>
      <c r="S8">
        <v>2032</v>
      </c>
      <c r="T8">
        <v>2033</v>
      </c>
      <c r="U8">
        <v>2034</v>
      </c>
      <c r="V8">
        <v>2035</v>
      </c>
      <c r="W8">
        <v>2036</v>
      </c>
      <c r="X8">
        <v>2037</v>
      </c>
      <c r="Y8">
        <v>2038</v>
      </c>
      <c r="Z8">
        <v>2039</v>
      </c>
      <c r="AA8">
        <v>2040</v>
      </c>
      <c r="AB8">
        <v>2041</v>
      </c>
      <c r="AC8">
        <v>2042</v>
      </c>
      <c r="AD8">
        <v>2043</v>
      </c>
      <c r="AE8">
        <v>2044</v>
      </c>
      <c r="AF8">
        <v>2045</v>
      </c>
      <c r="AG8">
        <v>2046</v>
      </c>
      <c r="AH8">
        <v>2047</v>
      </c>
      <c r="AI8">
        <v>2048</v>
      </c>
      <c r="AJ8">
        <v>2049</v>
      </c>
      <c r="AK8">
        <v>2050</v>
      </c>
    </row>
    <row r="9" spans="1:37" x14ac:dyDescent="0.25">
      <c r="A9" t="s">
        <v>975</v>
      </c>
      <c r="B9">
        <f>F3</f>
        <v>4032</v>
      </c>
      <c r="C9">
        <f>($F$3-$B$3)/COUNT($C$2:$F$2)+B9</f>
        <v>3997.75</v>
      </c>
      <c r="D9">
        <f t="shared" ref="D9:AK9" si="0">($F$3-$B$3)/COUNT($C$2:$F$2)+C9</f>
        <v>3963.5</v>
      </c>
      <c r="E9">
        <f t="shared" si="0"/>
        <v>3929.25</v>
      </c>
      <c r="F9">
        <f t="shared" si="0"/>
        <v>3895</v>
      </c>
      <c r="G9">
        <f t="shared" si="0"/>
        <v>3860.75</v>
      </c>
      <c r="H9">
        <f t="shared" si="0"/>
        <v>3826.5</v>
      </c>
      <c r="I9">
        <f t="shared" si="0"/>
        <v>3792.25</v>
      </c>
      <c r="J9">
        <f t="shared" si="0"/>
        <v>3758</v>
      </c>
      <c r="K9">
        <f t="shared" si="0"/>
        <v>3723.75</v>
      </c>
      <c r="L9">
        <f t="shared" si="0"/>
        <v>3689.5</v>
      </c>
      <c r="M9">
        <f t="shared" si="0"/>
        <v>3655.25</v>
      </c>
      <c r="N9">
        <f t="shared" si="0"/>
        <v>3621</v>
      </c>
      <c r="O9">
        <f t="shared" si="0"/>
        <v>3586.75</v>
      </c>
      <c r="P9">
        <f t="shared" si="0"/>
        <v>3552.5</v>
      </c>
      <c r="Q9">
        <f t="shared" si="0"/>
        <v>3518.25</v>
      </c>
      <c r="R9">
        <f t="shared" si="0"/>
        <v>3484</v>
      </c>
      <c r="S9">
        <f t="shared" si="0"/>
        <v>3449.75</v>
      </c>
      <c r="T9">
        <f t="shared" si="0"/>
        <v>3415.5</v>
      </c>
      <c r="U9">
        <f t="shared" si="0"/>
        <v>3381.25</v>
      </c>
      <c r="V9">
        <f t="shared" si="0"/>
        <v>3347</v>
      </c>
      <c r="W9">
        <f t="shared" si="0"/>
        <v>3312.75</v>
      </c>
      <c r="X9">
        <f t="shared" si="0"/>
        <v>3278.5</v>
      </c>
      <c r="Y9">
        <f t="shared" si="0"/>
        <v>3244.25</v>
      </c>
      <c r="Z9">
        <f t="shared" si="0"/>
        <v>3210</v>
      </c>
      <c r="AA9">
        <f t="shared" si="0"/>
        <v>3175.75</v>
      </c>
      <c r="AB9">
        <f t="shared" si="0"/>
        <v>3141.5</v>
      </c>
      <c r="AC9">
        <f t="shared" si="0"/>
        <v>3107.25</v>
      </c>
      <c r="AD9">
        <f t="shared" si="0"/>
        <v>3073</v>
      </c>
      <c r="AE9">
        <f t="shared" si="0"/>
        <v>3038.75</v>
      </c>
      <c r="AF9">
        <f t="shared" si="0"/>
        <v>3004.5</v>
      </c>
      <c r="AG9">
        <f t="shared" si="0"/>
        <v>2970.25</v>
      </c>
      <c r="AH9">
        <f t="shared" si="0"/>
        <v>2936</v>
      </c>
      <c r="AI9">
        <f t="shared" si="0"/>
        <v>2901.75</v>
      </c>
      <c r="AJ9">
        <f t="shared" si="0"/>
        <v>2867.5</v>
      </c>
      <c r="AK9">
        <f t="shared" si="0"/>
        <v>2833.25</v>
      </c>
    </row>
    <row r="10" spans="1:37" x14ac:dyDescent="0.25">
      <c r="A10" t="s">
        <v>977</v>
      </c>
      <c r="B10">
        <f>F4</f>
        <v>662</v>
      </c>
      <c r="C10" s="66">
        <f>$B$10*SUM('AEO 2017_Table 24'!D32,'AEO 2017_Table 24'!D27)/SUM('AEO 2017_Table 24'!$C$27,'AEO 2017_Table 24'!$C$32)</f>
        <v>665.67323848823094</v>
      </c>
      <c r="D10" s="66">
        <f>$B$10*SUM('AEO 2017_Table 24'!E32,'AEO 2017_Table 24'!E27)/SUM('AEO 2017_Table 24'!$C$27,'AEO 2017_Table 24'!$C$32)</f>
        <v>692.35521786249683</v>
      </c>
      <c r="E10" s="66">
        <f>$B$10*SUM('AEO 2017_Table 24'!F32,'AEO 2017_Table 24'!F27)/SUM('AEO 2017_Table 24'!$C$27,'AEO 2017_Table 24'!$C$32)</f>
        <v>698.84222913141991</v>
      </c>
      <c r="F10" s="66">
        <f>$B$10*SUM('AEO 2017_Table 24'!G32,'AEO 2017_Table 24'!G27)/SUM('AEO 2017_Table 24'!$C$27,'AEO 2017_Table 24'!$C$32)</f>
        <v>703.45863230987595</v>
      </c>
      <c r="G10" s="66">
        <f>$B$10*SUM('AEO 2017_Table 24'!H32,'AEO 2017_Table 24'!H27)/SUM('AEO 2017_Table 24'!$C$27,'AEO 2017_Table 24'!$C$32)</f>
        <v>711.89336671191052</v>
      </c>
      <c r="H10" s="66">
        <f>$B$10*SUM('AEO 2017_Table 24'!I32,'AEO 2017_Table 24'!I27)/SUM('AEO 2017_Table 24'!$C$27,'AEO 2017_Table 24'!$C$32)</f>
        <v>723.48794149898742</v>
      </c>
      <c r="I10" s="66">
        <f>$B$10*SUM('AEO 2017_Table 24'!J32,'AEO 2017_Table 24'!J27)/SUM('AEO 2017_Table 24'!$C$27,'AEO 2017_Table 24'!$C$32)</f>
        <v>735.99252077772621</v>
      </c>
      <c r="J10" s="66">
        <f>$B$10*SUM('AEO 2017_Table 24'!K32,'AEO 2017_Table 24'!K27)/SUM('AEO 2017_Table 24'!$C$27,'AEO 2017_Table 24'!$C$32)</f>
        <v>747.1380351363506</v>
      </c>
      <c r="K10" s="66">
        <f>$B$10*SUM('AEO 2017_Table 24'!L32,'AEO 2017_Table 24'!L27)/SUM('AEO 2017_Table 24'!$C$27,'AEO 2017_Table 24'!$C$32)</f>
        <v>756.58200063407753</v>
      </c>
      <c r="L10" s="66">
        <f>$B$10*SUM('AEO 2017_Table 24'!M32,'AEO 2017_Table 24'!M27)/SUM('AEO 2017_Table 24'!$C$27,'AEO 2017_Table 24'!$C$32)</f>
        <v>763.69281621184632</v>
      </c>
      <c r="M10" s="66">
        <f>$B$10*SUM('AEO 2017_Table 24'!N32,'AEO 2017_Table 24'!N27)/SUM('AEO 2017_Table 24'!$C$27,'AEO 2017_Table 24'!$C$32)</f>
        <v>769.35660082693857</v>
      </c>
      <c r="N10" s="66">
        <f>$B$10*SUM('AEO 2017_Table 24'!O32,'AEO 2017_Table 24'!O27)/SUM('AEO 2017_Table 24'!$C$27,'AEO 2017_Table 24'!$C$32)</f>
        <v>779.90488316661845</v>
      </c>
      <c r="O10" s="66">
        <f>$B$10*SUM('AEO 2017_Table 24'!P32,'AEO 2017_Table 24'!P27)/SUM('AEO 2017_Table 24'!$C$27,'AEO 2017_Table 24'!$C$32)</f>
        <v>792.40823931677323</v>
      </c>
      <c r="P10" s="66">
        <f>$B$10*SUM('AEO 2017_Table 24'!Q32,'AEO 2017_Table 24'!Q27)/SUM('AEO 2017_Table 24'!$C$27,'AEO 2017_Table 24'!$C$32)</f>
        <v>805.75796790443223</v>
      </c>
      <c r="Q10" s="66">
        <f>$B$10*SUM('AEO 2017_Table 24'!R32,'AEO 2017_Table 24'!R27)/SUM('AEO 2017_Table 24'!$C$27,'AEO 2017_Table 24'!$C$32)</f>
        <v>817.94973740542844</v>
      </c>
      <c r="R10" s="66">
        <f>$B$10*SUM('AEO 2017_Table 24'!S32,'AEO 2017_Table 24'!S27)/SUM('AEO 2017_Table 24'!$C$27,'AEO 2017_Table 24'!$C$32)</f>
        <v>830.16179369648341</v>
      </c>
      <c r="S10" s="66">
        <f>$B$10*SUM('AEO 2017_Table 24'!T32,'AEO 2017_Table 24'!T27)/SUM('AEO 2017_Table 24'!$C$27,'AEO 2017_Table 24'!$C$32)</f>
        <v>843.05983145456889</v>
      </c>
      <c r="T10" s="66">
        <f>$B$10*SUM('AEO 2017_Table 24'!U32,'AEO 2017_Table 24'!U27)/SUM('AEO 2017_Table 24'!$C$27,'AEO 2017_Table 24'!$C$32)</f>
        <v>857.23741331287692</v>
      </c>
      <c r="U10" s="66">
        <f>$B$10*SUM('AEO 2017_Table 24'!V32,'AEO 2017_Table 24'!V27)/SUM('AEO 2017_Table 24'!$C$27,'AEO 2017_Table 24'!$C$32)</f>
        <v>872.61818858491267</v>
      </c>
      <c r="V10" s="66">
        <f>$B$10*SUM('AEO 2017_Table 24'!W32,'AEO 2017_Table 24'!W27)/SUM('AEO 2017_Table 24'!$C$27,'AEO 2017_Table 24'!$C$32)</f>
        <v>889.25169199402171</v>
      </c>
      <c r="W10" s="66">
        <f>$B$10*SUM('AEO 2017_Table 24'!X32,'AEO 2017_Table 24'!X27)/SUM('AEO 2017_Table 24'!$C$27,'AEO 2017_Table 24'!$C$32)</f>
        <v>906.28470999610272</v>
      </c>
      <c r="X10" s="66">
        <f>$B$10*SUM('AEO 2017_Table 24'!Y32,'AEO 2017_Table 24'!Y27)/SUM('AEO 2017_Table 24'!$C$27,'AEO 2017_Table 24'!$C$32)</f>
        <v>923.78362489874849</v>
      </c>
      <c r="Y10" s="66">
        <f>$B$10*SUM('AEO 2017_Table 24'!Z32,'AEO 2017_Table 24'!Z27)/SUM('AEO 2017_Table 24'!$C$27,'AEO 2017_Table 24'!$C$32)</f>
        <v>942.11504350057976</v>
      </c>
      <c r="Z10" s="66">
        <f>$B$10*SUM('AEO 2017_Table 24'!AA32,'AEO 2017_Table 24'!AA27)/SUM('AEO 2017_Table 24'!$C$27,'AEO 2017_Table 24'!$C$32)</f>
        <v>960.45679241942719</v>
      </c>
      <c r="AA10" s="66">
        <f>$B$10*SUM('AEO 2017_Table 24'!AB32,'AEO 2017_Table 24'!AB27)/SUM('AEO 2017_Table 24'!$C$27,'AEO 2017_Table 24'!$C$32)</f>
        <v>978.50016860518826</v>
      </c>
      <c r="AB10" s="66">
        <f>$B$10*SUM('AEO 2017_Table 24'!AC32,'AEO 2017_Table 24'!AC27)/SUM('AEO 2017_Table 24'!$C$27,'AEO 2017_Table 24'!$C$32)</f>
        <v>996.41963495998368</v>
      </c>
      <c r="AC10" s="66">
        <f>$B$10*SUM('AEO 2017_Table 24'!AD32,'AEO 2017_Table 24'!AD27)/SUM('AEO 2017_Table 24'!$C$27,'AEO 2017_Table 24'!$C$32)</f>
        <v>1015.0577342033303</v>
      </c>
      <c r="AD10" s="66">
        <f>$B$10*SUM('AEO 2017_Table 24'!AE32,'AEO 2017_Table 24'!AE27)/SUM('AEO 2017_Table 24'!$C$27,'AEO 2017_Table 24'!$C$32)</f>
        <v>1034.6864032989295</v>
      </c>
      <c r="AE10" s="66">
        <f>$B$10*SUM('AEO 2017_Table 24'!AF32,'AEO 2017_Table 24'!AF27)/SUM('AEO 2017_Table 24'!$C$27,'AEO 2017_Table 24'!$C$32)</f>
        <v>1054.3920874279577</v>
      </c>
      <c r="AF10" s="66">
        <f>$B$10*SUM('AEO 2017_Table 24'!AG32,'AEO 2017_Table 24'!AG27)/SUM('AEO 2017_Table 24'!$C$27,'AEO 2017_Table 24'!$C$32)</f>
        <v>1074.899585920218</v>
      </c>
      <c r="AG10" s="66">
        <f>$B$10*SUM('AEO 2017_Table 24'!AH32,'AEO 2017_Table 24'!AH27)/SUM('AEO 2017_Table 24'!$C$27,'AEO 2017_Table 24'!$C$32)</f>
        <v>1095.3667410123016</v>
      </c>
      <c r="AH10" s="66">
        <f>$B$10*SUM('AEO 2017_Table 24'!AI32,'AEO 2017_Table 24'!AI27)/SUM('AEO 2017_Table 24'!$C$27,'AEO 2017_Table 24'!$C$32)</f>
        <v>1115.7464166145958</v>
      </c>
      <c r="AI10" s="66">
        <f>$B$10*SUM('AEO 2017_Table 24'!AJ32,'AEO 2017_Table 24'!AJ27)/SUM('AEO 2017_Table 24'!$C$27,'AEO 2017_Table 24'!$C$32)</f>
        <v>1136.8244772078551</v>
      </c>
      <c r="AJ10" s="66">
        <f>$B$10*SUM('AEO 2017_Table 24'!AK32,'AEO 2017_Table 24'!AK27)/SUM('AEO 2017_Table 24'!$C$27,'AEO 2017_Table 24'!$C$32)</f>
        <v>1158.7064944252475</v>
      </c>
      <c r="AK10" s="66">
        <f>$B$10*SUM('AEO 2017_Table 24'!AL32,'AEO 2017_Table 24'!AL27)/SUM('AEO 2017_Table 24'!$C$27,'AEO 2017_Table 24'!$C$32)</f>
        <v>1181.6156816929911</v>
      </c>
    </row>
    <row r="11" spans="1:37" x14ac:dyDescent="0.25">
      <c r="A11" t="s">
        <v>974</v>
      </c>
      <c r="B11" s="66">
        <f>B10*0.1</f>
        <v>66.2</v>
      </c>
      <c r="C11" s="66">
        <f t="shared" ref="C11:AK11" si="1">C10*0.1</f>
        <v>66.567323848823094</v>
      </c>
      <c r="D11" s="66">
        <f t="shared" si="1"/>
        <v>69.235521786249691</v>
      </c>
      <c r="E11" s="66">
        <f t="shared" si="1"/>
        <v>69.884222913141997</v>
      </c>
      <c r="F11" s="66">
        <f t="shared" si="1"/>
        <v>70.345863230987604</v>
      </c>
      <c r="G11" s="66">
        <f t="shared" si="1"/>
        <v>71.189336671191057</v>
      </c>
      <c r="H11" s="66">
        <f t="shared" si="1"/>
        <v>72.348794149898751</v>
      </c>
      <c r="I11" s="66">
        <f t="shared" si="1"/>
        <v>73.599252077772618</v>
      </c>
      <c r="J11" s="66">
        <f t="shared" si="1"/>
        <v>74.713803513635057</v>
      </c>
      <c r="K11" s="66">
        <f t="shared" si="1"/>
        <v>75.658200063407762</v>
      </c>
      <c r="L11" s="66">
        <f t="shared" si="1"/>
        <v>76.369281621184641</v>
      </c>
      <c r="M11" s="66">
        <f t="shared" si="1"/>
        <v>76.935660082693857</v>
      </c>
      <c r="N11" s="66">
        <f t="shared" si="1"/>
        <v>77.990488316661853</v>
      </c>
      <c r="O11" s="66">
        <f t="shared" si="1"/>
        <v>79.240823931677326</v>
      </c>
      <c r="P11" s="66">
        <f t="shared" si="1"/>
        <v>80.575796790443235</v>
      </c>
      <c r="Q11" s="66">
        <f t="shared" si="1"/>
        <v>81.794973740542844</v>
      </c>
      <c r="R11" s="66">
        <f t="shared" si="1"/>
        <v>83.016179369648341</v>
      </c>
      <c r="S11" s="66">
        <f t="shared" si="1"/>
        <v>84.305983145456892</v>
      </c>
      <c r="T11" s="66">
        <f t="shared" si="1"/>
        <v>85.723741331287698</v>
      </c>
      <c r="U11" s="66">
        <f t="shared" si="1"/>
        <v>87.261818858491267</v>
      </c>
      <c r="V11" s="66">
        <f t="shared" si="1"/>
        <v>88.925169199402177</v>
      </c>
      <c r="W11" s="66">
        <f t="shared" si="1"/>
        <v>90.628470999610272</v>
      </c>
      <c r="X11" s="66">
        <f t="shared" si="1"/>
        <v>92.37836248987486</v>
      </c>
      <c r="Y11" s="66">
        <f t="shared" si="1"/>
        <v>94.211504350057979</v>
      </c>
      <c r="Z11" s="66">
        <f t="shared" si="1"/>
        <v>96.045679241942722</v>
      </c>
      <c r="AA11" s="66">
        <f t="shared" si="1"/>
        <v>97.850016860518835</v>
      </c>
      <c r="AB11" s="66">
        <f t="shared" si="1"/>
        <v>99.641963495998368</v>
      </c>
      <c r="AC11" s="66">
        <f t="shared" si="1"/>
        <v>101.50577342033303</v>
      </c>
      <c r="AD11" s="66">
        <f t="shared" si="1"/>
        <v>103.46864032989295</v>
      </c>
      <c r="AE11" s="66">
        <f t="shared" si="1"/>
        <v>105.43920874279577</v>
      </c>
      <c r="AF11" s="66">
        <f t="shared" si="1"/>
        <v>107.48995859202181</v>
      </c>
      <c r="AG11" s="66">
        <f t="shared" si="1"/>
        <v>109.53667410123018</v>
      </c>
      <c r="AH11" s="66">
        <f t="shared" si="1"/>
        <v>111.57464166145958</v>
      </c>
      <c r="AI11" s="66">
        <f t="shared" si="1"/>
        <v>113.68244772078552</v>
      </c>
      <c r="AJ11" s="66">
        <f t="shared" si="1"/>
        <v>115.87064944252475</v>
      </c>
      <c r="AK11" s="66">
        <f t="shared" si="1"/>
        <v>118.16156816929912</v>
      </c>
    </row>
    <row r="13" spans="1:37" x14ac:dyDescent="0.25">
      <c r="A13" t="s">
        <v>978</v>
      </c>
      <c r="B13" s="66">
        <f>B9+B10-B11</f>
        <v>4627.8</v>
      </c>
      <c r="C13" s="66">
        <f t="shared" ref="C13:AK13" si="2">C9+C10-C11</f>
        <v>4596.8559146394073</v>
      </c>
      <c r="D13" s="66">
        <f t="shared" si="2"/>
        <v>4586.6196960762472</v>
      </c>
      <c r="E13" s="66">
        <f t="shared" si="2"/>
        <v>4558.2080062182777</v>
      </c>
      <c r="F13" s="66">
        <f t="shared" si="2"/>
        <v>4528.112769078888</v>
      </c>
      <c r="G13" s="66">
        <f t="shared" si="2"/>
        <v>4501.4540300407198</v>
      </c>
      <c r="H13" s="66">
        <f t="shared" si="2"/>
        <v>4477.6391473490885</v>
      </c>
      <c r="I13" s="66">
        <f t="shared" si="2"/>
        <v>4454.6432686999533</v>
      </c>
      <c r="J13" s="66">
        <f t="shared" si="2"/>
        <v>4430.4242316227155</v>
      </c>
      <c r="K13" s="66">
        <f t="shared" si="2"/>
        <v>4404.6738005706693</v>
      </c>
      <c r="L13" s="66">
        <f t="shared" si="2"/>
        <v>4376.8235345906623</v>
      </c>
      <c r="M13" s="66">
        <f t="shared" si="2"/>
        <v>4347.6709407442449</v>
      </c>
      <c r="N13" s="66">
        <f t="shared" si="2"/>
        <v>4322.9143948499568</v>
      </c>
      <c r="O13" s="66">
        <f t="shared" si="2"/>
        <v>4299.9174153850963</v>
      </c>
      <c r="P13" s="66">
        <f t="shared" si="2"/>
        <v>4277.6821711139892</v>
      </c>
      <c r="Q13" s="66">
        <f t="shared" si="2"/>
        <v>4254.4047636648856</v>
      </c>
      <c r="R13" s="66">
        <f t="shared" si="2"/>
        <v>4231.1456143268351</v>
      </c>
      <c r="S13" s="66">
        <f t="shared" si="2"/>
        <v>4208.5038483091121</v>
      </c>
      <c r="T13" s="66">
        <f t="shared" si="2"/>
        <v>4187.0136719815891</v>
      </c>
      <c r="U13" s="66">
        <f t="shared" si="2"/>
        <v>4166.6063697264217</v>
      </c>
      <c r="V13" s="66">
        <f t="shared" si="2"/>
        <v>4147.3265227946194</v>
      </c>
      <c r="W13" s="66">
        <f t="shared" si="2"/>
        <v>4128.4062389964929</v>
      </c>
      <c r="X13" s="66">
        <f t="shared" si="2"/>
        <v>4109.9052624088736</v>
      </c>
      <c r="Y13" s="66">
        <f t="shared" si="2"/>
        <v>4092.1535391505222</v>
      </c>
      <c r="Z13" s="66">
        <f t="shared" si="2"/>
        <v>4074.4111131774844</v>
      </c>
      <c r="AA13" s="66">
        <f t="shared" si="2"/>
        <v>4056.4001517446695</v>
      </c>
      <c r="AB13" s="66">
        <f t="shared" si="2"/>
        <v>4038.2776714639849</v>
      </c>
      <c r="AC13" s="66">
        <f t="shared" si="2"/>
        <v>4020.8019607829974</v>
      </c>
      <c r="AD13" s="66">
        <f t="shared" si="2"/>
        <v>4004.2177629690368</v>
      </c>
      <c r="AE13" s="66">
        <f t="shared" si="2"/>
        <v>3987.7028786851615</v>
      </c>
      <c r="AF13" s="66">
        <f t="shared" si="2"/>
        <v>3971.9096273281962</v>
      </c>
      <c r="AG13" s="66">
        <f t="shared" si="2"/>
        <v>3956.0800669110713</v>
      </c>
      <c r="AH13" s="66">
        <f t="shared" si="2"/>
        <v>3940.1717749531358</v>
      </c>
      <c r="AI13" s="66">
        <f t="shared" si="2"/>
        <v>3924.8920294870695</v>
      </c>
      <c r="AJ13" s="66">
        <f t="shared" si="2"/>
        <v>3910.3358449827228</v>
      </c>
      <c r="AK13" s="66">
        <f t="shared" si="2"/>
        <v>3896.7041135236918</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K82"/>
  <sheetViews>
    <sheetView topLeftCell="A49" workbookViewId="0">
      <selection activeCell="B83" sqref="B83"/>
    </sheetView>
  </sheetViews>
  <sheetFormatPr defaultRowHeight="15" x14ac:dyDescent="0.25"/>
  <cols>
    <col min="1" max="1" width="45.42578125" customWidth="1"/>
    <col min="2" max="2" width="12" bestFit="1" customWidth="1"/>
    <col min="8" max="8" width="12" bestFit="1" customWidth="1"/>
  </cols>
  <sheetData>
    <row r="1" spans="1:37" x14ac:dyDescent="0.25">
      <c r="A1" s="56" t="s">
        <v>979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row>
    <row r="2" spans="1:37" x14ac:dyDescent="0.25">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x14ac:dyDescent="0.25">
      <c r="A3" t="s">
        <v>980</v>
      </c>
      <c r="B3">
        <f>'AEO 2017_Table 20'!C54*10^6</f>
        <v>321977692</v>
      </c>
      <c r="C3">
        <f>'AEO 2017_Table 20'!D54*10^6</f>
        <v>324493500</v>
      </c>
      <c r="D3">
        <f>'AEO 2017_Table 20'!E54*10^6</f>
        <v>327145142</v>
      </c>
      <c r="E3">
        <f>'AEO 2017_Table 20'!F54*10^6</f>
        <v>329775482</v>
      </c>
      <c r="F3">
        <f>'AEO 2017_Table 20'!G54*10^6</f>
        <v>332402130</v>
      </c>
      <c r="G3">
        <f>'AEO 2017_Table 20'!H54*10^6</f>
        <v>335019867</v>
      </c>
      <c r="H3">
        <f>'AEO 2017_Table 20'!I54*10^6</f>
        <v>337623413</v>
      </c>
      <c r="I3">
        <f>'AEO 2017_Table 20'!J54*10^6</f>
        <v>340210052</v>
      </c>
      <c r="J3">
        <f>'AEO 2017_Table 20'!K54*10^6</f>
        <v>342776581</v>
      </c>
      <c r="K3">
        <f>'AEO 2017_Table 20'!L54*10^6</f>
        <v>345320312</v>
      </c>
      <c r="L3">
        <f>'AEO 2017_Table 20'!M54*10^6</f>
        <v>347837250</v>
      </c>
      <c r="M3">
        <f>'AEO 2017_Table 20'!N54*10^6</f>
        <v>350326630</v>
      </c>
      <c r="N3">
        <f>'AEO 2017_Table 20'!O54*10^6</f>
        <v>352779358</v>
      </c>
      <c r="O3">
        <f>'AEO 2017_Table 20'!P54*10^6</f>
        <v>355192596</v>
      </c>
      <c r="P3">
        <f>'AEO 2017_Table 20'!Q54*10^6</f>
        <v>357563019</v>
      </c>
      <c r="Q3">
        <f>'AEO 2017_Table 20'!R54*10^6</f>
        <v>359888092</v>
      </c>
      <c r="R3">
        <f>'AEO 2017_Table 20'!S54*10^6</f>
        <v>362166168</v>
      </c>
      <c r="S3">
        <f>'AEO 2017_Table 20'!T54*10^6</f>
        <v>364396423</v>
      </c>
      <c r="T3">
        <f>'AEO 2017_Table 20'!U54*10^6</f>
        <v>366578705</v>
      </c>
      <c r="U3">
        <f>'AEO 2017_Table 20'!V54*10^6</f>
        <v>368713440</v>
      </c>
      <c r="V3">
        <f>'AEO 2017_Table 20'!W54*10^6</f>
        <v>370802277</v>
      </c>
      <c r="W3">
        <f>'AEO 2017_Table 20'!X54*10^6</f>
        <v>372850159</v>
      </c>
      <c r="X3">
        <f>'AEO 2017_Table 20'!Y54*10^6</f>
        <v>374858398</v>
      </c>
      <c r="Y3">
        <f>'AEO 2017_Table 20'!Z54*10^6</f>
        <v>376828949</v>
      </c>
      <c r="Z3">
        <f>'AEO 2017_Table 20'!AA54*10^6</f>
        <v>378764435</v>
      </c>
      <c r="AA3">
        <f>'AEO 2017_Table 20'!AB54*10^6</f>
        <v>380668091</v>
      </c>
      <c r="AB3">
        <f>'AEO 2017_Table 20'!AC54*10^6</f>
        <v>382543365</v>
      </c>
      <c r="AC3">
        <f>'AEO 2017_Table 20'!AD54*10^6</f>
        <v>384394104</v>
      </c>
      <c r="AD3">
        <f>'AEO 2017_Table 20'!AE54*10^6</f>
        <v>386223938</v>
      </c>
      <c r="AE3">
        <f>'AEO 2017_Table 20'!AF54*10^6</f>
        <v>388037231</v>
      </c>
      <c r="AF3">
        <f>'AEO 2017_Table 20'!AG54*10^6</f>
        <v>389838287</v>
      </c>
      <c r="AG3">
        <f>'AEO 2017_Table 20'!AH54*10^6</f>
        <v>391632538</v>
      </c>
      <c r="AH3">
        <f>'AEO 2017_Table 20'!AI54*10^6</f>
        <v>393419922</v>
      </c>
      <c r="AI3">
        <f>'AEO 2017_Table 20'!AJ54*10^6</f>
        <v>395203339</v>
      </c>
      <c r="AJ3">
        <f>'AEO 2017_Table 20'!AK54*10^6</f>
        <v>396988098</v>
      </c>
      <c r="AK3">
        <f>'AEO 2017_Table 20'!AL54*10^6</f>
        <v>398777313</v>
      </c>
    </row>
    <row r="5" spans="1:37" x14ac:dyDescent="0.25">
      <c r="A5" s="74" t="s">
        <v>986</v>
      </c>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row>
    <row r="6" spans="1:37" x14ac:dyDescent="0.25">
      <c r="A6" s="56" t="s">
        <v>982</v>
      </c>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row>
    <row r="7" spans="1:37" x14ac:dyDescent="0.25">
      <c r="A7" s="62" t="s">
        <v>981</v>
      </c>
      <c r="B7" s="96">
        <v>0.19</v>
      </c>
    </row>
    <row r="8" spans="1:37" x14ac:dyDescent="0.25">
      <c r="A8" t="s">
        <v>983</v>
      </c>
      <c r="B8">
        <v>10.7</v>
      </c>
    </row>
    <row r="10" spans="1:37" x14ac:dyDescent="0.25">
      <c r="A10" s="56" t="s">
        <v>935</v>
      </c>
      <c r="B10" s="56"/>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row>
    <row r="11" spans="1:37" x14ac:dyDescent="0.25">
      <c r="B11">
        <v>2015</v>
      </c>
      <c r="C11">
        <v>2016</v>
      </c>
      <c r="D11">
        <v>2017</v>
      </c>
      <c r="E11">
        <v>2018</v>
      </c>
      <c r="F11">
        <v>2019</v>
      </c>
      <c r="G11">
        <v>2020</v>
      </c>
      <c r="H11">
        <v>2021</v>
      </c>
      <c r="I11">
        <v>2022</v>
      </c>
      <c r="J11">
        <v>2023</v>
      </c>
      <c r="K11">
        <v>2024</v>
      </c>
      <c r="L11">
        <v>2025</v>
      </c>
      <c r="M11">
        <v>2026</v>
      </c>
      <c r="N11">
        <v>2027</v>
      </c>
      <c r="O11">
        <v>2028</v>
      </c>
      <c r="P11">
        <v>2029</v>
      </c>
      <c r="Q11">
        <v>2030</v>
      </c>
      <c r="R11">
        <v>2031</v>
      </c>
      <c r="S11">
        <v>2032</v>
      </c>
      <c r="T11">
        <v>2033</v>
      </c>
      <c r="U11">
        <v>2034</v>
      </c>
      <c r="V11">
        <v>2035</v>
      </c>
      <c r="W11">
        <v>2036</v>
      </c>
      <c r="X11">
        <v>2037</v>
      </c>
      <c r="Y11">
        <v>2038</v>
      </c>
      <c r="Z11">
        <v>2039</v>
      </c>
      <c r="AA11">
        <v>2040</v>
      </c>
      <c r="AB11">
        <v>2041</v>
      </c>
      <c r="AC11">
        <v>2042</v>
      </c>
      <c r="AD11">
        <v>2043</v>
      </c>
      <c r="AE11">
        <v>2044</v>
      </c>
      <c r="AF11">
        <v>2045</v>
      </c>
      <c r="AG11">
        <v>2046</v>
      </c>
      <c r="AH11">
        <v>2047</v>
      </c>
      <c r="AI11">
        <v>2048</v>
      </c>
      <c r="AJ11">
        <v>2049</v>
      </c>
      <c r="AK11">
        <v>2050</v>
      </c>
    </row>
    <row r="12" spans="1:37" x14ac:dyDescent="0.25">
      <c r="A12" t="s">
        <v>976</v>
      </c>
      <c r="B12">
        <f>B3*$B$7*$B$8*365/10^9</f>
        <v>238.92193646013999</v>
      </c>
      <c r="C12">
        <f t="shared" ref="C12:AK12" si="0">C3*$B$7*$B$8*365/10^9</f>
        <v>240.7887792075</v>
      </c>
      <c r="D12">
        <f t="shared" si="0"/>
        <v>242.75641689538998</v>
      </c>
      <c r="E12">
        <f t="shared" si="0"/>
        <v>244.70824754068997</v>
      </c>
      <c r="F12">
        <f t="shared" si="0"/>
        <v>246.65733855584998</v>
      </c>
      <c r="G12">
        <f t="shared" si="0"/>
        <v>248.599817208015</v>
      </c>
      <c r="H12">
        <f t="shared" si="0"/>
        <v>250.53176549958499</v>
      </c>
      <c r="I12">
        <f t="shared" si="0"/>
        <v>252.45116803633999</v>
      </c>
      <c r="J12">
        <f t="shared" si="0"/>
        <v>254.35564804814499</v>
      </c>
      <c r="K12">
        <f t="shared" si="0"/>
        <v>256.24321091804001</v>
      </c>
      <c r="L12">
        <f t="shared" si="0"/>
        <v>258.11089217624999</v>
      </c>
      <c r="M12">
        <f t="shared" si="0"/>
        <v>259.95812415834996</v>
      </c>
      <c r="N12">
        <f t="shared" si="0"/>
        <v>261.77815870711004</v>
      </c>
      <c r="O12">
        <f t="shared" si="0"/>
        <v>263.56888989881992</v>
      </c>
      <c r="P12">
        <f t="shared" si="0"/>
        <v>265.32785043385496</v>
      </c>
      <c r="Q12">
        <f t="shared" si="0"/>
        <v>267.05315922814003</v>
      </c>
      <c r="R12">
        <f t="shared" si="0"/>
        <v>268.74359413356001</v>
      </c>
      <c r="S12">
        <f t="shared" si="0"/>
        <v>270.39854370503502</v>
      </c>
      <c r="T12">
        <f t="shared" si="0"/>
        <v>272.01789515172499</v>
      </c>
      <c r="U12">
        <f t="shared" si="0"/>
        <v>273.60196458479993</v>
      </c>
      <c r="V12">
        <f t="shared" si="0"/>
        <v>275.15197563646495</v>
      </c>
      <c r="W12">
        <f t="shared" si="0"/>
        <v>276.67159623515499</v>
      </c>
      <c r="X12">
        <f t="shared" si="0"/>
        <v>278.16179994390995</v>
      </c>
      <c r="Y12">
        <f t="shared" si="0"/>
        <v>279.62403746070504</v>
      </c>
      <c r="Z12">
        <f t="shared" si="0"/>
        <v>281.06025516957499</v>
      </c>
      <c r="AA12">
        <f t="shared" si="0"/>
        <v>282.47285358609503</v>
      </c>
      <c r="AB12">
        <f t="shared" si="0"/>
        <v>283.8643912814249</v>
      </c>
      <c r="AC12">
        <f t="shared" si="0"/>
        <v>285.23772290267999</v>
      </c>
      <c r="AD12">
        <f t="shared" si="0"/>
        <v>286.59554207320997</v>
      </c>
      <c r="AE12">
        <f t="shared" si="0"/>
        <v>287.94108707739497</v>
      </c>
      <c r="AF12">
        <f t="shared" si="0"/>
        <v>289.27755167691498</v>
      </c>
      <c r="AG12">
        <f t="shared" si="0"/>
        <v>290.60896666020994</v>
      </c>
      <c r="AH12">
        <f t="shared" si="0"/>
        <v>291.93528602048997</v>
      </c>
      <c r="AI12">
        <f t="shared" si="0"/>
        <v>293.25866168825496</v>
      </c>
      <c r="AJ12">
        <f t="shared" si="0"/>
        <v>294.58303318040998</v>
      </c>
      <c r="AK12">
        <f t="shared" si="0"/>
        <v>295.91071122508498</v>
      </c>
    </row>
    <row r="14" spans="1:37" x14ac:dyDescent="0.25">
      <c r="A14" s="74" t="s">
        <v>987</v>
      </c>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row>
    <row r="15" spans="1:37" x14ac:dyDescent="0.25">
      <c r="A15" s="56" t="s">
        <v>966</v>
      </c>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row>
    <row r="16" spans="1:37" x14ac:dyDescent="0.25">
      <c r="B16">
        <v>2015</v>
      </c>
      <c r="C16">
        <v>2016</v>
      </c>
      <c r="D16">
        <v>2017</v>
      </c>
      <c r="E16">
        <v>2018</v>
      </c>
      <c r="F16">
        <v>2019</v>
      </c>
      <c r="G16">
        <v>2020</v>
      </c>
      <c r="H16">
        <v>2021</v>
      </c>
      <c r="I16">
        <v>2022</v>
      </c>
      <c r="J16">
        <v>2023</v>
      </c>
      <c r="K16">
        <v>2024</v>
      </c>
      <c r="L16">
        <v>2025</v>
      </c>
      <c r="M16">
        <v>2026</v>
      </c>
      <c r="N16">
        <v>2027</v>
      </c>
      <c r="O16">
        <v>2028</v>
      </c>
      <c r="P16">
        <v>2029</v>
      </c>
      <c r="Q16">
        <v>2030</v>
      </c>
      <c r="R16">
        <v>2031</v>
      </c>
      <c r="S16">
        <v>2032</v>
      </c>
      <c r="T16">
        <v>2033</v>
      </c>
      <c r="U16">
        <v>2034</v>
      </c>
      <c r="V16">
        <v>2035</v>
      </c>
      <c r="W16">
        <v>2036</v>
      </c>
      <c r="X16">
        <v>2037</v>
      </c>
      <c r="Y16">
        <v>2038</v>
      </c>
      <c r="Z16">
        <v>2039</v>
      </c>
      <c r="AA16">
        <v>2040</v>
      </c>
      <c r="AB16">
        <v>2041</v>
      </c>
      <c r="AC16">
        <v>2042</v>
      </c>
      <c r="AD16">
        <v>2043</v>
      </c>
      <c r="AE16">
        <v>2044</v>
      </c>
      <c r="AF16">
        <v>2045</v>
      </c>
      <c r="AG16">
        <v>2046</v>
      </c>
      <c r="AH16">
        <v>2047</v>
      </c>
      <c r="AI16">
        <v>2048</v>
      </c>
      <c r="AJ16">
        <v>2049</v>
      </c>
      <c r="AK16">
        <v>2050</v>
      </c>
    </row>
    <row r="17" spans="1:37" x14ac:dyDescent="0.25">
      <c r="A17" t="s">
        <v>1984</v>
      </c>
      <c r="B17">
        <f>2.9/'Cross-Page Data'!$D$12*1000</f>
        <v>115.99999999999999</v>
      </c>
      <c r="C17" s="102">
        <f t="shared" ref="C17:AK17" si="1">B17*C3/B3</f>
        <v>116.90637871893308</v>
      </c>
      <c r="D17" s="102">
        <f t="shared" si="1"/>
        <v>117.86169481580107</v>
      </c>
      <c r="E17" s="102">
        <f t="shared" si="1"/>
        <v>118.80933636855808</v>
      </c>
      <c r="F17" s="102">
        <f t="shared" si="1"/>
        <v>119.75564779189732</v>
      </c>
      <c r="G17" s="102">
        <f t="shared" si="1"/>
        <v>120.69874881890883</v>
      </c>
      <c r="H17" s="102">
        <f t="shared" si="1"/>
        <v>121.63673720600491</v>
      </c>
      <c r="I17" s="102">
        <f t="shared" si="1"/>
        <v>122.56863445061278</v>
      </c>
      <c r="J17" s="102">
        <f t="shared" si="1"/>
        <v>123.49328659701055</v>
      </c>
      <c r="K17" s="102">
        <f t="shared" si="1"/>
        <v>124.40972523028084</v>
      </c>
      <c r="L17" s="102">
        <f t="shared" si="1"/>
        <v>125.3165110581636</v>
      </c>
      <c r="M17" s="102">
        <f t="shared" si="1"/>
        <v>126.21336847150266</v>
      </c>
      <c r="N17" s="102">
        <f t="shared" si="1"/>
        <v>127.09702114393687</v>
      </c>
      <c r="O17" s="102">
        <f t="shared" si="1"/>
        <v>127.96644661953783</v>
      </c>
      <c r="P17" s="102">
        <f t="shared" si="1"/>
        <v>128.82044698922803</v>
      </c>
      <c r="Q17" s="102">
        <f t="shared" si="1"/>
        <v>129.65810895992132</v>
      </c>
      <c r="R17" s="102">
        <f t="shared" si="1"/>
        <v>130.47883916131678</v>
      </c>
      <c r="S17" s="102">
        <f t="shared" si="1"/>
        <v>131.2823407281272</v>
      </c>
      <c r="T17" s="102">
        <f t="shared" si="1"/>
        <v>132.06855889879475</v>
      </c>
      <c r="U17" s="102">
        <f t="shared" si="1"/>
        <v>132.83764714979071</v>
      </c>
      <c r="V17" s="102">
        <f t="shared" si="1"/>
        <v>133.59019957196287</v>
      </c>
      <c r="W17" s="102">
        <f t="shared" si="1"/>
        <v>134.32799699676085</v>
      </c>
      <c r="X17" s="102">
        <f t="shared" si="1"/>
        <v>135.05151210289435</v>
      </c>
      <c r="Y17" s="102">
        <f t="shared" si="1"/>
        <v>135.76144922487359</v>
      </c>
      <c r="Z17" s="102">
        <f t="shared" si="1"/>
        <v>136.45875335984451</v>
      </c>
      <c r="AA17" s="102">
        <f t="shared" si="1"/>
        <v>137.14458999227804</v>
      </c>
      <c r="AB17" s="102">
        <f t="shared" si="1"/>
        <v>137.8202013448807</v>
      </c>
      <c r="AC17" s="102">
        <f t="shared" si="1"/>
        <v>138.48697338944831</v>
      </c>
      <c r="AD17" s="102">
        <f t="shared" si="1"/>
        <v>139.14621391844744</v>
      </c>
      <c r="AE17" s="102">
        <f t="shared" si="1"/>
        <v>139.79949516502523</v>
      </c>
      <c r="AF17" s="102">
        <f t="shared" si="1"/>
        <v>140.4483677459244</v>
      </c>
      <c r="AG17" s="102">
        <f t="shared" si="1"/>
        <v>141.09478866629053</v>
      </c>
      <c r="AH17" s="102">
        <f t="shared" si="1"/>
        <v>141.73873558917236</v>
      </c>
      <c r="AI17" s="102">
        <f t="shared" si="1"/>
        <v>142.38125330744955</v>
      </c>
      <c r="AJ17" s="102">
        <f t="shared" si="1"/>
        <v>143.02425451263863</v>
      </c>
      <c r="AK17" s="102">
        <f t="shared" si="1"/>
        <v>143.66886109612827</v>
      </c>
    </row>
    <row r="19" spans="1:37" x14ac:dyDescent="0.25">
      <c r="A19" s="74" t="s">
        <v>988</v>
      </c>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row>
    <row r="20" spans="1:37" x14ac:dyDescent="0.25">
      <c r="A20" s="56" t="s">
        <v>966</v>
      </c>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row>
    <row r="21" spans="1:37" x14ac:dyDescent="0.25">
      <c r="B21">
        <v>2015</v>
      </c>
      <c r="C21">
        <v>2016</v>
      </c>
      <c r="D21">
        <v>2017</v>
      </c>
      <c r="E21">
        <v>2018</v>
      </c>
      <c r="F21">
        <v>2019</v>
      </c>
      <c r="G21">
        <v>2020</v>
      </c>
      <c r="H21">
        <v>2021</v>
      </c>
      <c r="I21">
        <v>2022</v>
      </c>
      <c r="J21">
        <v>2023</v>
      </c>
      <c r="K21">
        <v>2024</v>
      </c>
      <c r="L21">
        <v>2025</v>
      </c>
      <c r="M21">
        <v>2026</v>
      </c>
      <c r="N21">
        <v>2027</v>
      </c>
      <c r="O21">
        <v>2028</v>
      </c>
      <c r="P21">
        <v>2029</v>
      </c>
      <c r="Q21">
        <v>2030</v>
      </c>
      <c r="R21">
        <v>2031</v>
      </c>
      <c r="S21">
        <v>2032</v>
      </c>
      <c r="T21">
        <v>2033</v>
      </c>
      <c r="U21">
        <v>2034</v>
      </c>
      <c r="V21">
        <v>2035</v>
      </c>
      <c r="W21">
        <v>2036</v>
      </c>
      <c r="X21">
        <v>2037</v>
      </c>
      <c r="Y21">
        <v>2038</v>
      </c>
      <c r="Z21">
        <v>2039</v>
      </c>
      <c r="AA21">
        <v>2040</v>
      </c>
      <c r="AB21">
        <v>2041</v>
      </c>
      <c r="AC21">
        <v>2042</v>
      </c>
      <c r="AD21">
        <v>2043</v>
      </c>
      <c r="AE21">
        <v>2044</v>
      </c>
      <c r="AF21">
        <v>2045</v>
      </c>
      <c r="AG21">
        <v>2046</v>
      </c>
      <c r="AH21">
        <v>2047</v>
      </c>
      <c r="AI21">
        <v>2048</v>
      </c>
      <c r="AJ21">
        <v>2049</v>
      </c>
      <c r="AK21">
        <v>2050</v>
      </c>
    </row>
    <row r="22" spans="1:37" x14ac:dyDescent="0.25">
      <c r="A22" t="s">
        <v>1984</v>
      </c>
      <c r="B22">
        <f>0.2/'Cross-Page Data'!$D$12*1000</f>
        <v>8</v>
      </c>
      <c r="C22" s="103">
        <f t="shared" ref="C22:AK22" si="2">B22*C3/B3</f>
        <v>8.0625088771678008</v>
      </c>
      <c r="D22" s="103">
        <f t="shared" si="2"/>
        <v>8.1283927459173171</v>
      </c>
      <c r="E22" s="103">
        <f t="shared" si="2"/>
        <v>8.1937473357626285</v>
      </c>
      <c r="F22" s="103">
        <f t="shared" si="2"/>
        <v>8.2590101925446451</v>
      </c>
      <c r="G22" s="103">
        <f t="shared" si="2"/>
        <v>8.3240516426833704</v>
      </c>
      <c r="H22" s="103">
        <f t="shared" si="2"/>
        <v>8.388740496965859</v>
      </c>
      <c r="I22" s="103">
        <f t="shared" si="2"/>
        <v>8.4530092724560557</v>
      </c>
      <c r="J22" s="103">
        <f t="shared" si="2"/>
        <v>8.5167783860007304</v>
      </c>
      <c r="K22" s="103">
        <f t="shared" si="2"/>
        <v>8.5799810503641982</v>
      </c>
      <c r="L22" s="103">
        <f t="shared" si="2"/>
        <v>8.6425180040112846</v>
      </c>
      <c r="M22" s="103">
        <f t="shared" si="2"/>
        <v>8.7043702394139792</v>
      </c>
      <c r="N22" s="103">
        <f t="shared" si="2"/>
        <v>8.7653118030301318</v>
      </c>
      <c r="O22" s="103">
        <f t="shared" si="2"/>
        <v>8.8252721806577838</v>
      </c>
      <c r="P22" s="103">
        <f t="shared" si="2"/>
        <v>8.8841687578777986</v>
      </c>
      <c r="Q22" s="103">
        <f t="shared" si="2"/>
        <v>8.9419385489600955</v>
      </c>
      <c r="R22" s="103">
        <f t="shared" si="2"/>
        <v>8.9985406318149543</v>
      </c>
      <c r="S22" s="103">
        <f t="shared" si="2"/>
        <v>9.0539545329742932</v>
      </c>
      <c r="T22" s="103">
        <f t="shared" si="2"/>
        <v>9.1081764757789525</v>
      </c>
      <c r="U22" s="103">
        <f t="shared" si="2"/>
        <v>9.1612170448131582</v>
      </c>
      <c r="V22" s="103">
        <f t="shared" si="2"/>
        <v>9.2131172118595135</v>
      </c>
      <c r="W22" s="103">
        <f t="shared" si="2"/>
        <v>9.2639997928800657</v>
      </c>
      <c r="X22" s="103">
        <f t="shared" si="2"/>
        <v>9.3138973864065129</v>
      </c>
      <c r="Y22" s="103">
        <f t="shared" si="2"/>
        <v>9.3628585672326672</v>
      </c>
      <c r="Z22" s="103">
        <f t="shared" si="2"/>
        <v>9.4109485075754904</v>
      </c>
      <c r="AA22" s="103">
        <f t="shared" si="2"/>
        <v>9.4582475856743535</v>
      </c>
      <c r="AB22" s="103">
        <f t="shared" si="2"/>
        <v>9.5048414720607433</v>
      </c>
      <c r="AC22" s="103">
        <f t="shared" si="2"/>
        <v>9.5508257509964398</v>
      </c>
      <c r="AD22" s="103">
        <f t="shared" si="2"/>
        <v>9.596290615065346</v>
      </c>
      <c r="AE22" s="103">
        <f t="shared" si="2"/>
        <v>9.6413444941396769</v>
      </c>
      <c r="AF22" s="103">
        <f t="shared" si="2"/>
        <v>9.6860943273051383</v>
      </c>
      <c r="AG22" s="103">
        <f t="shared" si="2"/>
        <v>9.7306750804338371</v>
      </c>
      <c r="AH22" s="103">
        <f t="shared" si="2"/>
        <v>9.7750852130463777</v>
      </c>
      <c r="AI22" s="103">
        <f t="shared" si="2"/>
        <v>9.8193967798241157</v>
      </c>
      <c r="AJ22" s="103">
        <f t="shared" si="2"/>
        <v>9.8637416905268118</v>
      </c>
      <c r="AK22" s="103">
        <f t="shared" si="2"/>
        <v>9.9081973169743733</v>
      </c>
    </row>
    <row r="25" spans="1:37" x14ac:dyDescent="0.25">
      <c r="A25" s="74" t="s">
        <v>989</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row>
    <row r="26" spans="1:37" x14ac:dyDescent="0.25">
      <c r="A26" s="56" t="s">
        <v>982</v>
      </c>
      <c r="B26" s="56"/>
      <c r="C26" s="56"/>
      <c r="D26" s="56"/>
      <c r="E26" s="56"/>
      <c r="F26" s="56"/>
      <c r="G26" s="59"/>
    </row>
    <row r="27" spans="1:37" x14ac:dyDescent="0.25">
      <c r="A27" t="s">
        <v>999</v>
      </c>
      <c r="B27">
        <v>0.16</v>
      </c>
    </row>
    <row r="28" spans="1:37" x14ac:dyDescent="0.25">
      <c r="A28" t="s">
        <v>1000</v>
      </c>
      <c r="B28">
        <v>1.2</v>
      </c>
    </row>
    <row r="29" spans="1:37" x14ac:dyDescent="0.25">
      <c r="A29" t="s">
        <v>1001</v>
      </c>
      <c r="B29">
        <v>1.25</v>
      </c>
    </row>
    <row r="30" spans="1:37" x14ac:dyDescent="0.25">
      <c r="A30" t="s">
        <v>1003</v>
      </c>
      <c r="B30">
        <v>5.0000000000000001E-3</v>
      </c>
    </row>
    <row r="33" spans="1:37" x14ac:dyDescent="0.25">
      <c r="A33" s="56" t="s">
        <v>990</v>
      </c>
      <c r="B33" s="56"/>
      <c r="C33" s="56"/>
      <c r="D33" s="56"/>
      <c r="E33" s="56"/>
      <c r="F33" s="56"/>
      <c r="G33" s="59"/>
    </row>
    <row r="34" spans="1:37" x14ac:dyDescent="0.25">
      <c r="A34" t="s">
        <v>284</v>
      </c>
      <c r="B34" t="s">
        <v>984</v>
      </c>
      <c r="C34" t="s">
        <v>991</v>
      </c>
      <c r="D34" t="s">
        <v>992</v>
      </c>
      <c r="E34" t="s">
        <v>993</v>
      </c>
      <c r="F34" t="s">
        <v>994</v>
      </c>
      <c r="G34" t="s">
        <v>995</v>
      </c>
    </row>
    <row r="35" spans="1:37" x14ac:dyDescent="0.25">
      <c r="A35">
        <v>2011</v>
      </c>
      <c r="B35">
        <v>316</v>
      </c>
      <c r="C35">
        <v>21.3</v>
      </c>
      <c r="D35">
        <v>80.599999999999994</v>
      </c>
      <c r="E35">
        <v>45</v>
      </c>
      <c r="F35">
        <v>34.700000000000003</v>
      </c>
      <c r="G35">
        <v>279.5</v>
      </c>
    </row>
    <row r="36" spans="1:37" x14ac:dyDescent="0.25">
      <c r="A36">
        <v>2012</v>
      </c>
      <c r="B36">
        <v>318</v>
      </c>
      <c r="C36">
        <v>21.3</v>
      </c>
      <c r="D36">
        <v>81</v>
      </c>
      <c r="E36">
        <v>45.1</v>
      </c>
      <c r="F36">
        <v>34.700000000000003</v>
      </c>
      <c r="G36">
        <v>282.60000000000002</v>
      </c>
    </row>
    <row r="37" spans="1:37" x14ac:dyDescent="0.25">
      <c r="A37">
        <v>2013</v>
      </c>
      <c r="B37">
        <v>321</v>
      </c>
      <c r="C37">
        <v>19.8</v>
      </c>
      <c r="D37">
        <v>81.400000000000006</v>
      </c>
      <c r="E37">
        <v>45.1</v>
      </c>
      <c r="F37">
        <v>34.799999999999997</v>
      </c>
      <c r="G37">
        <v>285.60000000000002</v>
      </c>
    </row>
    <row r="38" spans="1:37" x14ac:dyDescent="0.25">
      <c r="A38">
        <v>2014</v>
      </c>
      <c r="B38">
        <v>323</v>
      </c>
      <c r="C38">
        <v>20.8</v>
      </c>
      <c r="D38">
        <v>81.099999999999994</v>
      </c>
      <c r="E38">
        <v>45.2</v>
      </c>
      <c r="F38">
        <v>34.799999999999997</v>
      </c>
      <c r="G38">
        <v>288.7</v>
      </c>
    </row>
    <row r="39" spans="1:37" x14ac:dyDescent="0.25">
      <c r="A39">
        <v>2015</v>
      </c>
      <c r="B39">
        <v>325</v>
      </c>
      <c r="C39">
        <v>21.8</v>
      </c>
      <c r="D39">
        <v>81.400000000000006</v>
      </c>
      <c r="E39">
        <v>45.2</v>
      </c>
      <c r="F39">
        <v>34.9</v>
      </c>
      <c r="G39">
        <v>291.8</v>
      </c>
    </row>
    <row r="41" spans="1:37" x14ac:dyDescent="0.25">
      <c r="A41" t="s">
        <v>996</v>
      </c>
      <c r="B41">
        <v>2015</v>
      </c>
      <c r="C41">
        <v>2016</v>
      </c>
      <c r="D41">
        <v>2017</v>
      </c>
      <c r="E41">
        <v>2018</v>
      </c>
      <c r="F41">
        <v>2019</v>
      </c>
      <c r="G41">
        <v>2020</v>
      </c>
      <c r="H41">
        <v>2021</v>
      </c>
      <c r="I41">
        <v>2022</v>
      </c>
      <c r="J41">
        <v>2023</v>
      </c>
      <c r="K41">
        <v>2024</v>
      </c>
      <c r="L41">
        <v>2025</v>
      </c>
      <c r="M41">
        <v>2026</v>
      </c>
      <c r="N41">
        <v>2027</v>
      </c>
      <c r="O41">
        <v>2028</v>
      </c>
      <c r="P41">
        <v>2029</v>
      </c>
      <c r="Q41">
        <v>2030</v>
      </c>
      <c r="R41">
        <v>2031</v>
      </c>
      <c r="S41">
        <v>2032</v>
      </c>
      <c r="T41">
        <v>2033</v>
      </c>
      <c r="U41">
        <v>2034</v>
      </c>
      <c r="V41">
        <v>2035</v>
      </c>
      <c r="W41">
        <v>2036</v>
      </c>
      <c r="X41">
        <v>2037</v>
      </c>
      <c r="Y41">
        <v>2038</v>
      </c>
      <c r="Z41">
        <v>2039</v>
      </c>
      <c r="AA41">
        <v>2040</v>
      </c>
      <c r="AB41">
        <v>2041</v>
      </c>
      <c r="AC41">
        <v>2042</v>
      </c>
      <c r="AD41">
        <v>2043</v>
      </c>
      <c r="AE41">
        <v>2044</v>
      </c>
      <c r="AF41">
        <v>2045</v>
      </c>
      <c r="AG41">
        <v>2046</v>
      </c>
      <c r="AH41">
        <v>2047</v>
      </c>
      <c r="AI41">
        <v>2048</v>
      </c>
      <c r="AJ41">
        <v>2049</v>
      </c>
      <c r="AK41">
        <v>2050</v>
      </c>
    </row>
    <row r="42" spans="1:37" x14ac:dyDescent="0.25">
      <c r="A42" t="s">
        <v>985</v>
      </c>
      <c r="B42">
        <f>B39</f>
        <v>325</v>
      </c>
      <c r="C42">
        <f t="shared" ref="C42:AK42" si="3">C3/10^6</f>
        <v>324.49349999999998</v>
      </c>
      <c r="D42">
        <f t="shared" si="3"/>
        <v>327.14514200000002</v>
      </c>
      <c r="E42">
        <f t="shared" si="3"/>
        <v>329.77548200000001</v>
      </c>
      <c r="F42">
        <f t="shared" si="3"/>
        <v>332.40213</v>
      </c>
      <c r="G42">
        <f t="shared" si="3"/>
        <v>335.01986699999998</v>
      </c>
      <c r="H42">
        <f t="shared" si="3"/>
        <v>337.62341300000003</v>
      </c>
      <c r="I42">
        <f t="shared" si="3"/>
        <v>340.21005200000002</v>
      </c>
      <c r="J42">
        <f t="shared" si="3"/>
        <v>342.77658100000002</v>
      </c>
      <c r="K42">
        <f t="shared" si="3"/>
        <v>345.320312</v>
      </c>
      <c r="L42">
        <f t="shared" si="3"/>
        <v>347.83724999999998</v>
      </c>
      <c r="M42">
        <f t="shared" si="3"/>
        <v>350.32663000000002</v>
      </c>
      <c r="N42">
        <f t="shared" si="3"/>
        <v>352.779358</v>
      </c>
      <c r="O42">
        <f t="shared" si="3"/>
        <v>355.19259599999998</v>
      </c>
      <c r="P42">
        <f t="shared" si="3"/>
        <v>357.563019</v>
      </c>
      <c r="Q42">
        <f t="shared" si="3"/>
        <v>359.88809199999997</v>
      </c>
      <c r="R42">
        <f t="shared" si="3"/>
        <v>362.16616800000003</v>
      </c>
      <c r="S42">
        <f t="shared" si="3"/>
        <v>364.39642300000003</v>
      </c>
      <c r="T42">
        <f t="shared" si="3"/>
        <v>366.57870500000001</v>
      </c>
      <c r="U42">
        <f t="shared" si="3"/>
        <v>368.71343999999999</v>
      </c>
      <c r="V42">
        <f t="shared" si="3"/>
        <v>370.802277</v>
      </c>
      <c r="W42">
        <f t="shared" si="3"/>
        <v>372.85015900000002</v>
      </c>
      <c r="X42">
        <f t="shared" si="3"/>
        <v>374.85839800000002</v>
      </c>
      <c r="Y42">
        <f t="shared" si="3"/>
        <v>376.82894900000002</v>
      </c>
      <c r="Z42">
        <f t="shared" si="3"/>
        <v>378.76443499999999</v>
      </c>
      <c r="AA42">
        <f t="shared" si="3"/>
        <v>380.668091</v>
      </c>
      <c r="AB42">
        <f t="shared" si="3"/>
        <v>382.54336499999999</v>
      </c>
      <c r="AC42">
        <f t="shared" si="3"/>
        <v>384.39410400000003</v>
      </c>
      <c r="AD42">
        <f t="shared" si="3"/>
        <v>386.22393799999998</v>
      </c>
      <c r="AE42">
        <f t="shared" si="3"/>
        <v>388.03723100000002</v>
      </c>
      <c r="AF42">
        <f t="shared" si="3"/>
        <v>389.83828699999998</v>
      </c>
      <c r="AG42">
        <f t="shared" si="3"/>
        <v>391.63253800000001</v>
      </c>
      <c r="AH42">
        <f t="shared" si="3"/>
        <v>393.41992199999999</v>
      </c>
      <c r="AI42">
        <f t="shared" si="3"/>
        <v>395.20333900000003</v>
      </c>
      <c r="AJ42">
        <f t="shared" si="3"/>
        <v>396.98809799999998</v>
      </c>
      <c r="AK42">
        <f t="shared" si="3"/>
        <v>398.77731299999999</v>
      </c>
    </row>
    <row r="43" spans="1:37" x14ac:dyDescent="0.25">
      <c r="A43" t="s">
        <v>1002</v>
      </c>
      <c r="B43">
        <f>C39</f>
        <v>21.8</v>
      </c>
      <c r="C43">
        <f>($C$39-$C$35)/5+B43</f>
        <v>21.900000000000002</v>
      </c>
      <c r="D43">
        <f t="shared" ref="D43:AK43" si="4">($C$39-$C$35)/5+C43</f>
        <v>22.000000000000004</v>
      </c>
      <c r="E43">
        <f t="shared" si="4"/>
        <v>22.100000000000005</v>
      </c>
      <c r="F43">
        <f t="shared" si="4"/>
        <v>22.200000000000006</v>
      </c>
      <c r="G43">
        <f t="shared" si="4"/>
        <v>22.300000000000008</v>
      </c>
      <c r="H43">
        <f t="shared" si="4"/>
        <v>22.400000000000009</v>
      </c>
      <c r="I43">
        <f t="shared" si="4"/>
        <v>22.500000000000011</v>
      </c>
      <c r="J43">
        <f t="shared" si="4"/>
        <v>22.600000000000012</v>
      </c>
      <c r="K43">
        <f t="shared" si="4"/>
        <v>22.700000000000014</v>
      </c>
      <c r="L43">
        <f t="shared" si="4"/>
        <v>22.800000000000015</v>
      </c>
      <c r="M43">
        <f t="shared" si="4"/>
        <v>22.900000000000016</v>
      </c>
      <c r="N43">
        <f t="shared" si="4"/>
        <v>23.000000000000018</v>
      </c>
      <c r="O43">
        <f t="shared" si="4"/>
        <v>23.100000000000019</v>
      </c>
      <c r="P43">
        <f t="shared" si="4"/>
        <v>23.200000000000021</v>
      </c>
      <c r="Q43">
        <f t="shared" si="4"/>
        <v>23.300000000000022</v>
      </c>
      <c r="R43">
        <f t="shared" si="4"/>
        <v>23.400000000000023</v>
      </c>
      <c r="S43">
        <f t="shared" si="4"/>
        <v>23.500000000000025</v>
      </c>
      <c r="T43">
        <f t="shared" si="4"/>
        <v>23.600000000000026</v>
      </c>
      <c r="U43">
        <f t="shared" si="4"/>
        <v>23.700000000000028</v>
      </c>
      <c r="V43">
        <f t="shared" si="4"/>
        <v>23.800000000000029</v>
      </c>
      <c r="W43">
        <f t="shared" si="4"/>
        <v>23.900000000000031</v>
      </c>
      <c r="X43">
        <f t="shared" si="4"/>
        <v>24.000000000000032</v>
      </c>
      <c r="Y43">
        <f t="shared" si="4"/>
        <v>24.100000000000033</v>
      </c>
      <c r="Z43">
        <f t="shared" si="4"/>
        <v>24.200000000000035</v>
      </c>
      <c r="AA43">
        <f t="shared" si="4"/>
        <v>24.300000000000036</v>
      </c>
      <c r="AB43">
        <f t="shared" si="4"/>
        <v>24.400000000000038</v>
      </c>
      <c r="AC43">
        <f t="shared" si="4"/>
        <v>24.500000000000039</v>
      </c>
      <c r="AD43">
        <f t="shared" si="4"/>
        <v>24.600000000000041</v>
      </c>
      <c r="AE43">
        <f t="shared" si="4"/>
        <v>24.700000000000042</v>
      </c>
      <c r="AF43">
        <f t="shared" si="4"/>
        <v>24.800000000000043</v>
      </c>
      <c r="AG43">
        <f t="shared" si="4"/>
        <v>24.900000000000045</v>
      </c>
      <c r="AH43">
        <f t="shared" si="4"/>
        <v>25.000000000000046</v>
      </c>
      <c r="AI43">
        <f t="shared" si="4"/>
        <v>25.100000000000048</v>
      </c>
      <c r="AJ43">
        <f t="shared" si="4"/>
        <v>25.200000000000049</v>
      </c>
      <c r="AK43">
        <f t="shared" si="4"/>
        <v>25.30000000000005</v>
      </c>
    </row>
    <row r="44" spans="1:37" x14ac:dyDescent="0.25">
      <c r="A44" t="s">
        <v>997</v>
      </c>
      <c r="B44">
        <f>D39</f>
        <v>81.400000000000006</v>
      </c>
      <c r="C44">
        <f>($D$39-$D$35)/5+B44</f>
        <v>81.56</v>
      </c>
      <c r="D44">
        <f t="shared" ref="D44:AK44" si="5">($D$39-$D$35)/5+C44</f>
        <v>81.72</v>
      </c>
      <c r="E44">
        <f t="shared" si="5"/>
        <v>81.88</v>
      </c>
      <c r="F44">
        <f t="shared" si="5"/>
        <v>82.039999999999992</v>
      </c>
      <c r="G44">
        <f t="shared" si="5"/>
        <v>82.199999999999989</v>
      </c>
      <c r="H44">
        <f t="shared" si="5"/>
        <v>82.359999999999985</v>
      </c>
      <c r="I44">
        <f t="shared" si="5"/>
        <v>82.519999999999982</v>
      </c>
      <c r="J44">
        <f t="shared" si="5"/>
        <v>82.679999999999978</v>
      </c>
      <c r="K44">
        <f t="shared" si="5"/>
        <v>82.839999999999975</v>
      </c>
      <c r="L44">
        <f t="shared" si="5"/>
        <v>82.999999999999972</v>
      </c>
      <c r="M44">
        <f t="shared" si="5"/>
        <v>83.159999999999968</v>
      </c>
      <c r="N44">
        <f t="shared" si="5"/>
        <v>83.319999999999965</v>
      </c>
      <c r="O44">
        <f t="shared" si="5"/>
        <v>83.479999999999961</v>
      </c>
      <c r="P44">
        <f t="shared" si="5"/>
        <v>83.639999999999958</v>
      </c>
      <c r="Q44">
        <f t="shared" si="5"/>
        <v>83.799999999999955</v>
      </c>
      <c r="R44">
        <f t="shared" si="5"/>
        <v>83.959999999999951</v>
      </c>
      <c r="S44">
        <f t="shared" si="5"/>
        <v>84.119999999999948</v>
      </c>
      <c r="T44">
        <f t="shared" si="5"/>
        <v>84.279999999999944</v>
      </c>
      <c r="U44">
        <f t="shared" si="5"/>
        <v>84.439999999999941</v>
      </c>
      <c r="V44">
        <f t="shared" si="5"/>
        <v>84.599999999999937</v>
      </c>
      <c r="W44">
        <f t="shared" si="5"/>
        <v>84.759999999999934</v>
      </c>
      <c r="X44">
        <f t="shared" si="5"/>
        <v>84.919999999999931</v>
      </c>
      <c r="Y44">
        <f t="shared" si="5"/>
        <v>85.079999999999927</v>
      </c>
      <c r="Z44">
        <f t="shared" si="5"/>
        <v>85.239999999999924</v>
      </c>
      <c r="AA44">
        <f t="shared" si="5"/>
        <v>85.39999999999992</v>
      </c>
      <c r="AB44">
        <f t="shared" si="5"/>
        <v>85.559999999999917</v>
      </c>
      <c r="AC44">
        <f t="shared" si="5"/>
        <v>85.719999999999914</v>
      </c>
      <c r="AD44">
        <f t="shared" si="5"/>
        <v>85.87999999999991</v>
      </c>
      <c r="AE44">
        <f t="shared" si="5"/>
        <v>86.039999999999907</v>
      </c>
      <c r="AF44">
        <f t="shared" si="5"/>
        <v>86.199999999999903</v>
      </c>
      <c r="AG44">
        <f t="shared" si="5"/>
        <v>86.3599999999999</v>
      </c>
      <c r="AH44">
        <f t="shared" si="5"/>
        <v>86.519999999999897</v>
      </c>
      <c r="AI44">
        <f t="shared" si="5"/>
        <v>86.679999999999893</v>
      </c>
      <c r="AJ44">
        <f t="shared" si="5"/>
        <v>86.83999999999989</v>
      </c>
      <c r="AK44">
        <f t="shared" si="5"/>
        <v>86.999999999999886</v>
      </c>
    </row>
    <row r="45" spans="1:37" x14ac:dyDescent="0.25">
      <c r="A45" t="s">
        <v>998</v>
      </c>
      <c r="B45">
        <f>F39</f>
        <v>34.9</v>
      </c>
      <c r="C45">
        <f>AVERAGE($F$35:$F$39)</f>
        <v>34.78</v>
      </c>
      <c r="D45">
        <f t="shared" ref="D45:AK45" si="6">AVERAGE($F$35:$F$39)</f>
        <v>34.78</v>
      </c>
      <c r="E45">
        <f t="shared" si="6"/>
        <v>34.78</v>
      </c>
      <c r="F45">
        <f t="shared" si="6"/>
        <v>34.78</v>
      </c>
      <c r="G45">
        <f t="shared" si="6"/>
        <v>34.78</v>
      </c>
      <c r="H45">
        <f t="shared" si="6"/>
        <v>34.78</v>
      </c>
      <c r="I45">
        <f t="shared" si="6"/>
        <v>34.78</v>
      </c>
      <c r="J45">
        <f t="shared" si="6"/>
        <v>34.78</v>
      </c>
      <c r="K45">
        <f t="shared" si="6"/>
        <v>34.78</v>
      </c>
      <c r="L45">
        <f t="shared" si="6"/>
        <v>34.78</v>
      </c>
      <c r="M45">
        <f t="shared" si="6"/>
        <v>34.78</v>
      </c>
      <c r="N45">
        <f t="shared" si="6"/>
        <v>34.78</v>
      </c>
      <c r="O45">
        <f t="shared" si="6"/>
        <v>34.78</v>
      </c>
      <c r="P45">
        <f t="shared" si="6"/>
        <v>34.78</v>
      </c>
      <c r="Q45">
        <f t="shared" si="6"/>
        <v>34.78</v>
      </c>
      <c r="R45">
        <f t="shared" si="6"/>
        <v>34.78</v>
      </c>
      <c r="S45">
        <f t="shared" si="6"/>
        <v>34.78</v>
      </c>
      <c r="T45">
        <f t="shared" si="6"/>
        <v>34.78</v>
      </c>
      <c r="U45">
        <f t="shared" si="6"/>
        <v>34.78</v>
      </c>
      <c r="V45">
        <f t="shared" si="6"/>
        <v>34.78</v>
      </c>
      <c r="W45">
        <f t="shared" si="6"/>
        <v>34.78</v>
      </c>
      <c r="X45">
        <f t="shared" si="6"/>
        <v>34.78</v>
      </c>
      <c r="Y45">
        <f t="shared" si="6"/>
        <v>34.78</v>
      </c>
      <c r="Z45">
        <f t="shared" si="6"/>
        <v>34.78</v>
      </c>
      <c r="AA45">
        <f t="shared" si="6"/>
        <v>34.78</v>
      </c>
      <c r="AB45">
        <f t="shared" si="6"/>
        <v>34.78</v>
      </c>
      <c r="AC45">
        <f t="shared" si="6"/>
        <v>34.78</v>
      </c>
      <c r="AD45">
        <f t="shared" si="6"/>
        <v>34.78</v>
      </c>
      <c r="AE45">
        <f t="shared" si="6"/>
        <v>34.78</v>
      </c>
      <c r="AF45">
        <f t="shared" si="6"/>
        <v>34.78</v>
      </c>
      <c r="AG45">
        <f t="shared" si="6"/>
        <v>34.78</v>
      </c>
      <c r="AH45">
        <f t="shared" si="6"/>
        <v>34.78</v>
      </c>
      <c r="AI45">
        <f t="shared" si="6"/>
        <v>34.78</v>
      </c>
      <c r="AJ45">
        <f t="shared" si="6"/>
        <v>34.78</v>
      </c>
      <c r="AK45">
        <f t="shared" si="6"/>
        <v>34.78</v>
      </c>
    </row>
    <row r="46" spans="1:37" x14ac:dyDescent="0.25">
      <c r="A46" t="s">
        <v>1006</v>
      </c>
      <c r="B46">
        <f>'Waste - Water Treatment'!B12*CH4</f>
        <v>0</v>
      </c>
      <c r="C46">
        <f>B46</f>
        <v>0</v>
      </c>
      <c r="D46">
        <f t="shared" ref="D46:AK46" si="7">C46</f>
        <v>0</v>
      </c>
      <c r="E46">
        <f t="shared" si="7"/>
        <v>0</v>
      </c>
      <c r="F46">
        <f t="shared" si="7"/>
        <v>0</v>
      </c>
      <c r="G46">
        <f t="shared" si="7"/>
        <v>0</v>
      </c>
      <c r="H46">
        <f t="shared" si="7"/>
        <v>0</v>
      </c>
      <c r="I46">
        <f t="shared" si="7"/>
        <v>0</v>
      </c>
      <c r="J46">
        <f t="shared" si="7"/>
        <v>0</v>
      </c>
      <c r="K46">
        <f t="shared" si="7"/>
        <v>0</v>
      </c>
      <c r="L46">
        <f t="shared" si="7"/>
        <v>0</v>
      </c>
      <c r="M46">
        <f t="shared" si="7"/>
        <v>0</v>
      </c>
      <c r="N46">
        <f t="shared" si="7"/>
        <v>0</v>
      </c>
      <c r="O46">
        <f t="shared" si="7"/>
        <v>0</v>
      </c>
      <c r="P46">
        <f t="shared" si="7"/>
        <v>0</v>
      </c>
      <c r="Q46">
        <f t="shared" si="7"/>
        <v>0</v>
      </c>
      <c r="R46">
        <f t="shared" si="7"/>
        <v>0</v>
      </c>
      <c r="S46">
        <f t="shared" si="7"/>
        <v>0</v>
      </c>
      <c r="T46">
        <f t="shared" si="7"/>
        <v>0</v>
      </c>
      <c r="U46">
        <f t="shared" si="7"/>
        <v>0</v>
      </c>
      <c r="V46">
        <f t="shared" si="7"/>
        <v>0</v>
      </c>
      <c r="W46">
        <f t="shared" si="7"/>
        <v>0</v>
      </c>
      <c r="X46">
        <f t="shared" si="7"/>
        <v>0</v>
      </c>
      <c r="Y46">
        <f t="shared" si="7"/>
        <v>0</v>
      </c>
      <c r="Z46">
        <f t="shared" si="7"/>
        <v>0</v>
      </c>
      <c r="AA46">
        <f t="shared" si="7"/>
        <v>0</v>
      </c>
      <c r="AB46">
        <f t="shared" si="7"/>
        <v>0</v>
      </c>
      <c r="AC46">
        <f t="shared" si="7"/>
        <v>0</v>
      </c>
      <c r="AD46">
        <f t="shared" si="7"/>
        <v>0</v>
      </c>
      <c r="AE46">
        <f t="shared" si="7"/>
        <v>0</v>
      </c>
      <c r="AF46">
        <f t="shared" si="7"/>
        <v>0</v>
      </c>
      <c r="AG46">
        <f t="shared" si="7"/>
        <v>0</v>
      </c>
      <c r="AH46">
        <f t="shared" si="7"/>
        <v>0</v>
      </c>
      <c r="AI46">
        <f t="shared" si="7"/>
        <v>0</v>
      </c>
      <c r="AJ46">
        <f t="shared" si="7"/>
        <v>0</v>
      </c>
      <c r="AK46">
        <f t="shared" si="7"/>
        <v>0</v>
      </c>
    </row>
    <row r="48" spans="1:37" x14ac:dyDescent="0.25">
      <c r="A48" s="56" t="s">
        <v>966</v>
      </c>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row>
    <row r="49" spans="1:37" x14ac:dyDescent="0.25">
      <c r="B49">
        <v>2015</v>
      </c>
      <c r="C49">
        <v>2016</v>
      </c>
      <c r="D49">
        <v>2017</v>
      </c>
      <c r="E49">
        <v>2018</v>
      </c>
      <c r="F49">
        <v>2019</v>
      </c>
      <c r="G49">
        <v>2020</v>
      </c>
      <c r="H49">
        <v>2021</v>
      </c>
      <c r="I49">
        <v>2022</v>
      </c>
      <c r="J49">
        <v>2023</v>
      </c>
      <c r="K49">
        <v>2024</v>
      </c>
      <c r="L49">
        <v>2025</v>
      </c>
      <c r="M49">
        <v>2026</v>
      </c>
      <c r="N49">
        <v>2027</v>
      </c>
      <c r="O49">
        <v>2028</v>
      </c>
      <c r="P49">
        <v>2029</v>
      </c>
      <c r="Q49">
        <v>2030</v>
      </c>
      <c r="R49">
        <v>2031</v>
      </c>
      <c r="S49">
        <v>2032</v>
      </c>
      <c r="T49">
        <v>2033</v>
      </c>
      <c r="U49">
        <v>2034</v>
      </c>
      <c r="V49">
        <v>2035</v>
      </c>
      <c r="W49">
        <v>2036</v>
      </c>
      <c r="X49">
        <v>2037</v>
      </c>
      <c r="Y49">
        <v>2038</v>
      </c>
      <c r="Z49">
        <v>2039</v>
      </c>
      <c r="AA49">
        <v>2040</v>
      </c>
      <c r="AB49">
        <v>2041</v>
      </c>
      <c r="AC49">
        <v>2042</v>
      </c>
      <c r="AD49">
        <v>2043</v>
      </c>
      <c r="AE49">
        <v>2044</v>
      </c>
      <c r="AF49">
        <v>2045</v>
      </c>
      <c r="AG49">
        <v>2046</v>
      </c>
      <c r="AH49">
        <v>2047</v>
      </c>
      <c r="AI49">
        <v>2048</v>
      </c>
      <c r="AJ49">
        <v>2049</v>
      </c>
      <c r="AK49">
        <v>2050</v>
      </c>
    </row>
    <row r="50" spans="1:37" x14ac:dyDescent="0.25">
      <c r="A50" t="s">
        <v>941</v>
      </c>
      <c r="B50">
        <f>(((((B42*10^6*B44/100)-(0.9*B43*10^6))*B45*$B$27*$B$28*$B$29)-B46*10^6)*$B$30*44/28)*(1/10^6)</f>
        <v>16.119193200000002</v>
      </c>
      <c r="C50">
        <f t="shared" ref="C50:AK50" si="8">(((((C42*10^6*C44/100)-(0.9*C43*10^6))*C45*$B$27*$B$28*$B$29)-C46*10^6)*$B$30*44/28)*(1/10^6)</f>
        <v>16.064877337095083</v>
      </c>
      <c r="D50">
        <f t="shared" si="8"/>
        <v>16.235143676917954</v>
      </c>
      <c r="E50">
        <f t="shared" si="8"/>
        <v>16.4048225822117</v>
      </c>
      <c r="F50">
        <f t="shared" si="8"/>
        <v>16.574854871483339</v>
      </c>
      <c r="G50">
        <f t="shared" si="8"/>
        <v>16.744958021015812</v>
      </c>
      <c r="H50">
        <f t="shared" si="8"/>
        <v>16.914844021472014</v>
      </c>
      <c r="I50">
        <f t="shared" si="8"/>
        <v>17.084361413146425</v>
      </c>
      <c r="J50">
        <f t="shared" si="8"/>
        <v>17.253331188343655</v>
      </c>
      <c r="K50">
        <f t="shared" si="8"/>
        <v>17.421600975252488</v>
      </c>
      <c r="L50">
        <f t="shared" si="8"/>
        <v>17.588946126368562</v>
      </c>
      <c r="M50">
        <f t="shared" si="8"/>
        <v>17.755316483460106</v>
      </c>
      <c r="N50">
        <f t="shared" si="8"/>
        <v>17.920206424479222</v>
      </c>
      <c r="O50">
        <f t="shared" si="8"/>
        <v>18.083449029203518</v>
      </c>
      <c r="P50">
        <f t="shared" si="8"/>
        <v>18.244849471588161</v>
      </c>
      <c r="Q50">
        <f t="shared" si="8"/>
        <v>18.404254948612735</v>
      </c>
      <c r="R50">
        <f t="shared" si="8"/>
        <v>18.561560491177399</v>
      </c>
      <c r="S50">
        <f t="shared" si="8"/>
        <v>18.716705843955282</v>
      </c>
      <c r="T50">
        <f t="shared" si="8"/>
        <v>18.869667550656139</v>
      </c>
      <c r="U50">
        <f t="shared" si="8"/>
        <v>19.020454100883221</v>
      </c>
      <c r="V50">
        <f t="shared" si="8"/>
        <v>19.169142021243818</v>
      </c>
      <c r="W50">
        <f t="shared" si="8"/>
        <v>19.315991643856179</v>
      </c>
      <c r="X50">
        <f t="shared" si="8"/>
        <v>19.461063147443731</v>
      </c>
      <c r="Y50">
        <f t="shared" si="8"/>
        <v>19.604453140732051</v>
      </c>
      <c r="Z50">
        <f t="shared" si="8"/>
        <v>19.746296397438236</v>
      </c>
      <c r="AA50">
        <f t="shared" si="8"/>
        <v>19.886763070214055</v>
      </c>
      <c r="AB50">
        <f t="shared" si="8"/>
        <v>20.026036622006121</v>
      </c>
      <c r="AC50">
        <f t="shared" si="8"/>
        <v>20.164324394655726</v>
      </c>
      <c r="AD50">
        <f t="shared" si="8"/>
        <v>20.301823122341862</v>
      </c>
      <c r="AE50">
        <f t="shared" si="8"/>
        <v>20.438772482138923</v>
      </c>
      <c r="AF50">
        <f t="shared" si="8"/>
        <v>20.575410590824518</v>
      </c>
      <c r="AG50">
        <f t="shared" si="8"/>
        <v>20.712041260921918</v>
      </c>
      <c r="AH50">
        <f t="shared" si="8"/>
        <v>20.848658832013534</v>
      </c>
      <c r="AI50">
        <f t="shared" si="8"/>
        <v>20.985426004993442</v>
      </c>
      <c r="AJ50">
        <f t="shared" si="8"/>
        <v>21.12264390053452</v>
      </c>
      <c r="AK50">
        <f t="shared" si="8"/>
        <v>21.260490623067358</v>
      </c>
    </row>
    <row r="52" spans="1:37" x14ac:dyDescent="0.25">
      <c r="A52" s="74" t="s">
        <v>1004</v>
      </c>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row>
    <row r="53" spans="1:37" x14ac:dyDescent="0.25">
      <c r="A53" s="56" t="s">
        <v>982</v>
      </c>
      <c r="B53" s="56"/>
      <c r="C53" s="56"/>
      <c r="D53" s="56"/>
      <c r="E53" s="56"/>
      <c r="F53" s="56"/>
      <c r="G53" s="59"/>
    </row>
    <row r="54" spans="1:37" x14ac:dyDescent="0.25">
      <c r="A54" t="s">
        <v>1001</v>
      </c>
      <c r="B54">
        <v>1.25</v>
      </c>
    </row>
    <row r="55" spans="1:37" x14ac:dyDescent="0.25">
      <c r="A55" t="s">
        <v>1007</v>
      </c>
      <c r="B55">
        <v>7</v>
      </c>
    </row>
    <row r="56" spans="1:37" x14ac:dyDescent="0.25">
      <c r="A56" t="s">
        <v>1008</v>
      </c>
      <c r="B56">
        <v>3.2</v>
      </c>
    </row>
    <row r="58" spans="1:37" x14ac:dyDescent="0.25">
      <c r="A58" s="56" t="s">
        <v>990</v>
      </c>
      <c r="B58" s="56"/>
      <c r="C58" s="56"/>
      <c r="D58" s="56"/>
      <c r="E58" s="56"/>
      <c r="F58" s="56"/>
      <c r="G58" s="59"/>
    </row>
    <row r="59" spans="1:37" x14ac:dyDescent="0.25">
      <c r="A59" t="s">
        <v>284</v>
      </c>
      <c r="B59" t="s">
        <v>984</v>
      </c>
      <c r="C59" t="s">
        <v>991</v>
      </c>
      <c r="D59" t="s">
        <v>992</v>
      </c>
      <c r="E59" t="s">
        <v>993</v>
      </c>
      <c r="F59" t="s">
        <v>1005</v>
      </c>
      <c r="G59" t="s">
        <v>995</v>
      </c>
    </row>
    <row r="60" spans="1:37" x14ac:dyDescent="0.25">
      <c r="A60">
        <v>2011</v>
      </c>
      <c r="B60">
        <v>316</v>
      </c>
      <c r="C60">
        <v>21.3</v>
      </c>
      <c r="D60">
        <v>80.599999999999994</v>
      </c>
      <c r="E60">
        <v>45</v>
      </c>
      <c r="F60">
        <v>34.700000000000003</v>
      </c>
      <c r="G60">
        <v>279.5</v>
      </c>
    </row>
    <row r="61" spans="1:37" x14ac:dyDescent="0.25">
      <c r="A61">
        <v>2012</v>
      </c>
      <c r="B61">
        <v>318</v>
      </c>
      <c r="C61">
        <v>21.3</v>
      </c>
      <c r="D61">
        <v>81</v>
      </c>
      <c r="E61">
        <v>45.1</v>
      </c>
      <c r="F61">
        <v>34.700000000000003</v>
      </c>
      <c r="G61">
        <v>282.60000000000002</v>
      </c>
    </row>
    <row r="62" spans="1:37" x14ac:dyDescent="0.25">
      <c r="A62">
        <v>2013</v>
      </c>
      <c r="B62">
        <v>321</v>
      </c>
      <c r="C62">
        <v>19.8</v>
      </c>
      <c r="D62">
        <v>81.400000000000006</v>
      </c>
      <c r="E62">
        <v>45.1</v>
      </c>
      <c r="F62">
        <v>34.799999999999997</v>
      </c>
      <c r="G62">
        <v>285.60000000000002</v>
      </c>
    </row>
    <row r="63" spans="1:37" x14ac:dyDescent="0.25">
      <c r="A63">
        <v>2014</v>
      </c>
      <c r="B63">
        <v>323</v>
      </c>
      <c r="C63">
        <v>20.8</v>
      </c>
      <c r="D63">
        <v>81.099999999999994</v>
      </c>
      <c r="E63">
        <v>45.2</v>
      </c>
      <c r="F63">
        <v>34.799999999999997</v>
      </c>
      <c r="G63">
        <v>288.7</v>
      </c>
    </row>
    <row r="64" spans="1:37" x14ac:dyDescent="0.25">
      <c r="A64">
        <v>2015</v>
      </c>
      <c r="B64">
        <v>325</v>
      </c>
      <c r="C64">
        <v>21.8</v>
      </c>
      <c r="D64">
        <v>81.400000000000006</v>
      </c>
      <c r="E64">
        <v>45.2</v>
      </c>
      <c r="F64">
        <v>34.9</v>
      </c>
      <c r="G64">
        <v>291.8</v>
      </c>
    </row>
    <row r="66" spans="1:37" x14ac:dyDescent="0.25">
      <c r="A66" t="s">
        <v>996</v>
      </c>
      <c r="B66">
        <v>2015</v>
      </c>
      <c r="C66">
        <v>2016</v>
      </c>
      <c r="D66">
        <v>2017</v>
      </c>
      <c r="E66">
        <v>2018</v>
      </c>
      <c r="F66">
        <v>2019</v>
      </c>
      <c r="G66">
        <v>2020</v>
      </c>
      <c r="H66">
        <v>2021</v>
      </c>
      <c r="I66">
        <v>2022</v>
      </c>
      <c r="J66">
        <v>2023</v>
      </c>
      <c r="K66">
        <v>2024</v>
      </c>
      <c r="L66">
        <v>2025</v>
      </c>
      <c r="M66">
        <v>2026</v>
      </c>
      <c r="N66">
        <v>2027</v>
      </c>
      <c r="O66">
        <v>2028</v>
      </c>
      <c r="P66">
        <v>2029</v>
      </c>
      <c r="Q66">
        <v>2030</v>
      </c>
      <c r="R66">
        <v>2031</v>
      </c>
      <c r="S66">
        <v>2032</v>
      </c>
      <c r="T66">
        <v>2033</v>
      </c>
      <c r="U66">
        <v>2034</v>
      </c>
      <c r="V66">
        <v>2035</v>
      </c>
      <c r="W66">
        <v>2036</v>
      </c>
      <c r="X66">
        <v>2037</v>
      </c>
      <c r="Y66">
        <v>2038</v>
      </c>
      <c r="Z66">
        <v>2039</v>
      </c>
      <c r="AA66">
        <v>2040</v>
      </c>
      <c r="AB66">
        <v>2041</v>
      </c>
      <c r="AC66">
        <v>2042</v>
      </c>
      <c r="AD66">
        <v>2043</v>
      </c>
      <c r="AE66">
        <v>2044</v>
      </c>
      <c r="AF66">
        <v>2045</v>
      </c>
      <c r="AG66">
        <v>2046</v>
      </c>
      <c r="AH66">
        <v>2047</v>
      </c>
      <c r="AI66">
        <v>2048</v>
      </c>
      <c r="AJ66">
        <v>2049</v>
      </c>
      <c r="AK66">
        <v>2050</v>
      </c>
    </row>
    <row r="67" spans="1:37" x14ac:dyDescent="0.25">
      <c r="A67" t="s">
        <v>985</v>
      </c>
      <c r="B67" s="2">
        <f t="shared" ref="B67:AK67" si="9">B3/10^6</f>
        <v>321.97769199999999</v>
      </c>
      <c r="C67" s="2">
        <f t="shared" si="9"/>
        <v>324.49349999999998</v>
      </c>
      <c r="D67" s="2">
        <f t="shared" si="9"/>
        <v>327.14514200000002</v>
      </c>
      <c r="E67" s="2">
        <f t="shared" si="9"/>
        <v>329.77548200000001</v>
      </c>
      <c r="F67" s="2">
        <f t="shared" si="9"/>
        <v>332.40213</v>
      </c>
      <c r="G67" s="2">
        <f t="shared" si="9"/>
        <v>335.01986699999998</v>
      </c>
      <c r="H67" s="2">
        <f t="shared" si="9"/>
        <v>337.62341300000003</v>
      </c>
      <c r="I67" s="2">
        <f t="shared" si="9"/>
        <v>340.21005200000002</v>
      </c>
      <c r="J67" s="2">
        <f t="shared" si="9"/>
        <v>342.77658100000002</v>
      </c>
      <c r="K67" s="2">
        <f t="shared" si="9"/>
        <v>345.320312</v>
      </c>
      <c r="L67" s="2">
        <f t="shared" si="9"/>
        <v>347.83724999999998</v>
      </c>
      <c r="M67" s="2">
        <f t="shared" si="9"/>
        <v>350.32663000000002</v>
      </c>
      <c r="N67" s="2">
        <f t="shared" si="9"/>
        <v>352.779358</v>
      </c>
      <c r="O67" s="2">
        <f t="shared" si="9"/>
        <v>355.19259599999998</v>
      </c>
      <c r="P67" s="2">
        <f t="shared" si="9"/>
        <v>357.563019</v>
      </c>
      <c r="Q67" s="2">
        <f t="shared" si="9"/>
        <v>359.88809199999997</v>
      </c>
      <c r="R67" s="2">
        <f t="shared" si="9"/>
        <v>362.16616800000003</v>
      </c>
      <c r="S67" s="2">
        <f t="shared" si="9"/>
        <v>364.39642300000003</v>
      </c>
      <c r="T67" s="2">
        <f t="shared" si="9"/>
        <v>366.57870500000001</v>
      </c>
      <c r="U67" s="2">
        <f t="shared" si="9"/>
        <v>368.71343999999999</v>
      </c>
      <c r="V67" s="2">
        <f t="shared" si="9"/>
        <v>370.802277</v>
      </c>
      <c r="W67" s="2">
        <f t="shared" si="9"/>
        <v>372.85015900000002</v>
      </c>
      <c r="X67" s="2">
        <f t="shared" si="9"/>
        <v>374.85839800000002</v>
      </c>
      <c r="Y67" s="2">
        <f t="shared" si="9"/>
        <v>376.82894900000002</v>
      </c>
      <c r="Z67" s="2">
        <f t="shared" si="9"/>
        <v>378.76443499999999</v>
      </c>
      <c r="AA67" s="2">
        <f t="shared" si="9"/>
        <v>380.668091</v>
      </c>
      <c r="AB67" s="2">
        <f t="shared" si="9"/>
        <v>382.54336499999999</v>
      </c>
      <c r="AC67" s="2">
        <f t="shared" si="9"/>
        <v>384.39410400000003</v>
      </c>
      <c r="AD67" s="2">
        <f t="shared" si="9"/>
        <v>386.22393799999998</v>
      </c>
      <c r="AE67" s="2">
        <f t="shared" si="9"/>
        <v>388.03723100000002</v>
      </c>
      <c r="AF67" s="2">
        <f t="shared" si="9"/>
        <v>389.83828699999998</v>
      </c>
      <c r="AG67" s="2">
        <f t="shared" si="9"/>
        <v>391.63253800000001</v>
      </c>
      <c r="AH67" s="2">
        <f t="shared" si="9"/>
        <v>393.41992199999999</v>
      </c>
      <c r="AI67" s="2">
        <f t="shared" si="9"/>
        <v>395.20333900000003</v>
      </c>
      <c r="AJ67" s="2">
        <f t="shared" si="9"/>
        <v>396.98809799999998</v>
      </c>
      <c r="AK67" s="2">
        <f t="shared" si="9"/>
        <v>398.77731299999999</v>
      </c>
    </row>
    <row r="68" spans="1:37" x14ac:dyDescent="0.25">
      <c r="A68" t="s">
        <v>1002</v>
      </c>
      <c r="B68">
        <f>C64</f>
        <v>21.8</v>
      </c>
      <c r="C68">
        <f>($C$39-$C$35)/5+B68</f>
        <v>21.900000000000002</v>
      </c>
      <c r="D68">
        <f t="shared" ref="D68" si="10">($C$39-$C$35)/5+C68</f>
        <v>22.000000000000004</v>
      </c>
      <c r="E68">
        <f t="shared" ref="E68" si="11">($C$39-$C$35)/5+D68</f>
        <v>22.100000000000005</v>
      </c>
      <c r="F68">
        <f t="shared" ref="F68" si="12">($C$39-$C$35)/5+E68</f>
        <v>22.200000000000006</v>
      </c>
      <c r="G68">
        <f t="shared" ref="G68" si="13">($C$39-$C$35)/5+F68</f>
        <v>22.300000000000008</v>
      </c>
      <c r="H68">
        <f t="shared" ref="H68" si="14">($C$39-$C$35)/5+G68</f>
        <v>22.400000000000009</v>
      </c>
      <c r="I68">
        <f t="shared" ref="I68" si="15">($C$39-$C$35)/5+H68</f>
        <v>22.500000000000011</v>
      </c>
      <c r="J68">
        <f t="shared" ref="J68" si="16">($C$39-$C$35)/5+I68</f>
        <v>22.600000000000012</v>
      </c>
      <c r="K68">
        <f t="shared" ref="K68" si="17">($C$39-$C$35)/5+J68</f>
        <v>22.700000000000014</v>
      </c>
      <c r="L68">
        <f t="shared" ref="L68" si="18">($C$39-$C$35)/5+K68</f>
        <v>22.800000000000015</v>
      </c>
      <c r="M68">
        <f t="shared" ref="M68" si="19">($C$39-$C$35)/5+L68</f>
        <v>22.900000000000016</v>
      </c>
      <c r="N68">
        <f t="shared" ref="N68" si="20">($C$39-$C$35)/5+M68</f>
        <v>23.000000000000018</v>
      </c>
      <c r="O68">
        <f t="shared" ref="O68" si="21">($C$39-$C$35)/5+N68</f>
        <v>23.100000000000019</v>
      </c>
      <c r="P68">
        <f t="shared" ref="P68" si="22">($C$39-$C$35)/5+O68</f>
        <v>23.200000000000021</v>
      </c>
      <c r="Q68">
        <f t="shared" ref="Q68" si="23">($C$39-$C$35)/5+P68</f>
        <v>23.300000000000022</v>
      </c>
      <c r="R68">
        <f t="shared" ref="R68" si="24">($C$39-$C$35)/5+Q68</f>
        <v>23.400000000000023</v>
      </c>
      <c r="S68">
        <f t="shared" ref="S68" si="25">($C$39-$C$35)/5+R68</f>
        <v>23.500000000000025</v>
      </c>
      <c r="T68">
        <f t="shared" ref="T68" si="26">($C$39-$C$35)/5+S68</f>
        <v>23.600000000000026</v>
      </c>
      <c r="U68">
        <f t="shared" ref="U68" si="27">($C$39-$C$35)/5+T68</f>
        <v>23.700000000000028</v>
      </c>
      <c r="V68">
        <f t="shared" ref="V68" si="28">($C$39-$C$35)/5+U68</f>
        <v>23.800000000000029</v>
      </c>
      <c r="W68">
        <f t="shared" ref="W68" si="29">($C$39-$C$35)/5+V68</f>
        <v>23.900000000000031</v>
      </c>
      <c r="X68">
        <f t="shared" ref="X68" si="30">($C$39-$C$35)/5+W68</f>
        <v>24.000000000000032</v>
      </c>
      <c r="Y68">
        <f t="shared" ref="Y68" si="31">($C$39-$C$35)/5+X68</f>
        <v>24.100000000000033</v>
      </c>
      <c r="Z68">
        <f t="shared" ref="Z68" si="32">($C$39-$C$35)/5+Y68</f>
        <v>24.200000000000035</v>
      </c>
      <c r="AA68">
        <f t="shared" ref="AA68" si="33">($C$39-$C$35)/5+Z68</f>
        <v>24.300000000000036</v>
      </c>
      <c r="AB68">
        <f t="shared" ref="AB68" si="34">($C$39-$C$35)/5+AA68</f>
        <v>24.400000000000038</v>
      </c>
      <c r="AC68">
        <f t="shared" ref="AC68" si="35">($C$39-$C$35)/5+AB68</f>
        <v>24.500000000000039</v>
      </c>
      <c r="AD68">
        <f t="shared" ref="AD68" si="36">($C$39-$C$35)/5+AC68</f>
        <v>24.600000000000041</v>
      </c>
      <c r="AE68">
        <f t="shared" ref="AE68" si="37">($C$39-$C$35)/5+AD68</f>
        <v>24.700000000000042</v>
      </c>
      <c r="AF68">
        <f t="shared" ref="AF68" si="38">($C$39-$C$35)/5+AE68</f>
        <v>24.800000000000043</v>
      </c>
      <c r="AG68">
        <f t="shared" ref="AG68" si="39">($C$39-$C$35)/5+AF68</f>
        <v>24.900000000000045</v>
      </c>
      <c r="AH68">
        <f t="shared" ref="AH68" si="40">($C$39-$C$35)/5+AG68</f>
        <v>25.000000000000046</v>
      </c>
      <c r="AI68">
        <f t="shared" ref="AI68" si="41">($C$39-$C$35)/5+AH68</f>
        <v>25.100000000000048</v>
      </c>
      <c r="AJ68">
        <f t="shared" ref="AJ68" si="42">($C$39-$C$35)/5+AI68</f>
        <v>25.200000000000049</v>
      </c>
      <c r="AK68">
        <f t="shared" ref="AK68" si="43">($C$39-$C$35)/5+AJ68</f>
        <v>25.30000000000005</v>
      </c>
    </row>
    <row r="69" spans="1:37" x14ac:dyDescent="0.25">
      <c r="A69" t="s">
        <v>997</v>
      </c>
      <c r="B69">
        <f>D64</f>
        <v>81.400000000000006</v>
      </c>
      <c r="C69">
        <f>($D$39-$D$35)/5+B69</f>
        <v>81.56</v>
      </c>
      <c r="D69">
        <f t="shared" ref="D69" si="44">($D$39-$D$35)/5+C69</f>
        <v>81.72</v>
      </c>
      <c r="E69">
        <f t="shared" ref="E69" si="45">($D$39-$D$35)/5+D69</f>
        <v>81.88</v>
      </c>
      <c r="F69">
        <f t="shared" ref="F69" si="46">($D$39-$D$35)/5+E69</f>
        <v>82.039999999999992</v>
      </c>
      <c r="G69">
        <f t="shared" ref="G69" si="47">($D$39-$D$35)/5+F69</f>
        <v>82.199999999999989</v>
      </c>
      <c r="H69">
        <f t="shared" ref="H69" si="48">($D$39-$D$35)/5+G69</f>
        <v>82.359999999999985</v>
      </c>
      <c r="I69">
        <f t="shared" ref="I69" si="49">($D$39-$D$35)/5+H69</f>
        <v>82.519999999999982</v>
      </c>
      <c r="J69">
        <f t="shared" ref="J69" si="50">($D$39-$D$35)/5+I69</f>
        <v>82.679999999999978</v>
      </c>
      <c r="K69">
        <f t="shared" ref="K69" si="51">($D$39-$D$35)/5+J69</f>
        <v>82.839999999999975</v>
      </c>
      <c r="L69">
        <f t="shared" ref="L69" si="52">($D$39-$D$35)/5+K69</f>
        <v>82.999999999999972</v>
      </c>
      <c r="M69">
        <f t="shared" ref="M69" si="53">($D$39-$D$35)/5+L69</f>
        <v>83.159999999999968</v>
      </c>
      <c r="N69">
        <f t="shared" ref="N69" si="54">($D$39-$D$35)/5+M69</f>
        <v>83.319999999999965</v>
      </c>
      <c r="O69">
        <f t="shared" ref="O69" si="55">($D$39-$D$35)/5+N69</f>
        <v>83.479999999999961</v>
      </c>
      <c r="P69">
        <f t="shared" ref="P69" si="56">($D$39-$D$35)/5+O69</f>
        <v>83.639999999999958</v>
      </c>
      <c r="Q69">
        <f t="shared" ref="Q69" si="57">($D$39-$D$35)/5+P69</f>
        <v>83.799999999999955</v>
      </c>
      <c r="R69">
        <f t="shared" ref="R69" si="58">($D$39-$D$35)/5+Q69</f>
        <v>83.959999999999951</v>
      </c>
      <c r="S69">
        <f t="shared" ref="S69" si="59">($D$39-$D$35)/5+R69</f>
        <v>84.119999999999948</v>
      </c>
      <c r="T69">
        <f t="shared" ref="T69" si="60">($D$39-$D$35)/5+S69</f>
        <v>84.279999999999944</v>
      </c>
      <c r="U69">
        <f t="shared" ref="U69" si="61">($D$39-$D$35)/5+T69</f>
        <v>84.439999999999941</v>
      </c>
      <c r="V69">
        <f t="shared" ref="V69" si="62">($D$39-$D$35)/5+U69</f>
        <v>84.599999999999937</v>
      </c>
      <c r="W69">
        <f t="shared" ref="W69" si="63">($D$39-$D$35)/5+V69</f>
        <v>84.759999999999934</v>
      </c>
      <c r="X69">
        <f t="shared" ref="X69" si="64">($D$39-$D$35)/5+W69</f>
        <v>84.919999999999931</v>
      </c>
      <c r="Y69">
        <f t="shared" ref="Y69" si="65">($D$39-$D$35)/5+X69</f>
        <v>85.079999999999927</v>
      </c>
      <c r="Z69">
        <f t="shared" ref="Z69" si="66">($D$39-$D$35)/5+Y69</f>
        <v>85.239999999999924</v>
      </c>
      <c r="AA69">
        <f t="shared" ref="AA69" si="67">($D$39-$D$35)/5+Z69</f>
        <v>85.39999999999992</v>
      </c>
      <c r="AB69">
        <f t="shared" ref="AB69" si="68">($D$39-$D$35)/5+AA69</f>
        <v>85.559999999999917</v>
      </c>
      <c r="AC69">
        <f t="shared" ref="AC69" si="69">($D$39-$D$35)/5+AB69</f>
        <v>85.719999999999914</v>
      </c>
      <c r="AD69">
        <f t="shared" ref="AD69" si="70">($D$39-$D$35)/5+AC69</f>
        <v>85.87999999999991</v>
      </c>
      <c r="AE69">
        <f t="shared" ref="AE69" si="71">($D$39-$D$35)/5+AD69</f>
        <v>86.039999999999907</v>
      </c>
      <c r="AF69">
        <f t="shared" ref="AF69" si="72">($D$39-$D$35)/5+AE69</f>
        <v>86.199999999999903</v>
      </c>
      <c r="AG69">
        <f t="shared" ref="AG69" si="73">($D$39-$D$35)/5+AF69</f>
        <v>86.3599999999999</v>
      </c>
      <c r="AH69">
        <f t="shared" ref="AH69" si="74">($D$39-$D$35)/5+AG69</f>
        <v>86.519999999999897</v>
      </c>
      <c r="AI69">
        <f t="shared" ref="AI69" si="75">($D$39-$D$35)/5+AH69</f>
        <v>86.679999999999893</v>
      </c>
      <c r="AJ69">
        <f t="shared" ref="AJ69" si="76">($D$39-$D$35)/5+AI69</f>
        <v>86.83999999999989</v>
      </c>
      <c r="AK69">
        <f t="shared" ref="AK69" si="77">($D$39-$D$35)/5+AJ69</f>
        <v>86.999999999999886</v>
      </c>
    </row>
    <row r="71" spans="1:37" x14ac:dyDescent="0.25">
      <c r="A71" s="56" t="s">
        <v>966</v>
      </c>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row>
    <row r="72" spans="1:37" x14ac:dyDescent="0.25">
      <c r="B72">
        <v>2015</v>
      </c>
      <c r="C72">
        <v>2016</v>
      </c>
      <c r="D72">
        <v>2017</v>
      </c>
      <c r="E72">
        <v>2018</v>
      </c>
      <c r="F72">
        <v>2019</v>
      </c>
      <c r="G72">
        <v>2020</v>
      </c>
      <c r="H72">
        <v>2021</v>
      </c>
      <c r="I72">
        <v>2022</v>
      </c>
      <c r="J72">
        <v>2023</v>
      </c>
      <c r="K72">
        <v>2024</v>
      </c>
      <c r="L72">
        <v>2025</v>
      </c>
      <c r="M72">
        <v>2026</v>
      </c>
      <c r="N72">
        <v>2027</v>
      </c>
      <c r="O72">
        <v>2028</v>
      </c>
      <c r="P72">
        <v>2029</v>
      </c>
      <c r="Q72">
        <v>2030</v>
      </c>
      <c r="R72">
        <v>2031</v>
      </c>
      <c r="S72">
        <v>2032</v>
      </c>
      <c r="T72">
        <v>2033</v>
      </c>
      <c r="U72">
        <v>2034</v>
      </c>
      <c r="V72">
        <v>2035</v>
      </c>
      <c r="W72">
        <v>2036</v>
      </c>
      <c r="X72">
        <v>2037</v>
      </c>
      <c r="Y72">
        <v>2038</v>
      </c>
      <c r="Z72">
        <v>2039</v>
      </c>
      <c r="AA72">
        <v>2040</v>
      </c>
      <c r="AB72">
        <v>2041</v>
      </c>
      <c r="AC72">
        <v>2042</v>
      </c>
      <c r="AD72">
        <v>2043</v>
      </c>
      <c r="AE72">
        <v>2044</v>
      </c>
      <c r="AF72">
        <v>2045</v>
      </c>
      <c r="AG72">
        <v>2046</v>
      </c>
      <c r="AH72">
        <v>2047</v>
      </c>
      <c r="AI72">
        <v>2048</v>
      </c>
      <c r="AJ72">
        <v>2049</v>
      </c>
      <c r="AK72">
        <v>2050</v>
      </c>
    </row>
    <row r="73" spans="1:37" x14ac:dyDescent="0.25">
      <c r="A73" t="s">
        <v>941</v>
      </c>
      <c r="B73">
        <f>(B68*10^6*$B$55*$B$54/10^9)+((B67*B69/100-B68)*10^6*$B$54*$B$56)/10^9</f>
        <v>1.151909365152</v>
      </c>
      <c r="C73">
        <f>(C68*10^6*$B$55*$B$54/10^9)+((C67*C69/100-C68)*10^6*$B$54*$B$56)/10^9</f>
        <v>1.1626525943999999</v>
      </c>
      <c r="D73">
        <f t="shared" ref="D73:AK73" si="78">(D68*10^6*$B$55*$B$54/10^9)+((D67*D69/100-D68)*10^6*$B$54*$B$56)/10^9</f>
        <v>1.1738720401696001</v>
      </c>
      <c r="E73">
        <f t="shared" si="78"/>
        <v>1.1850556586464001</v>
      </c>
      <c r="F73">
        <f t="shared" si="78"/>
        <v>1.196260829808</v>
      </c>
      <c r="G73">
        <f t="shared" si="78"/>
        <v>1.207470322696</v>
      </c>
      <c r="H73">
        <f t="shared" si="78"/>
        <v>1.2186665717872001</v>
      </c>
      <c r="I73">
        <f t="shared" si="78"/>
        <v>1.2298403396416</v>
      </c>
      <c r="J73">
        <f t="shared" si="78"/>
        <v>1.2409807086831999</v>
      </c>
      <c r="K73">
        <f t="shared" si="78"/>
        <v>1.2520783858431996</v>
      </c>
      <c r="L73">
        <f t="shared" si="78"/>
        <v>1.2631196699999998</v>
      </c>
      <c r="M73">
        <f t="shared" si="78"/>
        <v>1.2741015020319997</v>
      </c>
      <c r="N73">
        <f t="shared" si="78"/>
        <v>1.2849930443423998</v>
      </c>
      <c r="O73">
        <f t="shared" si="78"/>
        <v>1.2957841165631994</v>
      </c>
      <c r="P73">
        <f t="shared" si="78"/>
        <v>1.3064628363663999</v>
      </c>
      <c r="Q73">
        <f t="shared" si="78"/>
        <v>1.3170198843839993</v>
      </c>
      <c r="R73">
        <f t="shared" si="78"/>
        <v>1.3274488586111997</v>
      </c>
      <c r="S73">
        <f t="shared" si="78"/>
        <v>1.3377460841103994</v>
      </c>
      <c r="T73">
        <f t="shared" si="78"/>
        <v>1.3479101302959995</v>
      </c>
      <c r="U73">
        <f t="shared" si="78"/>
        <v>1.3579415149439993</v>
      </c>
      <c r="V73">
        <f t="shared" si="78"/>
        <v>1.3678449053679993</v>
      </c>
      <c r="W73">
        <f t="shared" si="78"/>
        <v>1.3776361790735991</v>
      </c>
      <c r="X73">
        <f t="shared" si="78"/>
        <v>1.3873190063263992</v>
      </c>
      <c r="Y73">
        <f t="shared" si="78"/>
        <v>1.3968992792367994</v>
      </c>
      <c r="Z73">
        <f t="shared" si="78"/>
        <v>1.4063852175759992</v>
      </c>
      <c r="AA73">
        <f t="shared" si="78"/>
        <v>1.4157871988559994</v>
      </c>
      <c r="AB73">
        <f t="shared" si="78"/>
        <v>1.4251164123759987</v>
      </c>
      <c r="AC73">
        <f t="shared" si="78"/>
        <v>1.4343855037951987</v>
      </c>
      <c r="AD73">
        <f t="shared" si="78"/>
        <v>1.4436064718175989</v>
      </c>
      <c r="AE73">
        <f t="shared" si="78"/>
        <v>1.4527939342095986</v>
      </c>
      <c r="AF73">
        <f t="shared" si="78"/>
        <v>1.4619624135759985</v>
      </c>
      <c r="AG73">
        <f t="shared" si="78"/>
        <v>1.4711304392671987</v>
      </c>
      <c r="AH73">
        <f t="shared" si="78"/>
        <v>1.4802976660575986</v>
      </c>
      <c r="AI73">
        <f t="shared" si="78"/>
        <v>1.489474016980799</v>
      </c>
      <c r="AJ73">
        <f t="shared" si="78"/>
        <v>1.4986778572127986</v>
      </c>
      <c r="AK73">
        <f t="shared" si="78"/>
        <v>1.5079200492399985</v>
      </c>
    </row>
    <row r="75" spans="1:37" x14ac:dyDescent="0.25">
      <c r="A75" s="74" t="s">
        <v>1839</v>
      </c>
      <c r="B75" s="165"/>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row>
    <row r="76" spans="1:37" x14ac:dyDescent="0.25">
      <c r="A76" s="56" t="s">
        <v>958</v>
      </c>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row>
    <row r="77" spans="1:37" x14ac:dyDescent="0.25">
      <c r="A77" t="s">
        <v>1840</v>
      </c>
      <c r="B77">
        <v>1990</v>
      </c>
      <c r="C77">
        <v>1991</v>
      </c>
      <c r="D77">
        <v>1992</v>
      </c>
      <c r="E77">
        <v>1993</v>
      </c>
      <c r="F77">
        <v>1994</v>
      </c>
      <c r="G77">
        <v>1995</v>
      </c>
      <c r="H77">
        <v>1996</v>
      </c>
      <c r="I77">
        <v>1997</v>
      </c>
      <c r="J77">
        <v>1998</v>
      </c>
      <c r="K77">
        <v>1999</v>
      </c>
      <c r="L77">
        <v>2000</v>
      </c>
      <c r="M77">
        <v>2001</v>
      </c>
      <c r="N77">
        <v>2002</v>
      </c>
      <c r="O77">
        <v>2003</v>
      </c>
      <c r="P77">
        <v>2004</v>
      </c>
      <c r="Q77">
        <v>2005</v>
      </c>
      <c r="R77">
        <v>2006</v>
      </c>
      <c r="S77">
        <v>2007</v>
      </c>
      <c r="T77">
        <v>2008</v>
      </c>
      <c r="U77">
        <v>2009</v>
      </c>
      <c r="V77">
        <v>2010</v>
      </c>
      <c r="W77">
        <v>2011</v>
      </c>
      <c r="X77">
        <v>2012</v>
      </c>
      <c r="Y77">
        <v>2013</v>
      </c>
      <c r="Z77">
        <v>2014</v>
      </c>
      <c r="AA77">
        <v>2015</v>
      </c>
    </row>
    <row r="78" spans="1:37" x14ac:dyDescent="0.25">
      <c r="A78" t="s">
        <v>1841</v>
      </c>
      <c r="B78">
        <v>5.0999999999999996</v>
      </c>
      <c r="C78">
        <v>5.2</v>
      </c>
      <c r="D78">
        <v>5.4</v>
      </c>
      <c r="E78">
        <v>5.4</v>
      </c>
      <c r="F78">
        <v>5.6</v>
      </c>
      <c r="G78">
        <v>5.7</v>
      </c>
      <c r="H78">
        <v>5.7</v>
      </c>
      <c r="I78">
        <v>5.8</v>
      </c>
      <c r="J78">
        <v>5.8</v>
      </c>
      <c r="K78">
        <v>6</v>
      </c>
      <c r="L78">
        <v>5.9</v>
      </c>
      <c r="M78">
        <v>5.8</v>
      </c>
      <c r="N78">
        <v>5.9</v>
      </c>
      <c r="O78">
        <v>5.8</v>
      </c>
      <c r="P78">
        <v>5.8</v>
      </c>
      <c r="Q78">
        <v>5.9</v>
      </c>
      <c r="R78">
        <v>6</v>
      </c>
      <c r="S78">
        <v>6</v>
      </c>
      <c r="T78">
        <v>6.1</v>
      </c>
      <c r="U78">
        <v>5.8</v>
      </c>
      <c r="V78">
        <v>5.9</v>
      </c>
      <c r="W78">
        <v>5.9</v>
      </c>
      <c r="X78">
        <v>5.8</v>
      </c>
      <c r="Y78">
        <v>5.8</v>
      </c>
      <c r="Z78">
        <v>5.7</v>
      </c>
      <c r="AA78">
        <v>5.8</v>
      </c>
    </row>
    <row r="80" spans="1:37" x14ac:dyDescent="0.25">
      <c r="A80" s="56" t="s">
        <v>737</v>
      </c>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row>
    <row r="81" spans="1:37" x14ac:dyDescent="0.25">
      <c r="B81">
        <v>2015</v>
      </c>
      <c r="C81">
        <v>2016</v>
      </c>
      <c r="D81">
        <v>2017</v>
      </c>
      <c r="E81">
        <v>2018</v>
      </c>
      <c r="F81">
        <v>2019</v>
      </c>
      <c r="G81">
        <v>2020</v>
      </c>
      <c r="H81">
        <v>2021</v>
      </c>
      <c r="I81">
        <v>2022</v>
      </c>
      <c r="J81">
        <v>2023</v>
      </c>
      <c r="K81">
        <v>2024</v>
      </c>
      <c r="L81">
        <v>2025</v>
      </c>
      <c r="M81">
        <v>2026</v>
      </c>
      <c r="N81">
        <v>2027</v>
      </c>
      <c r="O81">
        <v>2028</v>
      </c>
      <c r="P81">
        <v>2029</v>
      </c>
      <c r="Q81">
        <v>2030</v>
      </c>
      <c r="R81">
        <v>2031</v>
      </c>
      <c r="S81">
        <v>2032</v>
      </c>
      <c r="T81">
        <v>2033</v>
      </c>
      <c r="U81">
        <v>2034</v>
      </c>
      <c r="V81">
        <v>2035</v>
      </c>
      <c r="W81">
        <v>2036</v>
      </c>
      <c r="X81">
        <v>2037</v>
      </c>
      <c r="Y81">
        <v>2038</v>
      </c>
      <c r="Z81">
        <v>2039</v>
      </c>
      <c r="AA81">
        <v>2040</v>
      </c>
      <c r="AB81">
        <v>2041</v>
      </c>
      <c r="AC81">
        <v>2042</v>
      </c>
      <c r="AD81">
        <v>2043</v>
      </c>
      <c r="AE81">
        <v>2044</v>
      </c>
      <c r="AF81">
        <v>2045</v>
      </c>
      <c r="AG81">
        <v>2046</v>
      </c>
      <c r="AH81">
        <v>2047</v>
      </c>
      <c r="AI81">
        <v>2048</v>
      </c>
      <c r="AJ81">
        <v>2049</v>
      </c>
      <c r="AK81">
        <v>2050</v>
      </c>
    </row>
    <row r="82" spans="1:37" x14ac:dyDescent="0.25">
      <c r="A82" t="s">
        <v>642</v>
      </c>
      <c r="B82">
        <f>AA78/'Cross-Page Data'!D12*1000</f>
        <v>231.99999999999997</v>
      </c>
      <c r="C82">
        <f>($AA$78-$B$78)/COUNT($C$77:$AA$77)+B82</f>
        <v>232.02799999999996</v>
      </c>
      <c r="D82">
        <f>($AA$78-$B$78)/COUNT($C$77:$AA$77)+C82</f>
        <v>232.05599999999995</v>
      </c>
      <c r="E82">
        <f t="shared" ref="E82:AA82" si="79">($AA$78-$B$78)/COUNT($C$77:$AA$77)+D82</f>
        <v>232.08399999999995</v>
      </c>
      <c r="F82">
        <f t="shared" si="79"/>
        <v>232.11199999999994</v>
      </c>
      <c r="G82">
        <f t="shared" si="79"/>
        <v>232.13999999999993</v>
      </c>
      <c r="H82">
        <f t="shared" si="79"/>
        <v>232.16799999999992</v>
      </c>
      <c r="I82">
        <f t="shared" si="79"/>
        <v>232.19599999999991</v>
      </c>
      <c r="J82">
        <f t="shared" si="79"/>
        <v>232.2239999999999</v>
      </c>
      <c r="K82">
        <f t="shared" si="79"/>
        <v>232.2519999999999</v>
      </c>
      <c r="L82">
        <f t="shared" si="79"/>
        <v>232.27999999999989</v>
      </c>
      <c r="M82">
        <f t="shared" si="79"/>
        <v>232.30799999999988</v>
      </c>
      <c r="N82">
        <f t="shared" si="79"/>
        <v>232.33599999999987</v>
      </c>
      <c r="O82">
        <f t="shared" si="79"/>
        <v>232.36399999999986</v>
      </c>
      <c r="P82">
        <f t="shared" si="79"/>
        <v>232.39199999999985</v>
      </c>
      <c r="Q82">
        <f t="shared" si="79"/>
        <v>232.41999999999985</v>
      </c>
      <c r="R82">
        <f t="shared" si="79"/>
        <v>232.44799999999984</v>
      </c>
      <c r="S82">
        <f t="shared" si="79"/>
        <v>232.47599999999983</v>
      </c>
      <c r="T82">
        <f t="shared" si="79"/>
        <v>232.50399999999982</v>
      </c>
      <c r="U82">
        <f t="shared" si="79"/>
        <v>232.53199999999981</v>
      </c>
      <c r="V82">
        <f t="shared" si="79"/>
        <v>232.5599999999998</v>
      </c>
      <c r="W82">
        <f t="shared" si="79"/>
        <v>232.58799999999979</v>
      </c>
      <c r="X82">
        <f t="shared" si="79"/>
        <v>232.61599999999979</v>
      </c>
      <c r="Y82">
        <f t="shared" si="79"/>
        <v>232.64399999999978</v>
      </c>
      <c r="Z82">
        <f t="shared" si="79"/>
        <v>232.67199999999977</v>
      </c>
      <c r="AA82">
        <f t="shared" si="79"/>
        <v>232.69999999999976</v>
      </c>
      <c r="AB82">
        <f t="shared" ref="AB82:AK82" si="80">($AA$78-$B$78)/COUNT($C$77:$AA$77)+AA82</f>
        <v>232.72799999999975</v>
      </c>
      <c r="AC82">
        <f t="shared" si="80"/>
        <v>232.75599999999974</v>
      </c>
      <c r="AD82">
        <f t="shared" si="80"/>
        <v>232.78399999999974</v>
      </c>
      <c r="AE82">
        <f t="shared" si="80"/>
        <v>232.81199999999973</v>
      </c>
      <c r="AF82">
        <f t="shared" si="80"/>
        <v>232.83999999999972</v>
      </c>
      <c r="AG82">
        <f t="shared" si="80"/>
        <v>232.86799999999971</v>
      </c>
      <c r="AH82">
        <f t="shared" si="80"/>
        <v>232.8959999999997</v>
      </c>
      <c r="AI82">
        <f t="shared" si="80"/>
        <v>232.92399999999969</v>
      </c>
      <c r="AJ82">
        <f t="shared" si="80"/>
        <v>232.95199999999969</v>
      </c>
      <c r="AK82">
        <f t="shared" si="80"/>
        <v>232.97999999999968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E204"/>
  <sheetViews>
    <sheetView workbookViewId="0">
      <selection activeCell="AB55" sqref="AB55"/>
    </sheetView>
  </sheetViews>
  <sheetFormatPr defaultRowHeight="15" x14ac:dyDescent="0.25"/>
  <cols>
    <col min="1" max="1" width="28" customWidth="1"/>
    <col min="2" max="2" width="16.140625" customWidth="1"/>
    <col min="3" max="3" width="18.140625" customWidth="1"/>
    <col min="4" max="4" width="16.85546875" customWidth="1"/>
    <col min="5" max="26" width="9.140625" hidden="1" customWidth="1"/>
    <col min="28" max="28" width="25.5703125" bestFit="1" customWidth="1"/>
  </cols>
  <sheetData>
    <row r="1" spans="1:4" x14ac:dyDescent="0.25">
      <c r="A1" s="56" t="s">
        <v>912</v>
      </c>
      <c r="B1" s="56"/>
      <c r="C1" s="56"/>
      <c r="D1" s="59"/>
    </row>
    <row r="2" spans="1:4" x14ac:dyDescent="0.25">
      <c r="A2" t="s">
        <v>1063</v>
      </c>
      <c r="B2" t="s">
        <v>1981</v>
      </c>
      <c r="C2" t="s">
        <v>1982</v>
      </c>
      <c r="D2" t="s">
        <v>1983</v>
      </c>
    </row>
    <row r="3" spans="1:4" x14ac:dyDescent="0.25">
      <c r="A3" t="s">
        <v>1051</v>
      </c>
      <c r="B3" s="137">
        <v>1</v>
      </c>
      <c r="C3" s="137">
        <v>1</v>
      </c>
      <c r="D3">
        <v>1</v>
      </c>
    </row>
    <row r="4" spans="1:4" x14ac:dyDescent="0.25">
      <c r="A4" t="s">
        <v>1052</v>
      </c>
      <c r="B4" s="137">
        <v>16.2</v>
      </c>
      <c r="C4" s="137">
        <v>5</v>
      </c>
    </row>
    <row r="5" spans="1:4" x14ac:dyDescent="0.25">
      <c r="A5" t="s">
        <v>1053</v>
      </c>
      <c r="B5" s="137">
        <v>5.6</v>
      </c>
      <c r="C5" s="137">
        <v>1.8</v>
      </c>
    </row>
    <row r="6" spans="1:4" x14ac:dyDescent="0.25">
      <c r="A6" t="s">
        <v>1054</v>
      </c>
      <c r="B6" s="137">
        <v>-2.4</v>
      </c>
      <c r="C6" s="137">
        <v>-8.1999999999999993</v>
      </c>
    </row>
    <row r="7" spans="1:4" x14ac:dyDescent="0.25">
      <c r="A7" t="s">
        <v>1055</v>
      </c>
      <c r="B7" s="137">
        <v>0</v>
      </c>
      <c r="C7" s="137">
        <v>0</v>
      </c>
    </row>
    <row r="8" spans="1:4" x14ac:dyDescent="0.25">
      <c r="A8" t="s">
        <v>1056</v>
      </c>
      <c r="B8" s="137">
        <v>0</v>
      </c>
      <c r="C8" s="137">
        <v>0</v>
      </c>
    </row>
    <row r="9" spans="1:4" x14ac:dyDescent="0.25">
      <c r="A9" t="s">
        <v>1057</v>
      </c>
      <c r="B9" s="137">
        <v>0</v>
      </c>
      <c r="C9" s="137">
        <v>0</v>
      </c>
    </row>
    <row r="10" spans="1:4" x14ac:dyDescent="0.25">
      <c r="A10" t="s">
        <v>1058</v>
      </c>
      <c r="B10" s="137">
        <v>1200</v>
      </c>
      <c r="C10" s="137">
        <v>345</v>
      </c>
    </row>
    <row r="11" spans="1:4" x14ac:dyDescent="0.25">
      <c r="A11" t="s">
        <v>1059</v>
      </c>
      <c r="B11" s="137">
        <v>-160</v>
      </c>
      <c r="C11" s="137">
        <v>-46</v>
      </c>
    </row>
    <row r="12" spans="1:4" x14ac:dyDescent="0.25">
      <c r="A12" t="s">
        <v>1060</v>
      </c>
      <c r="B12" s="137">
        <v>84</v>
      </c>
      <c r="C12" s="137">
        <v>28</v>
      </c>
      <c r="D12">
        <v>25</v>
      </c>
    </row>
    <row r="13" spans="1:4" x14ac:dyDescent="0.25">
      <c r="A13" t="s">
        <v>1061</v>
      </c>
      <c r="B13" s="137">
        <v>264</v>
      </c>
      <c r="C13" s="137">
        <v>265</v>
      </c>
      <c r="D13">
        <v>298</v>
      </c>
    </row>
    <row r="14" spans="1:4" x14ac:dyDescent="0.25">
      <c r="A14" t="s">
        <v>1062</v>
      </c>
      <c r="B14" s="137">
        <v>1</v>
      </c>
      <c r="C14" s="137">
        <v>1</v>
      </c>
    </row>
    <row r="15" spans="1:4" x14ac:dyDescent="0.25">
      <c r="A15" t="s">
        <v>1781</v>
      </c>
      <c r="B15" s="137">
        <v>17500</v>
      </c>
      <c r="C15" s="137">
        <v>23500</v>
      </c>
      <c r="D15">
        <v>22800</v>
      </c>
    </row>
    <row r="16" spans="1:4" x14ac:dyDescent="0.25">
      <c r="A16" t="s">
        <v>821</v>
      </c>
      <c r="B16" s="137">
        <v>10800</v>
      </c>
      <c r="C16" s="137">
        <v>12400</v>
      </c>
      <c r="D16">
        <v>14800</v>
      </c>
    </row>
    <row r="18" spans="1:27" x14ac:dyDescent="0.25">
      <c r="A18" s="56" t="s">
        <v>1784</v>
      </c>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row>
    <row r="19" spans="1:27" x14ac:dyDescent="0.25">
      <c r="A19" s="29" t="s">
        <v>1783</v>
      </c>
      <c r="B19" s="30"/>
      <c r="C19" s="30"/>
      <c r="D19" s="30"/>
      <c r="E19" s="30"/>
      <c r="F19" s="30"/>
      <c r="G19" s="30"/>
      <c r="H19" s="30"/>
      <c r="I19" s="30"/>
      <c r="J19" s="30"/>
    </row>
    <row r="20" spans="1:27" x14ac:dyDescent="0.25">
      <c r="A20" s="23" t="s">
        <v>1712</v>
      </c>
      <c r="B20">
        <v>1990</v>
      </c>
      <c r="C20">
        <v>1991</v>
      </c>
      <c r="D20">
        <v>1992</v>
      </c>
      <c r="E20">
        <v>1993</v>
      </c>
      <c r="F20">
        <v>1994</v>
      </c>
      <c r="G20">
        <v>1995</v>
      </c>
      <c r="H20">
        <v>1996</v>
      </c>
      <c r="I20">
        <v>1997</v>
      </c>
      <c r="J20">
        <v>1998</v>
      </c>
      <c r="K20">
        <v>1999</v>
      </c>
      <c r="L20">
        <v>2000</v>
      </c>
      <c r="M20">
        <v>2001</v>
      </c>
      <c r="N20">
        <v>2002</v>
      </c>
      <c r="O20">
        <v>2003</v>
      </c>
      <c r="P20">
        <v>2004</v>
      </c>
      <c r="Q20">
        <v>2005</v>
      </c>
      <c r="R20">
        <v>2006</v>
      </c>
      <c r="S20">
        <v>2007</v>
      </c>
      <c r="T20">
        <v>2008</v>
      </c>
      <c r="U20">
        <v>2009</v>
      </c>
      <c r="V20">
        <v>2010</v>
      </c>
      <c r="W20">
        <v>2011</v>
      </c>
      <c r="X20">
        <v>2012</v>
      </c>
      <c r="Y20">
        <v>2013</v>
      </c>
      <c r="Z20">
        <v>2014</v>
      </c>
      <c r="AA20">
        <v>2015</v>
      </c>
    </row>
    <row r="21" spans="1:27" x14ac:dyDescent="0.25">
      <c r="A21" s="107" t="s">
        <v>1713</v>
      </c>
      <c r="B21" s="63">
        <v>5123043</v>
      </c>
      <c r="C21" s="63">
        <v>5073493</v>
      </c>
      <c r="D21" s="63">
        <v>5178583</v>
      </c>
      <c r="E21" s="63">
        <v>5292610</v>
      </c>
      <c r="F21" s="63">
        <v>5385917</v>
      </c>
      <c r="G21" s="63">
        <v>5450306</v>
      </c>
      <c r="H21" s="63">
        <v>5636297</v>
      </c>
      <c r="I21" s="63">
        <v>5713363</v>
      </c>
      <c r="J21" s="63">
        <v>5753825</v>
      </c>
      <c r="K21" s="63">
        <v>5834225</v>
      </c>
      <c r="L21" s="63">
        <v>6001356</v>
      </c>
      <c r="M21" s="63">
        <v>5902705</v>
      </c>
      <c r="N21" s="63">
        <v>5943946</v>
      </c>
      <c r="O21" s="63">
        <v>5990730</v>
      </c>
      <c r="P21" s="63">
        <v>6105430</v>
      </c>
      <c r="Q21" s="63">
        <v>6131833</v>
      </c>
      <c r="R21" s="63">
        <v>6051496</v>
      </c>
      <c r="S21" s="63">
        <v>6130624</v>
      </c>
      <c r="T21" s="63">
        <v>5932978</v>
      </c>
      <c r="U21" s="63">
        <v>5495688</v>
      </c>
      <c r="V21" s="63">
        <v>5699930</v>
      </c>
      <c r="W21" s="63">
        <v>5569516</v>
      </c>
      <c r="X21" s="63">
        <v>5362095</v>
      </c>
      <c r="Y21" s="63">
        <v>5514018</v>
      </c>
      <c r="Z21" s="63">
        <v>5565495</v>
      </c>
      <c r="AA21" s="63">
        <v>5411409</v>
      </c>
    </row>
    <row r="22" spans="1:27" x14ac:dyDescent="0.25">
      <c r="A22" s="21" t="s">
        <v>1714</v>
      </c>
      <c r="B22" s="63">
        <v>4740343</v>
      </c>
      <c r="C22" s="63">
        <v>4690088</v>
      </c>
      <c r="D22" s="63">
        <v>4793073</v>
      </c>
      <c r="E22" s="63">
        <v>4915094</v>
      </c>
      <c r="F22" s="63">
        <v>4989973</v>
      </c>
      <c r="G22" s="63">
        <v>5040997</v>
      </c>
      <c r="H22" s="63">
        <v>5232351</v>
      </c>
      <c r="I22" s="63">
        <v>5296694</v>
      </c>
      <c r="J22" s="63">
        <v>5333484</v>
      </c>
      <c r="K22" s="63">
        <v>5400842</v>
      </c>
      <c r="L22" s="63">
        <v>5593706</v>
      </c>
      <c r="M22" s="63">
        <v>5524952</v>
      </c>
      <c r="N22" s="63">
        <v>5560586</v>
      </c>
      <c r="O22" s="63">
        <v>5619753</v>
      </c>
      <c r="P22" s="63">
        <v>5709058</v>
      </c>
      <c r="Q22" s="63">
        <v>5746942</v>
      </c>
      <c r="R22" s="63">
        <v>5660261</v>
      </c>
      <c r="S22" s="63">
        <v>5753016</v>
      </c>
      <c r="T22" s="63">
        <v>5566614</v>
      </c>
      <c r="U22" s="63">
        <v>5193156</v>
      </c>
      <c r="V22" s="63">
        <v>5359360</v>
      </c>
      <c r="W22" s="63">
        <v>5227061</v>
      </c>
      <c r="X22" s="63">
        <v>5024643</v>
      </c>
      <c r="Y22" s="63">
        <v>5156523</v>
      </c>
      <c r="Z22" s="63">
        <v>5202300</v>
      </c>
      <c r="AA22" s="63">
        <v>5049763</v>
      </c>
    </row>
    <row r="23" spans="1:27" x14ac:dyDescent="0.25">
      <c r="A23" s="333" t="s">
        <v>1715</v>
      </c>
      <c r="B23" s="63">
        <v>1820818</v>
      </c>
      <c r="C23" s="63">
        <v>1818193</v>
      </c>
      <c r="D23" s="63">
        <v>1831539</v>
      </c>
      <c r="E23" s="63">
        <v>1906905</v>
      </c>
      <c r="F23" s="63">
        <v>1931232</v>
      </c>
      <c r="G23" s="63">
        <v>1947918</v>
      </c>
      <c r="H23" s="63">
        <v>2020987</v>
      </c>
      <c r="I23" s="63">
        <v>2088393</v>
      </c>
      <c r="J23" s="63">
        <v>2177378</v>
      </c>
      <c r="K23" s="63">
        <v>2190513</v>
      </c>
      <c r="L23" s="63">
        <v>2296877</v>
      </c>
      <c r="M23" s="63">
        <v>2257913</v>
      </c>
      <c r="N23" s="63">
        <v>2272671</v>
      </c>
      <c r="O23" s="63">
        <v>2304158</v>
      </c>
      <c r="P23" s="63">
        <v>2335886</v>
      </c>
      <c r="Q23" s="63">
        <v>2400874</v>
      </c>
      <c r="R23" s="63">
        <v>2345281</v>
      </c>
      <c r="S23" s="63">
        <v>2411895</v>
      </c>
      <c r="T23" s="63">
        <v>2360081</v>
      </c>
      <c r="U23" s="63">
        <v>2145658</v>
      </c>
      <c r="V23" s="63">
        <v>2258399</v>
      </c>
      <c r="W23" s="63">
        <v>2157688</v>
      </c>
      <c r="X23" s="63">
        <v>2022181</v>
      </c>
      <c r="Y23" s="63">
        <v>2038122</v>
      </c>
      <c r="Z23" s="63">
        <v>2038018</v>
      </c>
      <c r="AA23" s="63">
        <v>1900673</v>
      </c>
    </row>
    <row r="24" spans="1:27" x14ac:dyDescent="0.25">
      <c r="A24" s="31" t="s">
        <v>1716</v>
      </c>
      <c r="B24" s="63">
        <v>1493758</v>
      </c>
      <c r="C24" s="63">
        <v>1447602</v>
      </c>
      <c r="D24" s="63">
        <v>1496852</v>
      </c>
      <c r="E24" s="63">
        <v>1532412</v>
      </c>
      <c r="F24" s="63">
        <v>1576980</v>
      </c>
      <c r="G24" s="63">
        <v>1609862</v>
      </c>
      <c r="H24" s="63">
        <v>1654302</v>
      </c>
      <c r="I24" s="63">
        <v>1670141</v>
      </c>
      <c r="J24" s="63">
        <v>1706636</v>
      </c>
      <c r="K24" s="63">
        <v>1761057</v>
      </c>
      <c r="L24" s="63">
        <v>1805460</v>
      </c>
      <c r="M24" s="63">
        <v>1789429</v>
      </c>
      <c r="N24" s="63">
        <v>1830641</v>
      </c>
      <c r="O24" s="63">
        <v>1822261</v>
      </c>
      <c r="P24" s="63">
        <v>1867141</v>
      </c>
      <c r="Q24" s="63">
        <v>1887033</v>
      </c>
      <c r="R24" s="63">
        <v>1882633</v>
      </c>
      <c r="S24" s="63">
        <v>1886065</v>
      </c>
      <c r="T24" s="63">
        <v>1791798</v>
      </c>
      <c r="U24" s="63">
        <v>1716966</v>
      </c>
      <c r="V24" s="63">
        <v>1728267</v>
      </c>
      <c r="W24" s="63">
        <v>1707631</v>
      </c>
      <c r="X24" s="63">
        <v>1696752</v>
      </c>
      <c r="Y24" s="63">
        <v>1713002</v>
      </c>
      <c r="Z24" s="63">
        <v>1742814</v>
      </c>
      <c r="AA24" s="63">
        <v>1736383</v>
      </c>
    </row>
    <row r="25" spans="1:27" x14ac:dyDescent="0.25">
      <c r="A25" s="31" t="s">
        <v>1717</v>
      </c>
      <c r="B25" s="63">
        <v>842473</v>
      </c>
      <c r="C25" s="63">
        <v>822469</v>
      </c>
      <c r="D25" s="63">
        <v>857427</v>
      </c>
      <c r="E25" s="63">
        <v>855684</v>
      </c>
      <c r="F25" s="63">
        <v>864810</v>
      </c>
      <c r="G25" s="63">
        <v>870508</v>
      </c>
      <c r="H25" s="63">
        <v>907398</v>
      </c>
      <c r="I25" s="63">
        <v>906829</v>
      </c>
      <c r="J25" s="63">
        <v>869070</v>
      </c>
      <c r="K25" s="63">
        <v>845933</v>
      </c>
      <c r="L25" s="63">
        <v>854092</v>
      </c>
      <c r="M25" s="63">
        <v>842953</v>
      </c>
      <c r="N25" s="63">
        <v>829811</v>
      </c>
      <c r="O25" s="63">
        <v>829611</v>
      </c>
      <c r="P25" s="63">
        <v>852323</v>
      </c>
      <c r="Q25" s="63">
        <v>827999</v>
      </c>
      <c r="R25" s="63">
        <v>852568</v>
      </c>
      <c r="S25" s="63">
        <v>847899</v>
      </c>
      <c r="T25" s="63">
        <v>802829</v>
      </c>
      <c r="U25" s="63">
        <v>727696</v>
      </c>
      <c r="V25" s="63">
        <v>775535</v>
      </c>
      <c r="W25" s="63">
        <v>774951</v>
      </c>
      <c r="X25" s="63">
        <v>782929</v>
      </c>
      <c r="Y25" s="63">
        <v>812228</v>
      </c>
      <c r="Z25" s="63">
        <v>806075</v>
      </c>
      <c r="AA25" s="63">
        <v>805496</v>
      </c>
    </row>
    <row r="26" spans="1:27" x14ac:dyDescent="0.25">
      <c r="A26" s="333" t="s">
        <v>1718</v>
      </c>
      <c r="B26" s="63">
        <v>338347</v>
      </c>
      <c r="C26" s="63">
        <v>347182</v>
      </c>
      <c r="D26" s="63">
        <v>353479</v>
      </c>
      <c r="E26" s="63">
        <v>365803</v>
      </c>
      <c r="F26" s="63">
        <v>356791</v>
      </c>
      <c r="G26" s="63">
        <v>352829</v>
      </c>
      <c r="H26" s="63">
        <v>383072</v>
      </c>
      <c r="I26" s="63">
        <v>364686</v>
      </c>
      <c r="J26" s="63">
        <v>331243</v>
      </c>
      <c r="K26" s="63">
        <v>350590</v>
      </c>
      <c r="L26" s="63">
        <v>370810</v>
      </c>
      <c r="M26" s="63">
        <v>362168</v>
      </c>
      <c r="N26" s="63">
        <v>359978</v>
      </c>
      <c r="O26" s="63">
        <v>378944</v>
      </c>
      <c r="P26" s="63">
        <v>367442</v>
      </c>
      <c r="Q26" s="63">
        <v>357834</v>
      </c>
      <c r="R26" s="63">
        <v>321320</v>
      </c>
      <c r="S26" s="63">
        <v>341286</v>
      </c>
      <c r="T26" s="63">
        <v>347621</v>
      </c>
      <c r="U26" s="63">
        <v>336272</v>
      </c>
      <c r="V26" s="63">
        <v>334587</v>
      </c>
      <c r="W26" s="63">
        <v>325537</v>
      </c>
      <c r="X26" s="63">
        <v>282540</v>
      </c>
      <c r="Y26" s="63">
        <v>329674</v>
      </c>
      <c r="Z26" s="63">
        <v>345362</v>
      </c>
      <c r="AA26" s="63">
        <v>319591</v>
      </c>
    </row>
    <row r="27" spans="1:27" x14ac:dyDescent="0.25">
      <c r="A27" s="31" t="s">
        <v>1719</v>
      </c>
      <c r="B27" s="63">
        <v>217393</v>
      </c>
      <c r="C27" s="63">
        <v>223255</v>
      </c>
      <c r="D27" s="63">
        <v>220641</v>
      </c>
      <c r="E27" s="63">
        <v>220059</v>
      </c>
      <c r="F27" s="63">
        <v>222393</v>
      </c>
      <c r="G27" s="63">
        <v>225565</v>
      </c>
      <c r="H27" s="63">
        <v>234509</v>
      </c>
      <c r="I27" s="63">
        <v>233646</v>
      </c>
      <c r="J27" s="63">
        <v>215932</v>
      </c>
      <c r="K27" s="63">
        <v>218752</v>
      </c>
      <c r="L27" s="63">
        <v>230906</v>
      </c>
      <c r="M27" s="63">
        <v>224995</v>
      </c>
      <c r="N27" s="63">
        <v>225032</v>
      </c>
      <c r="O27" s="63">
        <v>235196</v>
      </c>
      <c r="P27" s="63">
        <v>234241</v>
      </c>
      <c r="Q27" s="63">
        <v>223480</v>
      </c>
      <c r="R27" s="63">
        <v>208565</v>
      </c>
      <c r="S27" s="63">
        <v>218803</v>
      </c>
      <c r="T27" s="63">
        <v>223633</v>
      </c>
      <c r="U27" s="63">
        <v>223457</v>
      </c>
      <c r="V27" s="63">
        <v>220125</v>
      </c>
      <c r="W27" s="63">
        <v>220381</v>
      </c>
      <c r="X27" s="63">
        <v>196714</v>
      </c>
      <c r="Y27" s="63">
        <v>221030</v>
      </c>
      <c r="Z27" s="63">
        <v>228666</v>
      </c>
      <c r="AA27" s="63">
        <v>246241</v>
      </c>
    </row>
    <row r="28" spans="1:27" x14ac:dyDescent="0.25">
      <c r="A28" s="333" t="s">
        <v>1720</v>
      </c>
      <c r="B28" s="63">
        <v>27555</v>
      </c>
      <c r="C28" s="63">
        <v>31388</v>
      </c>
      <c r="D28" s="63">
        <v>33135</v>
      </c>
      <c r="E28" s="63">
        <v>34232</v>
      </c>
      <c r="F28" s="63">
        <v>37766</v>
      </c>
      <c r="G28" s="63">
        <v>34314</v>
      </c>
      <c r="H28" s="63">
        <v>32083</v>
      </c>
      <c r="I28" s="63">
        <v>33000</v>
      </c>
      <c r="J28" s="63">
        <v>33226</v>
      </c>
      <c r="K28" s="63">
        <v>33996</v>
      </c>
      <c r="L28" s="63">
        <v>35560</v>
      </c>
      <c r="M28" s="63">
        <v>47495</v>
      </c>
      <c r="N28" s="63">
        <v>42454</v>
      </c>
      <c r="O28" s="63">
        <v>49584</v>
      </c>
      <c r="P28" s="63">
        <v>52024</v>
      </c>
      <c r="Q28" s="63">
        <v>49723</v>
      </c>
      <c r="R28" s="63">
        <v>49894</v>
      </c>
      <c r="S28" s="63">
        <v>47067</v>
      </c>
      <c r="T28" s="63">
        <v>40652</v>
      </c>
      <c r="U28" s="63">
        <v>43106</v>
      </c>
      <c r="V28" s="63">
        <v>42446</v>
      </c>
      <c r="W28" s="63">
        <v>40874</v>
      </c>
      <c r="X28" s="63">
        <v>43527</v>
      </c>
      <c r="Y28" s="63">
        <v>42467</v>
      </c>
      <c r="Z28" s="63">
        <v>41365</v>
      </c>
      <c r="AA28" s="63">
        <v>41380</v>
      </c>
    </row>
    <row r="29" spans="1:27" x14ac:dyDescent="0.25">
      <c r="A29" s="21" t="s">
        <v>1721</v>
      </c>
      <c r="B29" s="63">
        <v>117585</v>
      </c>
      <c r="C29" s="63">
        <v>127690</v>
      </c>
      <c r="D29" s="63">
        <v>125811</v>
      </c>
      <c r="E29" s="63">
        <v>116326</v>
      </c>
      <c r="F29" s="63">
        <v>125472</v>
      </c>
      <c r="G29" s="63">
        <v>128274</v>
      </c>
      <c r="H29" s="63">
        <v>123777</v>
      </c>
      <c r="I29" s="63">
        <v>132362</v>
      </c>
      <c r="J29" s="63">
        <v>149699</v>
      </c>
      <c r="K29" s="63">
        <v>163012</v>
      </c>
      <c r="L29" s="63">
        <v>140272</v>
      </c>
      <c r="M29" s="63">
        <v>131703</v>
      </c>
      <c r="N29" s="63">
        <v>135216</v>
      </c>
      <c r="O29" s="63">
        <v>128989</v>
      </c>
      <c r="P29" s="63">
        <v>147297</v>
      </c>
      <c r="Q29" s="63">
        <v>138913</v>
      </c>
      <c r="R29" s="63">
        <v>140274</v>
      </c>
      <c r="S29" s="63">
        <v>122852</v>
      </c>
      <c r="T29" s="63">
        <v>125362</v>
      </c>
      <c r="U29" s="63">
        <v>106169</v>
      </c>
      <c r="V29" s="63">
        <v>114294</v>
      </c>
      <c r="W29" s="63">
        <v>109756</v>
      </c>
      <c r="X29" s="63">
        <v>106750</v>
      </c>
      <c r="Y29" s="63">
        <v>123645</v>
      </c>
      <c r="Z29" s="63">
        <v>118995</v>
      </c>
      <c r="AA29" s="63">
        <v>125526</v>
      </c>
    </row>
    <row r="30" spans="1:27" ht="24" x14ac:dyDescent="0.25">
      <c r="A30" s="21" t="s">
        <v>1722</v>
      </c>
      <c r="B30" s="63">
        <v>101487</v>
      </c>
      <c r="C30" s="63">
        <v>92075</v>
      </c>
      <c r="D30" s="63">
        <v>92938</v>
      </c>
      <c r="E30" s="63">
        <v>88944</v>
      </c>
      <c r="F30" s="63">
        <v>91781</v>
      </c>
      <c r="G30" s="63">
        <v>95502</v>
      </c>
      <c r="H30" s="63">
        <v>93599</v>
      </c>
      <c r="I30" s="63">
        <v>94950</v>
      </c>
      <c r="J30" s="63">
        <v>88643</v>
      </c>
      <c r="K30" s="63">
        <v>86440</v>
      </c>
      <c r="L30" s="63">
        <v>88080</v>
      </c>
      <c r="M30" s="63">
        <v>77593</v>
      </c>
      <c r="N30" s="63">
        <v>73726</v>
      </c>
      <c r="O30" s="63">
        <v>70587</v>
      </c>
      <c r="P30" s="63">
        <v>70186</v>
      </c>
      <c r="Q30" s="63">
        <v>68047</v>
      </c>
      <c r="R30" s="63">
        <v>70774</v>
      </c>
      <c r="S30" s="63">
        <v>72541</v>
      </c>
      <c r="T30" s="63">
        <v>68040</v>
      </c>
      <c r="U30" s="63">
        <v>43755</v>
      </c>
      <c r="V30" s="63">
        <v>56753</v>
      </c>
      <c r="W30" s="63">
        <v>61108</v>
      </c>
      <c r="X30" s="63">
        <v>55449</v>
      </c>
      <c r="Y30" s="63">
        <v>53348</v>
      </c>
      <c r="Z30" s="63">
        <v>58629</v>
      </c>
      <c r="AA30" s="63">
        <v>48876</v>
      </c>
    </row>
    <row r="31" spans="1:27" x14ac:dyDescent="0.25">
      <c r="A31" s="21" t="s">
        <v>1723</v>
      </c>
      <c r="B31" s="63">
        <v>37732</v>
      </c>
      <c r="C31" s="63">
        <v>37951</v>
      </c>
      <c r="D31" s="63">
        <v>37677</v>
      </c>
      <c r="E31" s="63">
        <v>41027</v>
      </c>
      <c r="F31" s="63">
        <v>41089</v>
      </c>
      <c r="G31" s="63">
        <v>42643</v>
      </c>
      <c r="H31" s="63">
        <v>40148</v>
      </c>
      <c r="I31" s="63">
        <v>39700</v>
      </c>
      <c r="J31" s="63">
        <v>29719</v>
      </c>
      <c r="K31" s="63">
        <v>30763</v>
      </c>
      <c r="L31" s="63">
        <v>29870</v>
      </c>
      <c r="M31" s="63">
        <v>29339</v>
      </c>
      <c r="N31" s="63">
        <v>30115</v>
      </c>
      <c r="O31" s="63">
        <v>28950</v>
      </c>
      <c r="P31" s="63">
        <v>28676</v>
      </c>
      <c r="Q31" s="63">
        <v>30076</v>
      </c>
      <c r="R31" s="63">
        <v>30174</v>
      </c>
      <c r="S31" s="63">
        <v>30983</v>
      </c>
      <c r="T31" s="63">
        <v>32774</v>
      </c>
      <c r="U31" s="63">
        <v>32302</v>
      </c>
      <c r="V31" s="63">
        <v>32439</v>
      </c>
      <c r="W31" s="63">
        <v>35662</v>
      </c>
      <c r="X31" s="63">
        <v>35203</v>
      </c>
      <c r="Y31" s="63">
        <v>38457</v>
      </c>
      <c r="Z31" s="63">
        <v>42351</v>
      </c>
      <c r="AA31" s="63">
        <v>42351</v>
      </c>
    </row>
    <row r="32" spans="1:27" x14ac:dyDescent="0.25">
      <c r="A32" s="21" t="s">
        <v>1724</v>
      </c>
      <c r="B32" s="63">
        <v>33484</v>
      </c>
      <c r="C32" s="63">
        <v>32736</v>
      </c>
      <c r="D32" s="63">
        <v>32993</v>
      </c>
      <c r="E32" s="63">
        <v>34838</v>
      </c>
      <c r="F32" s="63">
        <v>36310</v>
      </c>
      <c r="G32" s="63">
        <v>37075</v>
      </c>
      <c r="H32" s="63">
        <v>37309</v>
      </c>
      <c r="I32" s="63">
        <v>38561</v>
      </c>
      <c r="J32" s="63">
        <v>39461</v>
      </c>
      <c r="K32" s="63">
        <v>40239</v>
      </c>
      <c r="L32" s="63">
        <v>41445</v>
      </c>
      <c r="M32" s="63">
        <v>41613</v>
      </c>
      <c r="N32" s="63">
        <v>43164</v>
      </c>
      <c r="O32" s="63">
        <v>43349</v>
      </c>
      <c r="P32" s="63">
        <v>45886</v>
      </c>
      <c r="Q32" s="63">
        <v>46194</v>
      </c>
      <c r="R32" s="63">
        <v>46851</v>
      </c>
      <c r="S32" s="63">
        <v>45509</v>
      </c>
      <c r="T32" s="63">
        <v>41416</v>
      </c>
      <c r="U32" s="63">
        <v>29615</v>
      </c>
      <c r="V32" s="63">
        <v>31449</v>
      </c>
      <c r="W32" s="63">
        <v>32208</v>
      </c>
      <c r="X32" s="63">
        <v>35270</v>
      </c>
      <c r="Y32" s="63">
        <v>36369</v>
      </c>
      <c r="Z32" s="63">
        <v>39439</v>
      </c>
      <c r="AA32" s="63">
        <v>39907</v>
      </c>
    </row>
    <row r="33" spans="1:27" x14ac:dyDescent="0.25">
      <c r="A33" s="21" t="s">
        <v>1725</v>
      </c>
      <c r="B33" s="63">
        <v>21326</v>
      </c>
      <c r="C33" s="63">
        <v>22744</v>
      </c>
      <c r="D33" s="63">
        <v>23341</v>
      </c>
      <c r="E33" s="63">
        <v>24290</v>
      </c>
      <c r="F33" s="63">
        <v>26224</v>
      </c>
      <c r="G33" s="63">
        <v>27573</v>
      </c>
      <c r="H33" s="63">
        <v>28710</v>
      </c>
      <c r="I33" s="63">
        <v>30084</v>
      </c>
      <c r="J33" s="63">
        <v>30439</v>
      </c>
      <c r="K33" s="63">
        <v>31851</v>
      </c>
      <c r="L33" s="63">
        <v>31128</v>
      </c>
      <c r="M33" s="63">
        <v>27239</v>
      </c>
      <c r="N33" s="63">
        <v>28264</v>
      </c>
      <c r="O33" s="63">
        <v>28040</v>
      </c>
      <c r="P33" s="63">
        <v>30214</v>
      </c>
      <c r="Q33" s="63">
        <v>26972</v>
      </c>
      <c r="R33" s="63">
        <v>27187</v>
      </c>
      <c r="S33" s="63">
        <v>27627</v>
      </c>
      <c r="T33" s="63">
        <v>24352</v>
      </c>
      <c r="U33" s="63">
        <v>23403</v>
      </c>
      <c r="V33" s="63">
        <v>27262</v>
      </c>
      <c r="W33" s="63">
        <v>26338</v>
      </c>
      <c r="X33" s="63">
        <v>26501</v>
      </c>
      <c r="Y33" s="63">
        <v>26395</v>
      </c>
      <c r="Z33" s="63">
        <v>26496</v>
      </c>
      <c r="AA33" s="63">
        <v>28062</v>
      </c>
    </row>
    <row r="34" spans="1:27" x14ac:dyDescent="0.25">
      <c r="A34" s="21" t="s">
        <v>1726</v>
      </c>
      <c r="B34" s="63">
        <v>11700</v>
      </c>
      <c r="C34" s="63">
        <v>11539</v>
      </c>
      <c r="D34" s="63">
        <v>11927</v>
      </c>
      <c r="E34" s="63">
        <v>12279</v>
      </c>
      <c r="F34" s="63">
        <v>12736</v>
      </c>
      <c r="G34" s="63">
        <v>13538</v>
      </c>
      <c r="H34" s="63">
        <v>14242</v>
      </c>
      <c r="I34" s="63">
        <v>14498</v>
      </c>
      <c r="J34" s="63">
        <v>14792</v>
      </c>
      <c r="K34" s="63">
        <v>14425</v>
      </c>
      <c r="L34" s="63">
        <v>14282</v>
      </c>
      <c r="M34" s="63">
        <v>13722</v>
      </c>
      <c r="N34" s="63">
        <v>13169</v>
      </c>
      <c r="O34" s="63">
        <v>13907</v>
      </c>
      <c r="P34" s="63">
        <v>14613</v>
      </c>
      <c r="Q34" s="63">
        <v>14552</v>
      </c>
      <c r="R34" s="63">
        <v>15243</v>
      </c>
      <c r="S34" s="63">
        <v>14721</v>
      </c>
      <c r="T34" s="63">
        <v>14505</v>
      </c>
      <c r="U34" s="63">
        <v>11411</v>
      </c>
      <c r="V34" s="63">
        <v>13381</v>
      </c>
      <c r="W34" s="63">
        <v>13982</v>
      </c>
      <c r="X34" s="63">
        <v>13785</v>
      </c>
      <c r="Y34" s="63">
        <v>14028</v>
      </c>
      <c r="Z34" s="63">
        <v>14210</v>
      </c>
      <c r="AA34" s="63">
        <v>13342</v>
      </c>
    </row>
    <row r="35" spans="1:27" x14ac:dyDescent="0.25">
      <c r="A35" s="21" t="s">
        <v>1727</v>
      </c>
      <c r="B35" s="63">
        <v>4907</v>
      </c>
      <c r="C35" s="63">
        <v>4313</v>
      </c>
      <c r="D35" s="63">
        <v>4301</v>
      </c>
      <c r="E35" s="63">
        <v>3909</v>
      </c>
      <c r="F35" s="63">
        <v>4346</v>
      </c>
      <c r="G35" s="63">
        <v>6155</v>
      </c>
      <c r="H35" s="63">
        <v>6781</v>
      </c>
      <c r="I35" s="63">
        <v>6373</v>
      </c>
      <c r="J35" s="63">
        <v>6701</v>
      </c>
      <c r="K35" s="63">
        <v>7576</v>
      </c>
      <c r="L35" s="63">
        <v>4670</v>
      </c>
      <c r="M35" s="63">
        <v>4660</v>
      </c>
      <c r="N35" s="63">
        <v>5137</v>
      </c>
      <c r="O35" s="63">
        <v>3739</v>
      </c>
      <c r="P35" s="63">
        <v>5598</v>
      </c>
      <c r="Q35" s="63">
        <v>6339</v>
      </c>
      <c r="R35" s="63">
        <v>7284</v>
      </c>
      <c r="S35" s="63">
        <v>7365</v>
      </c>
      <c r="T35" s="63">
        <v>5885</v>
      </c>
      <c r="U35" s="63">
        <v>7583</v>
      </c>
      <c r="V35" s="63">
        <v>9560</v>
      </c>
      <c r="W35" s="63">
        <v>9335</v>
      </c>
      <c r="X35" s="63">
        <v>8022</v>
      </c>
      <c r="Y35" s="63">
        <v>10414</v>
      </c>
      <c r="Z35" s="63">
        <v>11811</v>
      </c>
      <c r="AA35" s="63">
        <v>11236</v>
      </c>
    </row>
    <row r="36" spans="1:27" x14ac:dyDescent="0.25">
      <c r="A36" s="21" t="s">
        <v>1728</v>
      </c>
      <c r="B36" s="63">
        <v>13047</v>
      </c>
      <c r="C36" s="63">
        <v>13279</v>
      </c>
      <c r="D36" s="63">
        <v>13683</v>
      </c>
      <c r="E36" s="63">
        <v>13205</v>
      </c>
      <c r="F36" s="63">
        <v>14151</v>
      </c>
      <c r="G36" s="63">
        <v>13541</v>
      </c>
      <c r="H36" s="63">
        <v>13836</v>
      </c>
      <c r="I36" s="63">
        <v>14028</v>
      </c>
      <c r="J36" s="63">
        <v>14143</v>
      </c>
      <c r="K36" s="63">
        <v>12948</v>
      </c>
      <c r="L36" s="63">
        <v>12172</v>
      </c>
      <c r="M36" s="63">
        <v>9233</v>
      </c>
      <c r="N36" s="63">
        <v>10499</v>
      </c>
      <c r="O36" s="63">
        <v>8817</v>
      </c>
      <c r="P36" s="63">
        <v>9568</v>
      </c>
      <c r="Q36" s="63">
        <v>9196</v>
      </c>
      <c r="R36" s="63">
        <v>8781</v>
      </c>
      <c r="S36" s="63">
        <v>9074</v>
      </c>
      <c r="T36" s="63">
        <v>8414</v>
      </c>
      <c r="U36" s="63">
        <v>8454</v>
      </c>
      <c r="V36" s="63">
        <v>9188</v>
      </c>
      <c r="W36" s="63">
        <v>9292</v>
      </c>
      <c r="X36" s="63">
        <v>9377</v>
      </c>
      <c r="Y36" s="63">
        <v>9962</v>
      </c>
      <c r="Z36" s="63">
        <v>9619</v>
      </c>
      <c r="AA36" s="63">
        <v>10799</v>
      </c>
    </row>
    <row r="37" spans="1:27" x14ac:dyDescent="0.25">
      <c r="A37" s="21" t="s">
        <v>1729</v>
      </c>
      <c r="B37" s="63">
        <v>7950</v>
      </c>
      <c r="C37" s="63">
        <v>7959</v>
      </c>
      <c r="D37" s="63">
        <v>9483</v>
      </c>
      <c r="E37" s="63">
        <v>9751</v>
      </c>
      <c r="F37" s="63">
        <v>10833</v>
      </c>
      <c r="G37" s="63">
        <v>11261</v>
      </c>
      <c r="H37" s="63">
        <v>11861</v>
      </c>
      <c r="I37" s="63">
        <v>11848</v>
      </c>
      <c r="J37" s="63">
        <v>10822</v>
      </c>
      <c r="K37" s="63">
        <v>11001</v>
      </c>
      <c r="L37" s="63">
        <v>11106</v>
      </c>
      <c r="M37" s="63">
        <v>11391</v>
      </c>
      <c r="N37" s="63">
        <v>11828</v>
      </c>
      <c r="O37" s="63">
        <v>12099</v>
      </c>
      <c r="P37" s="63">
        <v>12375</v>
      </c>
      <c r="Q37" s="63">
        <v>12469</v>
      </c>
      <c r="R37" s="63">
        <v>12528</v>
      </c>
      <c r="S37" s="63">
        <v>12733</v>
      </c>
      <c r="T37" s="63">
        <v>11892</v>
      </c>
      <c r="U37" s="63">
        <v>11318</v>
      </c>
      <c r="V37" s="63">
        <v>11047</v>
      </c>
      <c r="W37" s="63">
        <v>10564</v>
      </c>
      <c r="X37" s="63">
        <v>10379</v>
      </c>
      <c r="Y37" s="63">
        <v>10398</v>
      </c>
      <c r="Z37" s="63">
        <v>10608</v>
      </c>
      <c r="AA37" s="63">
        <v>10676</v>
      </c>
    </row>
    <row r="38" spans="1:27" x14ac:dyDescent="0.25">
      <c r="A38" s="21" t="s">
        <v>1730</v>
      </c>
      <c r="B38" s="63">
        <v>2417</v>
      </c>
      <c r="C38" s="63">
        <v>2313</v>
      </c>
      <c r="D38" s="63">
        <v>2448</v>
      </c>
      <c r="E38" s="63">
        <v>2637</v>
      </c>
      <c r="F38" s="63">
        <v>2683</v>
      </c>
      <c r="G38" s="63">
        <v>2657</v>
      </c>
      <c r="H38" s="63">
        <v>2587</v>
      </c>
      <c r="I38" s="63">
        <v>2691</v>
      </c>
      <c r="J38" s="63">
        <v>2947</v>
      </c>
      <c r="K38" s="63">
        <v>3016</v>
      </c>
      <c r="L38" s="63">
        <v>3214</v>
      </c>
      <c r="M38" s="63">
        <v>3414</v>
      </c>
      <c r="N38" s="63">
        <v>3572</v>
      </c>
      <c r="O38" s="63">
        <v>3685</v>
      </c>
      <c r="P38" s="63">
        <v>3653</v>
      </c>
      <c r="Q38" s="63">
        <v>3504</v>
      </c>
      <c r="R38" s="63">
        <v>3656</v>
      </c>
      <c r="S38" s="63">
        <v>3757</v>
      </c>
      <c r="T38" s="63">
        <v>3613</v>
      </c>
      <c r="U38" s="63">
        <v>3555</v>
      </c>
      <c r="V38" s="63">
        <v>3778</v>
      </c>
      <c r="W38" s="63">
        <v>4097</v>
      </c>
      <c r="X38" s="63">
        <v>4267</v>
      </c>
      <c r="Y38" s="63">
        <v>4504</v>
      </c>
      <c r="Z38" s="63">
        <v>4781</v>
      </c>
      <c r="AA38" s="63">
        <v>5032</v>
      </c>
    </row>
    <row r="39" spans="1:27" x14ac:dyDescent="0.25">
      <c r="A39" s="21" t="s">
        <v>1731</v>
      </c>
      <c r="B39" s="63">
        <v>1472</v>
      </c>
      <c r="C39" s="63">
        <v>1469</v>
      </c>
      <c r="D39" s="63">
        <v>1463</v>
      </c>
      <c r="E39" s="63">
        <v>1470</v>
      </c>
      <c r="F39" s="63">
        <v>1476</v>
      </c>
      <c r="G39" s="63">
        <v>1477</v>
      </c>
      <c r="H39" s="63">
        <v>1486</v>
      </c>
      <c r="I39" s="63">
        <v>1484</v>
      </c>
      <c r="J39" s="63">
        <v>1481</v>
      </c>
      <c r="K39" s="63">
        <v>1479</v>
      </c>
      <c r="L39" s="63">
        <v>1478</v>
      </c>
      <c r="M39">
        <v>894</v>
      </c>
      <c r="N39" s="63">
        <v>1047</v>
      </c>
      <c r="O39" s="63">
        <v>1365</v>
      </c>
      <c r="P39" s="63">
        <v>1259</v>
      </c>
      <c r="Q39" s="63">
        <v>1375</v>
      </c>
      <c r="R39" s="63">
        <v>1758</v>
      </c>
      <c r="S39" s="63">
        <v>1922</v>
      </c>
      <c r="T39" s="63">
        <v>1834</v>
      </c>
      <c r="U39" s="63">
        <v>1795</v>
      </c>
      <c r="V39" s="63">
        <v>4425</v>
      </c>
      <c r="W39" s="63">
        <v>4083</v>
      </c>
      <c r="X39" s="63">
        <v>4019</v>
      </c>
      <c r="Y39" s="63">
        <v>4188</v>
      </c>
      <c r="Z39" s="63">
        <v>4471</v>
      </c>
      <c r="AA39" s="63">
        <v>4296</v>
      </c>
    </row>
    <row r="40" spans="1:27" x14ac:dyDescent="0.25">
      <c r="A40" s="21" t="s">
        <v>1732</v>
      </c>
      <c r="B40" s="63">
        <v>4667</v>
      </c>
      <c r="C40" s="63">
        <v>5009</v>
      </c>
      <c r="D40" s="63">
        <v>4415</v>
      </c>
      <c r="E40" s="63">
        <v>3785</v>
      </c>
      <c r="F40" s="63">
        <v>4141</v>
      </c>
      <c r="G40" s="63">
        <v>4392</v>
      </c>
      <c r="H40" s="63">
        <v>4368</v>
      </c>
      <c r="I40" s="63">
        <v>4280</v>
      </c>
      <c r="J40" s="63">
        <v>4721</v>
      </c>
      <c r="K40" s="63">
        <v>4458</v>
      </c>
      <c r="L40" s="63">
        <v>4328</v>
      </c>
      <c r="M40" s="63">
        <v>4411</v>
      </c>
      <c r="N40" s="63">
        <v>4976</v>
      </c>
      <c r="O40" s="63">
        <v>4575</v>
      </c>
      <c r="P40" s="63">
        <v>3902</v>
      </c>
      <c r="Q40" s="63">
        <v>4349</v>
      </c>
      <c r="R40" s="63">
        <v>4220</v>
      </c>
      <c r="S40" s="63">
        <v>4464</v>
      </c>
      <c r="T40" s="63">
        <v>5025</v>
      </c>
      <c r="U40" s="63">
        <v>3669</v>
      </c>
      <c r="V40" s="63">
        <v>4784</v>
      </c>
      <c r="W40" s="63">
        <v>3873</v>
      </c>
      <c r="X40" s="63">
        <v>5978</v>
      </c>
      <c r="Y40" s="63">
        <v>3907</v>
      </c>
      <c r="Z40" s="63">
        <v>3609</v>
      </c>
      <c r="AA40" s="63">
        <v>3810</v>
      </c>
    </row>
    <row r="41" spans="1:27" x14ac:dyDescent="0.25">
      <c r="A41" s="21" t="s">
        <v>1733</v>
      </c>
      <c r="B41" s="63">
        <v>3553</v>
      </c>
      <c r="C41" s="63">
        <v>3528</v>
      </c>
      <c r="D41" s="63">
        <v>3551</v>
      </c>
      <c r="E41" s="63">
        <v>3574</v>
      </c>
      <c r="F41" s="63">
        <v>3629</v>
      </c>
      <c r="G41" s="63">
        <v>3657</v>
      </c>
      <c r="H41" s="63">
        <v>3722</v>
      </c>
      <c r="I41" s="63">
        <v>3832</v>
      </c>
      <c r="J41" s="63">
        <v>3884</v>
      </c>
      <c r="K41" s="63">
        <v>3849</v>
      </c>
      <c r="L41" s="63">
        <v>3923</v>
      </c>
      <c r="M41" s="63">
        <v>3933</v>
      </c>
      <c r="N41" s="63">
        <v>3884</v>
      </c>
      <c r="O41" s="63">
        <v>3967</v>
      </c>
      <c r="P41" s="63">
        <v>4011</v>
      </c>
      <c r="Q41" s="63">
        <v>3927</v>
      </c>
      <c r="R41" s="63">
        <v>3934</v>
      </c>
      <c r="S41" s="63">
        <v>3924</v>
      </c>
      <c r="T41" s="63">
        <v>3806</v>
      </c>
      <c r="U41" s="63">
        <v>3745</v>
      </c>
      <c r="V41" s="63">
        <v>4154</v>
      </c>
      <c r="W41" s="63">
        <v>4192</v>
      </c>
      <c r="X41" s="63">
        <v>3876</v>
      </c>
      <c r="Y41" s="63">
        <v>3693</v>
      </c>
      <c r="Z41" s="63">
        <v>3567</v>
      </c>
      <c r="AA41" s="63">
        <v>3567</v>
      </c>
    </row>
    <row r="42" spans="1:27" ht="24" x14ac:dyDescent="0.25">
      <c r="A42" s="21" t="s">
        <v>1734</v>
      </c>
      <c r="B42" s="63">
        <v>2822</v>
      </c>
      <c r="C42" s="63">
        <v>2793</v>
      </c>
      <c r="D42" s="63">
        <v>2769</v>
      </c>
      <c r="E42" s="63">
        <v>2736</v>
      </c>
      <c r="F42" s="63">
        <v>2712</v>
      </c>
      <c r="G42" s="63">
        <v>3003</v>
      </c>
      <c r="H42" s="63">
        <v>2979</v>
      </c>
      <c r="I42" s="63">
        <v>3057</v>
      </c>
      <c r="J42" s="63">
        <v>2990</v>
      </c>
      <c r="K42" s="63">
        <v>2859</v>
      </c>
      <c r="L42" s="63">
        <v>2866</v>
      </c>
      <c r="M42" s="63">
        <v>2872</v>
      </c>
      <c r="N42" s="63">
        <v>2822</v>
      </c>
      <c r="O42" s="63">
        <v>2824</v>
      </c>
      <c r="P42" s="63">
        <v>2908</v>
      </c>
      <c r="Q42" s="63">
        <v>2960</v>
      </c>
      <c r="R42" s="63">
        <v>2902</v>
      </c>
      <c r="S42" s="63">
        <v>2937</v>
      </c>
      <c r="T42" s="63">
        <v>2960</v>
      </c>
      <c r="U42" s="63">
        <v>2569</v>
      </c>
      <c r="V42" s="63">
        <v>2697</v>
      </c>
      <c r="W42" s="63">
        <v>2712</v>
      </c>
      <c r="X42" s="63">
        <v>2763</v>
      </c>
      <c r="Y42" s="63">
        <v>2804</v>
      </c>
      <c r="Z42" s="63">
        <v>2827</v>
      </c>
      <c r="AA42" s="63">
        <v>2789</v>
      </c>
    </row>
    <row r="43" spans="1:27" x14ac:dyDescent="0.25">
      <c r="A43" s="21" t="s">
        <v>1735</v>
      </c>
      <c r="B43" s="63">
        <v>6831</v>
      </c>
      <c r="C43" s="63">
        <v>6945</v>
      </c>
      <c r="D43" s="63">
        <v>6804</v>
      </c>
      <c r="E43" s="63">
        <v>6211</v>
      </c>
      <c r="F43" s="63">
        <v>5539</v>
      </c>
      <c r="G43" s="63">
        <v>5659</v>
      </c>
      <c r="H43" s="63">
        <v>5987</v>
      </c>
      <c r="I43" s="63">
        <v>6019</v>
      </c>
      <c r="J43" s="63">
        <v>6191</v>
      </c>
      <c r="K43" s="63">
        <v>6286</v>
      </c>
      <c r="L43" s="63">
        <v>6086</v>
      </c>
      <c r="M43" s="63">
        <v>4382</v>
      </c>
      <c r="N43" s="63">
        <v>4491</v>
      </c>
      <c r="O43" s="63">
        <v>4502</v>
      </c>
      <c r="P43" s="63">
        <v>4231</v>
      </c>
      <c r="Q43" s="63">
        <v>4142</v>
      </c>
      <c r="R43" s="63">
        <v>3801</v>
      </c>
      <c r="S43" s="63">
        <v>4251</v>
      </c>
      <c r="T43" s="63">
        <v>4477</v>
      </c>
      <c r="U43" s="63">
        <v>3009</v>
      </c>
      <c r="V43" s="63">
        <v>2722</v>
      </c>
      <c r="W43" s="63">
        <v>3292</v>
      </c>
      <c r="X43" s="63">
        <v>3439</v>
      </c>
      <c r="Y43" s="63">
        <v>3255</v>
      </c>
      <c r="Z43" s="63">
        <v>2833</v>
      </c>
      <c r="AA43" s="63">
        <v>2767</v>
      </c>
    </row>
    <row r="44" spans="1:27" x14ac:dyDescent="0.25">
      <c r="A44" s="21" t="s">
        <v>1736</v>
      </c>
      <c r="B44" s="63">
        <v>2152</v>
      </c>
      <c r="C44" s="63">
        <v>1929</v>
      </c>
      <c r="D44" s="63">
        <v>1957</v>
      </c>
      <c r="E44" s="63">
        <v>1904</v>
      </c>
      <c r="F44" s="63">
        <v>2021</v>
      </c>
      <c r="G44" s="63">
        <v>2036</v>
      </c>
      <c r="H44" s="63">
        <v>2133</v>
      </c>
      <c r="I44" s="63">
        <v>2226</v>
      </c>
      <c r="J44" s="63">
        <v>2218</v>
      </c>
      <c r="K44" s="63">
        <v>2185</v>
      </c>
      <c r="L44" s="63">
        <v>1893</v>
      </c>
      <c r="M44" s="63">
        <v>1459</v>
      </c>
      <c r="N44" s="63">
        <v>1349</v>
      </c>
      <c r="O44" s="63">
        <v>1305</v>
      </c>
      <c r="P44" s="63">
        <v>1419</v>
      </c>
      <c r="Q44" s="63">
        <v>1392</v>
      </c>
      <c r="R44" s="63">
        <v>1505</v>
      </c>
      <c r="S44" s="63">
        <v>1552</v>
      </c>
      <c r="T44" s="63">
        <v>1599</v>
      </c>
      <c r="U44" s="63">
        <v>1469</v>
      </c>
      <c r="V44" s="63">
        <v>1663</v>
      </c>
      <c r="W44" s="63">
        <v>1735</v>
      </c>
      <c r="X44" s="63">
        <v>1903</v>
      </c>
      <c r="Y44" s="63">
        <v>1785</v>
      </c>
      <c r="Z44" s="63">
        <v>1914</v>
      </c>
      <c r="AA44" s="63">
        <v>1960</v>
      </c>
    </row>
    <row r="45" spans="1:27" x14ac:dyDescent="0.25">
      <c r="A45" s="21" t="s">
        <v>1737</v>
      </c>
      <c r="B45" s="63">
        <v>1195</v>
      </c>
      <c r="C45" s="63">
        <v>1211</v>
      </c>
      <c r="D45" s="63">
        <v>1392</v>
      </c>
      <c r="E45" s="63">
        <v>1416</v>
      </c>
      <c r="F45" s="63">
        <v>1526</v>
      </c>
      <c r="G45" s="63">
        <v>1526</v>
      </c>
      <c r="H45" s="63">
        <v>1514</v>
      </c>
      <c r="I45" s="63">
        <v>1677</v>
      </c>
      <c r="J45" s="63">
        <v>1662</v>
      </c>
      <c r="K45" s="63">
        <v>1693</v>
      </c>
      <c r="L45" s="63">
        <v>1752</v>
      </c>
      <c r="M45" s="63">
        <v>1697</v>
      </c>
      <c r="N45" s="63">
        <v>1824</v>
      </c>
      <c r="O45" s="63">
        <v>1839</v>
      </c>
      <c r="P45" s="63">
        <v>2064</v>
      </c>
      <c r="Q45" s="63">
        <v>1755</v>
      </c>
      <c r="R45" s="63">
        <v>1836</v>
      </c>
      <c r="S45" s="63">
        <v>1930</v>
      </c>
      <c r="T45" s="63">
        <v>1809</v>
      </c>
      <c r="U45" s="63">
        <v>1648</v>
      </c>
      <c r="V45" s="63">
        <v>1769</v>
      </c>
      <c r="W45" s="63">
        <v>1729</v>
      </c>
      <c r="X45" s="63">
        <v>1528</v>
      </c>
      <c r="Y45" s="63">
        <v>1715</v>
      </c>
      <c r="Z45" s="63">
        <v>1688</v>
      </c>
      <c r="AA45" s="63">
        <v>1635</v>
      </c>
    </row>
    <row r="46" spans="1:27" x14ac:dyDescent="0.25">
      <c r="A46" s="21" t="s">
        <v>1738</v>
      </c>
      <c r="B46" s="63">
        <v>1535</v>
      </c>
      <c r="C46" s="63">
        <v>1439</v>
      </c>
      <c r="D46" s="63">
        <v>1540</v>
      </c>
      <c r="E46" s="63">
        <v>1626</v>
      </c>
      <c r="F46" s="63">
        <v>1735</v>
      </c>
      <c r="G46" s="63">
        <v>1823</v>
      </c>
      <c r="H46" s="63">
        <v>1677</v>
      </c>
      <c r="I46" s="63">
        <v>1618</v>
      </c>
      <c r="J46" s="63">
        <v>1543</v>
      </c>
      <c r="K46" s="63">
        <v>1357</v>
      </c>
      <c r="L46" s="63">
        <v>1686</v>
      </c>
      <c r="M46" s="63">
        <v>1386</v>
      </c>
      <c r="N46" s="63">
        <v>1741</v>
      </c>
      <c r="O46" s="63">
        <v>1623</v>
      </c>
      <c r="P46" s="63">
        <v>1642</v>
      </c>
      <c r="Q46" s="63">
        <v>1928</v>
      </c>
      <c r="R46" s="63">
        <v>2050</v>
      </c>
      <c r="S46" s="63">
        <v>1536</v>
      </c>
      <c r="T46" s="63">
        <v>1523</v>
      </c>
      <c r="U46" s="63">
        <v>1045</v>
      </c>
      <c r="V46" s="63">
        <v>1481</v>
      </c>
      <c r="W46" s="63">
        <v>1299</v>
      </c>
      <c r="X46" s="63">
        <v>1248</v>
      </c>
      <c r="Y46" s="63">
        <v>1317</v>
      </c>
      <c r="Z46" s="63">
        <v>1336</v>
      </c>
      <c r="AA46" s="63">
        <v>1299</v>
      </c>
    </row>
    <row r="47" spans="1:27" ht="24" x14ac:dyDescent="0.25">
      <c r="A47" s="21" t="s">
        <v>1739</v>
      </c>
      <c r="B47" s="63">
        <v>3784</v>
      </c>
      <c r="C47" s="63">
        <v>3501</v>
      </c>
      <c r="D47" s="63">
        <v>3863</v>
      </c>
      <c r="E47" s="63">
        <v>4568</v>
      </c>
      <c r="F47" s="63">
        <v>4268</v>
      </c>
      <c r="G47" s="63">
        <v>4255</v>
      </c>
      <c r="H47" s="63">
        <v>3859</v>
      </c>
      <c r="I47" s="63">
        <v>3931</v>
      </c>
      <c r="J47" s="63">
        <v>4844</v>
      </c>
      <c r="K47" s="63">
        <v>4650</v>
      </c>
      <c r="L47" s="63">
        <v>4231</v>
      </c>
      <c r="M47" s="63">
        <v>4072</v>
      </c>
      <c r="N47" s="63">
        <v>3700</v>
      </c>
      <c r="O47" s="63">
        <v>3558</v>
      </c>
      <c r="P47" s="63">
        <v>3673</v>
      </c>
      <c r="Q47" s="63">
        <v>3653</v>
      </c>
      <c r="R47" s="63">
        <v>3519</v>
      </c>
      <c r="S47" s="63">
        <v>4944</v>
      </c>
      <c r="T47" s="63">
        <v>4065</v>
      </c>
      <c r="U47" s="63">
        <v>3427</v>
      </c>
      <c r="V47" s="63">
        <v>4730</v>
      </c>
      <c r="W47" s="63">
        <v>4030</v>
      </c>
      <c r="X47" s="63">
        <v>4407</v>
      </c>
      <c r="Y47" s="63">
        <v>4014</v>
      </c>
      <c r="Z47" s="63">
        <v>1380</v>
      </c>
      <c r="AA47" s="63">
        <v>1128</v>
      </c>
    </row>
    <row r="48" spans="1:27" x14ac:dyDescent="0.25">
      <c r="A48" s="21" t="s">
        <v>1740</v>
      </c>
      <c r="B48" s="63">
        <v>1529</v>
      </c>
      <c r="C48" s="63">
        <v>1398</v>
      </c>
      <c r="D48" s="63">
        <v>1509</v>
      </c>
      <c r="E48" s="63">
        <v>1304</v>
      </c>
      <c r="F48" s="63">
        <v>1519</v>
      </c>
      <c r="G48" s="63">
        <v>1513</v>
      </c>
      <c r="H48" s="63">
        <v>1551</v>
      </c>
      <c r="I48" s="63">
        <v>1544</v>
      </c>
      <c r="J48" s="63">
        <v>1593</v>
      </c>
      <c r="K48" s="63">
        <v>1539</v>
      </c>
      <c r="L48" s="63">
        <v>1382</v>
      </c>
      <c r="M48" s="63">
        <v>1264</v>
      </c>
      <c r="N48" s="63">
        <v>1338</v>
      </c>
      <c r="O48" s="63">
        <v>1382</v>
      </c>
      <c r="P48" s="63">
        <v>1395</v>
      </c>
      <c r="Q48" s="63">
        <v>1342</v>
      </c>
      <c r="R48" s="63">
        <v>1160</v>
      </c>
      <c r="S48" s="63">
        <v>1203</v>
      </c>
      <c r="T48" s="63">
        <v>1132</v>
      </c>
      <c r="U48">
        <v>977</v>
      </c>
      <c r="V48" s="63">
        <v>1087</v>
      </c>
      <c r="W48" s="63">
        <v>1171</v>
      </c>
      <c r="X48" s="63">
        <v>1118</v>
      </c>
      <c r="Y48" s="63">
        <v>1149</v>
      </c>
      <c r="Z48" s="63">
        <v>1038</v>
      </c>
      <c r="AA48">
        <v>999</v>
      </c>
    </row>
    <row r="49" spans="1:28" x14ac:dyDescent="0.25">
      <c r="A49" s="21" t="s">
        <v>1741</v>
      </c>
      <c r="B49">
        <v>632</v>
      </c>
      <c r="C49">
        <v>809</v>
      </c>
      <c r="D49">
        <v>843</v>
      </c>
      <c r="E49">
        <v>931</v>
      </c>
      <c r="F49">
        <v>918</v>
      </c>
      <c r="G49">
        <v>865</v>
      </c>
      <c r="H49">
        <v>925</v>
      </c>
      <c r="I49">
        <v>971</v>
      </c>
      <c r="J49">
        <v>885</v>
      </c>
      <c r="K49">
        <v>865</v>
      </c>
      <c r="L49">
        <v>944</v>
      </c>
      <c r="M49">
        <v>713</v>
      </c>
      <c r="N49">
        <v>746</v>
      </c>
      <c r="O49" s="63">
        <v>1096</v>
      </c>
      <c r="P49" s="63">
        <v>1030</v>
      </c>
      <c r="Q49" s="63">
        <v>1030</v>
      </c>
      <c r="R49" s="63">
        <v>1030</v>
      </c>
      <c r="S49" s="63">
        <v>1025</v>
      </c>
      <c r="T49" s="63">
        <v>1159</v>
      </c>
      <c r="U49">
        <v>943</v>
      </c>
      <c r="V49" s="63">
        <v>1182</v>
      </c>
      <c r="W49" s="63">
        <v>1286</v>
      </c>
      <c r="X49" s="63">
        <v>1486</v>
      </c>
      <c r="Y49" s="63">
        <v>1429</v>
      </c>
      <c r="Z49">
        <v>956</v>
      </c>
      <c r="AA49">
        <v>933</v>
      </c>
    </row>
    <row r="50" spans="1:28" x14ac:dyDescent="0.25">
      <c r="A50" s="21" t="s">
        <v>1742</v>
      </c>
      <c r="B50">
        <v>516</v>
      </c>
      <c r="C50">
        <v>485</v>
      </c>
      <c r="D50">
        <v>488</v>
      </c>
      <c r="E50">
        <v>486</v>
      </c>
      <c r="F50">
        <v>507</v>
      </c>
      <c r="G50">
        <v>553</v>
      </c>
      <c r="H50">
        <v>563</v>
      </c>
      <c r="I50">
        <v>585</v>
      </c>
      <c r="J50">
        <v>588</v>
      </c>
      <c r="K50">
        <v>587</v>
      </c>
      <c r="L50">
        <v>594</v>
      </c>
      <c r="M50">
        <v>563</v>
      </c>
      <c r="N50">
        <v>561</v>
      </c>
      <c r="O50">
        <v>574</v>
      </c>
      <c r="P50">
        <v>546</v>
      </c>
      <c r="Q50">
        <v>553</v>
      </c>
      <c r="R50">
        <v>560</v>
      </c>
      <c r="S50">
        <v>562</v>
      </c>
      <c r="T50">
        <v>547</v>
      </c>
      <c r="U50">
        <v>525</v>
      </c>
      <c r="V50">
        <v>542</v>
      </c>
      <c r="W50">
        <v>538</v>
      </c>
      <c r="X50">
        <v>527</v>
      </c>
      <c r="Y50">
        <v>546</v>
      </c>
      <c r="Z50">
        <v>459</v>
      </c>
      <c r="AA50">
        <v>473</v>
      </c>
    </row>
    <row r="51" spans="1:28" ht="24" x14ac:dyDescent="0.25">
      <c r="A51" s="21" t="s">
        <v>1743</v>
      </c>
      <c r="B51">
        <v>375</v>
      </c>
      <c r="C51">
        <v>287</v>
      </c>
      <c r="D51">
        <v>313</v>
      </c>
      <c r="E51">
        <v>297</v>
      </c>
      <c r="F51">
        <v>325</v>
      </c>
      <c r="G51">
        <v>329</v>
      </c>
      <c r="H51">
        <v>332</v>
      </c>
      <c r="I51">
        <v>347</v>
      </c>
      <c r="J51">
        <v>373</v>
      </c>
      <c r="K51">
        <v>301</v>
      </c>
      <c r="L51">
        <v>248</v>
      </c>
      <c r="M51">
        <v>199</v>
      </c>
      <c r="N51">
        <v>183</v>
      </c>
      <c r="O51">
        <v>202</v>
      </c>
      <c r="P51">
        <v>224</v>
      </c>
      <c r="Q51">
        <v>219</v>
      </c>
      <c r="R51">
        <v>207</v>
      </c>
      <c r="S51">
        <v>196</v>
      </c>
      <c r="T51">
        <v>175</v>
      </c>
      <c r="U51">
        <v>145</v>
      </c>
      <c r="V51">
        <v>181</v>
      </c>
      <c r="W51">
        <v>170</v>
      </c>
      <c r="X51">
        <v>158</v>
      </c>
      <c r="Y51">
        <v>169</v>
      </c>
      <c r="Z51">
        <v>173</v>
      </c>
      <c r="AA51">
        <v>180</v>
      </c>
    </row>
    <row r="52" spans="1:28" ht="24" x14ac:dyDescent="0.25">
      <c r="A52" s="21" t="s">
        <v>1744</v>
      </c>
      <c r="B52">
        <v>1</v>
      </c>
      <c r="C52">
        <v>1</v>
      </c>
      <c r="D52">
        <v>1</v>
      </c>
      <c r="E52">
        <v>1</v>
      </c>
      <c r="F52">
        <v>1</v>
      </c>
      <c r="G52">
        <v>1</v>
      </c>
      <c r="H52">
        <v>2</v>
      </c>
      <c r="I52">
        <v>2</v>
      </c>
      <c r="J52">
        <v>2</v>
      </c>
      <c r="K52">
        <v>2</v>
      </c>
      <c r="L52">
        <v>2</v>
      </c>
      <c r="M52">
        <v>3</v>
      </c>
      <c r="N52">
        <v>3</v>
      </c>
      <c r="O52">
        <v>3</v>
      </c>
      <c r="P52">
        <v>2</v>
      </c>
      <c r="Q52">
        <v>3</v>
      </c>
      <c r="R52">
        <v>3</v>
      </c>
      <c r="S52">
        <v>3</v>
      </c>
      <c r="T52">
        <v>2</v>
      </c>
      <c r="U52">
        <v>1</v>
      </c>
      <c r="V52">
        <v>1</v>
      </c>
      <c r="W52">
        <v>3</v>
      </c>
      <c r="X52">
        <v>2</v>
      </c>
      <c r="Y52">
        <v>2</v>
      </c>
      <c r="Z52">
        <v>2</v>
      </c>
      <c r="AA52">
        <v>3</v>
      </c>
    </row>
    <row r="53" spans="1:28" ht="24" x14ac:dyDescent="0.25">
      <c r="A53" s="31" t="s">
        <v>1745</v>
      </c>
      <c r="B53" s="63">
        <v>219413</v>
      </c>
      <c r="C53" s="63">
        <v>220165</v>
      </c>
      <c r="D53" s="63">
        <v>230609</v>
      </c>
      <c r="E53" s="63">
        <v>225797</v>
      </c>
      <c r="F53" s="63">
        <v>232298</v>
      </c>
      <c r="G53" s="63">
        <v>236907</v>
      </c>
      <c r="H53" s="63">
        <v>241332</v>
      </c>
      <c r="I53" s="63">
        <v>235579</v>
      </c>
      <c r="J53" s="63">
        <v>218236</v>
      </c>
      <c r="K53" s="63">
        <v>221493</v>
      </c>
      <c r="L53" s="63">
        <v>227435</v>
      </c>
      <c r="M53" s="63">
        <v>203427</v>
      </c>
      <c r="N53" s="63">
        <v>204703</v>
      </c>
      <c r="O53" s="63">
        <v>209935</v>
      </c>
      <c r="P53" s="63">
        <v>225419</v>
      </c>
      <c r="Q53" s="63">
        <v>230700</v>
      </c>
      <c r="R53" s="63">
        <v>236298</v>
      </c>
      <c r="S53" s="63">
        <v>244574</v>
      </c>
      <c r="T53" s="63">
        <v>257532</v>
      </c>
      <c r="U53" s="63">
        <v>253524</v>
      </c>
      <c r="V53" s="63">
        <v>267560</v>
      </c>
      <c r="W53" s="63">
        <v>276413</v>
      </c>
      <c r="X53" s="63">
        <v>276201</v>
      </c>
      <c r="Y53" s="63">
        <v>299785</v>
      </c>
      <c r="Z53" s="63">
        <v>307079</v>
      </c>
      <c r="AA53" s="63">
        <v>291735</v>
      </c>
    </row>
    <row r="54" spans="1:28" x14ac:dyDescent="0.25">
      <c r="A54" s="31" t="s">
        <v>1746</v>
      </c>
      <c r="B54" s="63">
        <v>103463</v>
      </c>
      <c r="C54" s="63">
        <v>117569</v>
      </c>
      <c r="D54" s="63">
        <v>107863</v>
      </c>
      <c r="E54" s="63">
        <v>97829</v>
      </c>
      <c r="F54" s="63">
        <v>96689</v>
      </c>
      <c r="G54" s="63">
        <v>98492</v>
      </c>
      <c r="H54" s="63">
        <v>99750</v>
      </c>
      <c r="I54" s="63">
        <v>106961</v>
      </c>
      <c r="J54" s="63">
        <v>110491</v>
      </c>
      <c r="K54" s="63">
        <v>102733</v>
      </c>
      <c r="L54" s="63">
        <v>101726</v>
      </c>
      <c r="M54" s="63">
        <v>93731</v>
      </c>
      <c r="N54" s="63">
        <v>94443</v>
      </c>
      <c r="O54" s="63">
        <v>98310</v>
      </c>
      <c r="P54" s="63">
        <v>108391</v>
      </c>
      <c r="Q54" s="63">
        <v>113139</v>
      </c>
      <c r="R54" s="63">
        <v>114116</v>
      </c>
      <c r="S54" s="63">
        <v>115345</v>
      </c>
      <c r="T54" s="63">
        <v>114342</v>
      </c>
      <c r="U54" s="63">
        <v>106410</v>
      </c>
      <c r="V54" s="63">
        <v>116992</v>
      </c>
      <c r="W54" s="63">
        <v>111660</v>
      </c>
      <c r="X54" s="63">
        <v>105805</v>
      </c>
      <c r="Y54" s="63">
        <v>99763</v>
      </c>
      <c r="Z54" s="63">
        <v>103201</v>
      </c>
      <c r="AA54" s="63">
        <v>110751</v>
      </c>
    </row>
    <row r="55" spans="1:28" x14ac:dyDescent="0.25">
      <c r="A55" s="31" t="s">
        <v>1747</v>
      </c>
      <c r="B55" s="63">
        <v>31232</v>
      </c>
      <c r="C55" s="63">
        <v>31413</v>
      </c>
      <c r="D55" s="63">
        <v>31370</v>
      </c>
      <c r="E55" s="63">
        <v>30764</v>
      </c>
      <c r="F55" s="63">
        <v>30917</v>
      </c>
      <c r="G55" s="63">
        <v>30605</v>
      </c>
      <c r="H55" s="63">
        <v>30259</v>
      </c>
      <c r="I55" s="63">
        <v>29619</v>
      </c>
      <c r="J55" s="63">
        <v>29031</v>
      </c>
      <c r="K55" s="63">
        <v>28557</v>
      </c>
      <c r="L55" s="63">
        <v>28169</v>
      </c>
      <c r="M55" s="63">
        <v>27831</v>
      </c>
      <c r="N55" s="63">
        <v>27369</v>
      </c>
      <c r="O55" s="63">
        <v>27376</v>
      </c>
      <c r="P55" s="63">
        <v>27032</v>
      </c>
      <c r="Q55" s="63">
        <v>27238</v>
      </c>
      <c r="R55" s="63">
        <v>27283</v>
      </c>
      <c r="S55" s="63">
        <v>27439</v>
      </c>
      <c r="T55" s="63">
        <v>27804</v>
      </c>
      <c r="U55" s="63">
        <v>27616</v>
      </c>
      <c r="V55" s="63">
        <v>27685</v>
      </c>
      <c r="W55" s="63">
        <v>26884</v>
      </c>
      <c r="X55" s="63">
        <v>26643</v>
      </c>
      <c r="Y55" s="63">
        <v>26351</v>
      </c>
      <c r="Z55" s="63">
        <v>26366</v>
      </c>
      <c r="AA55" s="63">
        <v>26229</v>
      </c>
      <c r="AB55" s="2"/>
    </row>
    <row r="56" spans="1:28" x14ac:dyDescent="0.25">
      <c r="A56" s="21" t="s">
        <v>1748</v>
      </c>
      <c r="B56" s="63">
        <v>6566</v>
      </c>
      <c r="C56" s="63">
        <v>6576</v>
      </c>
      <c r="D56" s="63">
        <v>6767</v>
      </c>
      <c r="E56" s="63">
        <v>6864</v>
      </c>
      <c r="F56" s="63">
        <v>6989</v>
      </c>
      <c r="G56" s="63">
        <v>7146</v>
      </c>
      <c r="H56" s="63">
        <v>7100</v>
      </c>
      <c r="I56" s="63">
        <v>6965</v>
      </c>
      <c r="J56" s="63">
        <v>6891</v>
      </c>
      <c r="K56" s="63">
        <v>6897</v>
      </c>
      <c r="L56" s="63">
        <v>6824</v>
      </c>
      <c r="M56" s="63">
        <v>6784</v>
      </c>
      <c r="N56" s="63">
        <v>6794</v>
      </c>
      <c r="O56" s="63">
        <v>6801</v>
      </c>
      <c r="P56" s="63">
        <v>6674</v>
      </c>
      <c r="Q56" s="63">
        <v>6755</v>
      </c>
      <c r="R56" s="63">
        <v>6863</v>
      </c>
      <c r="S56" s="63">
        <v>6979</v>
      </c>
      <c r="T56" s="63">
        <v>6954</v>
      </c>
      <c r="U56" s="63">
        <v>6920</v>
      </c>
      <c r="V56" s="63">
        <v>6853</v>
      </c>
      <c r="W56" s="63">
        <v>6757</v>
      </c>
      <c r="X56" s="63">
        <v>6670</v>
      </c>
      <c r="Y56" s="63">
        <v>6619</v>
      </c>
      <c r="Z56" s="63">
        <v>6567</v>
      </c>
      <c r="AA56" s="63">
        <v>6661</v>
      </c>
      <c r="AB56" s="2"/>
    </row>
    <row r="57" spans="1:28" x14ac:dyDescent="0.25">
      <c r="A57" s="21" t="s">
        <v>1723</v>
      </c>
      <c r="B57" s="63">
        <v>7762</v>
      </c>
      <c r="C57" s="63">
        <v>7860</v>
      </c>
      <c r="D57" s="63">
        <v>7812</v>
      </c>
      <c r="E57" s="63">
        <v>7713</v>
      </c>
      <c r="F57" s="63">
        <v>7691</v>
      </c>
      <c r="G57" s="63">
        <v>7398</v>
      </c>
      <c r="H57" s="63">
        <v>7274</v>
      </c>
      <c r="I57" s="63">
        <v>7168</v>
      </c>
      <c r="J57" s="63">
        <v>6978</v>
      </c>
      <c r="K57" s="63">
        <v>6915</v>
      </c>
      <c r="L57" s="63">
        <v>6788</v>
      </c>
      <c r="M57" s="63">
        <v>6793</v>
      </c>
      <c r="N57" s="63">
        <v>6535</v>
      </c>
      <c r="O57" s="63">
        <v>6492</v>
      </c>
      <c r="P57" s="63">
        <v>6407</v>
      </c>
      <c r="Q57" s="63">
        <v>6387</v>
      </c>
      <c r="R57" s="63">
        <v>6488</v>
      </c>
      <c r="S57" s="63">
        <v>6392</v>
      </c>
      <c r="T57" s="63">
        <v>6510</v>
      </c>
      <c r="U57" s="63">
        <v>6243</v>
      </c>
      <c r="V57" s="63">
        <v>6092</v>
      </c>
      <c r="W57" s="63">
        <v>6180</v>
      </c>
      <c r="X57" s="63">
        <v>6247</v>
      </c>
      <c r="Y57" s="63">
        <v>6368</v>
      </c>
      <c r="Z57" s="63">
        <v>6501</v>
      </c>
      <c r="AA57" s="63">
        <v>6497</v>
      </c>
      <c r="AB57" s="2"/>
    </row>
    <row r="58" spans="1:28" x14ac:dyDescent="0.25">
      <c r="A58" s="21" t="s">
        <v>1749</v>
      </c>
      <c r="B58" s="63">
        <v>7182</v>
      </c>
      <c r="C58" s="63">
        <v>7267</v>
      </c>
      <c r="D58" s="63">
        <v>7255</v>
      </c>
      <c r="E58" s="63">
        <v>7169</v>
      </c>
      <c r="F58" s="63">
        <v>7159</v>
      </c>
      <c r="G58" s="63">
        <v>6967</v>
      </c>
      <c r="H58" s="63">
        <v>6822</v>
      </c>
      <c r="I58" s="63">
        <v>6444</v>
      </c>
      <c r="J58" s="63">
        <v>6054</v>
      </c>
      <c r="K58" s="63">
        <v>5786</v>
      </c>
      <c r="L58" s="63">
        <v>5656</v>
      </c>
      <c r="M58" s="63">
        <v>5472</v>
      </c>
      <c r="N58" s="63">
        <v>5394</v>
      </c>
      <c r="O58" s="63">
        <v>5496</v>
      </c>
      <c r="P58" s="63">
        <v>5395</v>
      </c>
      <c r="Q58" s="63">
        <v>5372</v>
      </c>
      <c r="R58" s="63">
        <v>5292</v>
      </c>
      <c r="S58" s="63">
        <v>5213</v>
      </c>
      <c r="T58" s="63">
        <v>5136</v>
      </c>
      <c r="U58" s="63">
        <v>5058</v>
      </c>
      <c r="V58" s="63">
        <v>5103</v>
      </c>
      <c r="W58" s="63">
        <v>4760</v>
      </c>
      <c r="X58" s="63">
        <v>4834</v>
      </c>
      <c r="Y58" s="63">
        <v>4669</v>
      </c>
      <c r="Z58" s="63">
        <v>4663</v>
      </c>
      <c r="AA58" s="63">
        <v>4628</v>
      </c>
    </row>
    <row r="59" spans="1:28" x14ac:dyDescent="0.25">
      <c r="A59" s="21" t="s">
        <v>1750</v>
      </c>
      <c r="B59" s="63">
        <v>1486</v>
      </c>
      <c r="C59" s="63">
        <v>1555</v>
      </c>
      <c r="D59" s="63">
        <v>1500</v>
      </c>
      <c r="E59" s="63">
        <v>1569</v>
      </c>
      <c r="F59" s="63">
        <v>1679</v>
      </c>
      <c r="G59" s="63">
        <v>1731</v>
      </c>
      <c r="H59" s="63">
        <v>1704</v>
      </c>
      <c r="I59" s="63">
        <v>1786</v>
      </c>
      <c r="J59" s="63">
        <v>1949</v>
      </c>
      <c r="K59" s="63">
        <v>1972</v>
      </c>
      <c r="L59" s="63">
        <v>2001</v>
      </c>
      <c r="M59" s="63">
        <v>2088</v>
      </c>
      <c r="N59" s="63">
        <v>2141</v>
      </c>
      <c r="O59" s="63">
        <v>2175</v>
      </c>
      <c r="P59" s="63">
        <v>2122</v>
      </c>
      <c r="Q59" s="63">
        <v>2254</v>
      </c>
      <c r="R59" s="63">
        <v>2278</v>
      </c>
      <c r="S59" s="63">
        <v>2480</v>
      </c>
      <c r="T59" s="63">
        <v>2455</v>
      </c>
      <c r="U59" s="63">
        <v>2414</v>
      </c>
      <c r="V59" s="63">
        <v>2482</v>
      </c>
      <c r="W59" s="63">
        <v>2519</v>
      </c>
      <c r="X59" s="63">
        <v>2625</v>
      </c>
      <c r="Y59" s="63">
        <v>2530</v>
      </c>
      <c r="Z59" s="63">
        <v>2514</v>
      </c>
      <c r="AA59" s="63">
        <v>2651</v>
      </c>
    </row>
    <row r="60" spans="1:28" x14ac:dyDescent="0.25">
      <c r="A60" s="21" t="s">
        <v>1751</v>
      </c>
      <c r="B60" s="63">
        <v>3860</v>
      </c>
      <c r="C60" s="63">
        <v>3727</v>
      </c>
      <c r="D60" s="63">
        <v>3626</v>
      </c>
      <c r="E60" s="63">
        <v>3091</v>
      </c>
      <c r="F60" s="63">
        <v>3104</v>
      </c>
      <c r="G60" s="63">
        <v>3056</v>
      </c>
      <c r="H60" s="63">
        <v>3038</v>
      </c>
      <c r="I60" s="63">
        <v>3017</v>
      </c>
      <c r="J60" s="63">
        <v>3029</v>
      </c>
      <c r="K60" s="63">
        <v>2848</v>
      </c>
      <c r="L60" s="63">
        <v>2730</v>
      </c>
      <c r="M60" s="63">
        <v>2720</v>
      </c>
      <c r="N60" s="63">
        <v>2552</v>
      </c>
      <c r="O60" s="63">
        <v>2559</v>
      </c>
      <c r="P60" s="63">
        <v>2611</v>
      </c>
      <c r="Q60" s="63">
        <v>2565</v>
      </c>
      <c r="R60" s="63">
        <v>2622</v>
      </c>
      <c r="S60" s="63">
        <v>2591</v>
      </c>
      <c r="T60" s="63">
        <v>3026</v>
      </c>
      <c r="U60" s="63">
        <v>3194</v>
      </c>
      <c r="V60" s="63">
        <v>3293</v>
      </c>
      <c r="W60" s="63">
        <v>2849</v>
      </c>
      <c r="X60" s="63">
        <v>2658</v>
      </c>
      <c r="Y60" s="63">
        <v>2584</v>
      </c>
      <c r="Z60" s="63">
        <v>2593</v>
      </c>
      <c r="AA60" s="63">
        <v>2436</v>
      </c>
      <c r="AB60" s="2"/>
    </row>
    <row r="61" spans="1:28" x14ac:dyDescent="0.25">
      <c r="A61" s="21" t="s">
        <v>1733</v>
      </c>
      <c r="B61" s="63">
        <v>2218</v>
      </c>
      <c r="C61" s="63">
        <v>2221</v>
      </c>
      <c r="D61" s="63">
        <v>2152</v>
      </c>
      <c r="E61" s="63">
        <v>2105</v>
      </c>
      <c r="F61" s="63">
        <v>2067</v>
      </c>
      <c r="G61" s="63">
        <v>2035</v>
      </c>
      <c r="H61" s="63">
        <v>2021</v>
      </c>
      <c r="I61" s="63">
        <v>2017</v>
      </c>
      <c r="J61" s="63">
        <v>1959</v>
      </c>
      <c r="K61" s="63">
        <v>1893</v>
      </c>
      <c r="L61" s="63">
        <v>1892</v>
      </c>
      <c r="M61" s="63">
        <v>1885</v>
      </c>
      <c r="N61" s="63">
        <v>1861</v>
      </c>
      <c r="O61" s="63">
        <v>1852</v>
      </c>
      <c r="P61" s="63">
        <v>1841</v>
      </c>
      <c r="Q61" s="63">
        <v>1840</v>
      </c>
      <c r="R61" s="63">
        <v>1852</v>
      </c>
      <c r="S61" s="63">
        <v>1849</v>
      </c>
      <c r="T61" s="63">
        <v>1882</v>
      </c>
      <c r="U61" s="63">
        <v>1848</v>
      </c>
      <c r="V61" s="63">
        <v>1878</v>
      </c>
      <c r="W61" s="63">
        <v>1922</v>
      </c>
      <c r="X61" s="63">
        <v>1858</v>
      </c>
      <c r="Y61" s="63">
        <v>1778</v>
      </c>
      <c r="Z61" s="63">
        <v>1721</v>
      </c>
      <c r="AA61" s="63">
        <v>1595</v>
      </c>
    </row>
    <row r="62" spans="1:28" x14ac:dyDescent="0.25">
      <c r="A62" s="21" t="s">
        <v>1752</v>
      </c>
      <c r="B62">
        <v>627</v>
      </c>
      <c r="C62">
        <v>637</v>
      </c>
      <c r="D62">
        <v>649</v>
      </c>
      <c r="E62">
        <v>648</v>
      </c>
      <c r="F62">
        <v>655</v>
      </c>
      <c r="G62">
        <v>657</v>
      </c>
      <c r="H62">
        <v>656</v>
      </c>
      <c r="I62">
        <v>661</v>
      </c>
      <c r="J62">
        <v>662</v>
      </c>
      <c r="K62">
        <v>665</v>
      </c>
      <c r="L62">
        <v>663</v>
      </c>
      <c r="M62">
        <v>651</v>
      </c>
      <c r="N62">
        <v>651</v>
      </c>
      <c r="O62">
        <v>643</v>
      </c>
      <c r="P62">
        <v>637</v>
      </c>
      <c r="Q62">
        <v>639</v>
      </c>
      <c r="R62">
        <v>639</v>
      </c>
      <c r="S62">
        <v>639</v>
      </c>
      <c r="T62">
        <v>639</v>
      </c>
      <c r="U62">
        <v>626</v>
      </c>
      <c r="V62">
        <v>622</v>
      </c>
      <c r="W62">
        <v>613</v>
      </c>
      <c r="X62">
        <v>604</v>
      </c>
      <c r="Y62">
        <v>597</v>
      </c>
      <c r="Z62">
        <v>592</v>
      </c>
      <c r="AA62">
        <v>591</v>
      </c>
      <c r="AB62" s="103"/>
    </row>
    <row r="63" spans="1:28" x14ac:dyDescent="0.25">
      <c r="A63" s="21" t="s">
        <v>1753</v>
      </c>
      <c r="B63">
        <v>641</v>
      </c>
      <c r="C63">
        <v>673</v>
      </c>
      <c r="D63">
        <v>675</v>
      </c>
      <c r="E63">
        <v>678</v>
      </c>
      <c r="F63">
        <v>594</v>
      </c>
      <c r="G63">
        <v>631</v>
      </c>
      <c r="H63">
        <v>639</v>
      </c>
      <c r="I63">
        <v>632</v>
      </c>
      <c r="J63">
        <v>644</v>
      </c>
      <c r="K63">
        <v>723</v>
      </c>
      <c r="L63">
        <v>731</v>
      </c>
      <c r="M63">
        <v>622</v>
      </c>
      <c r="N63">
        <v>659</v>
      </c>
      <c r="O63">
        <v>572</v>
      </c>
      <c r="P63">
        <v>565</v>
      </c>
      <c r="Q63">
        <v>667</v>
      </c>
      <c r="R63">
        <v>515</v>
      </c>
      <c r="S63">
        <v>558</v>
      </c>
      <c r="T63">
        <v>460</v>
      </c>
      <c r="U63">
        <v>578</v>
      </c>
      <c r="V63">
        <v>635</v>
      </c>
      <c r="W63">
        <v>564</v>
      </c>
      <c r="X63">
        <v>453</v>
      </c>
      <c r="Y63">
        <v>454</v>
      </c>
      <c r="Z63">
        <v>456</v>
      </c>
      <c r="AA63">
        <v>449</v>
      </c>
      <c r="AB63" s="2"/>
    </row>
    <row r="64" spans="1:28" x14ac:dyDescent="0.25">
      <c r="A64" s="21" t="s">
        <v>1754</v>
      </c>
      <c r="B64">
        <v>339</v>
      </c>
      <c r="C64">
        <v>346</v>
      </c>
      <c r="D64">
        <v>358</v>
      </c>
      <c r="E64">
        <v>336</v>
      </c>
      <c r="F64">
        <v>328</v>
      </c>
      <c r="G64">
        <v>327</v>
      </c>
      <c r="H64">
        <v>340</v>
      </c>
      <c r="I64">
        <v>307</v>
      </c>
      <c r="J64">
        <v>280</v>
      </c>
      <c r="K64">
        <v>286</v>
      </c>
      <c r="L64">
        <v>300</v>
      </c>
      <c r="M64">
        <v>279</v>
      </c>
      <c r="N64">
        <v>279</v>
      </c>
      <c r="O64">
        <v>288</v>
      </c>
      <c r="P64">
        <v>294</v>
      </c>
      <c r="Q64">
        <v>296</v>
      </c>
      <c r="R64">
        <v>275</v>
      </c>
      <c r="S64">
        <v>289</v>
      </c>
      <c r="T64">
        <v>298</v>
      </c>
      <c r="U64">
        <v>296</v>
      </c>
      <c r="V64">
        <v>283</v>
      </c>
      <c r="W64">
        <v>283</v>
      </c>
      <c r="X64">
        <v>265</v>
      </c>
      <c r="Y64">
        <v>320</v>
      </c>
      <c r="Z64">
        <v>323</v>
      </c>
      <c r="AA64">
        <v>280</v>
      </c>
    </row>
    <row r="65" spans="1:28" x14ac:dyDescent="0.25">
      <c r="A65" s="21" t="s">
        <v>1755</v>
      </c>
      <c r="B65">
        <v>288</v>
      </c>
      <c r="C65">
        <v>294</v>
      </c>
      <c r="D65">
        <v>317</v>
      </c>
      <c r="E65">
        <v>328</v>
      </c>
      <c r="F65">
        <v>387</v>
      </c>
      <c r="G65">
        <v>392</v>
      </c>
      <c r="H65">
        <v>403</v>
      </c>
      <c r="I65">
        <v>360</v>
      </c>
      <c r="J65">
        <v>329</v>
      </c>
      <c r="K65">
        <v>332</v>
      </c>
      <c r="L65">
        <v>350</v>
      </c>
      <c r="M65">
        <v>319</v>
      </c>
      <c r="N65">
        <v>293</v>
      </c>
      <c r="O65">
        <v>286</v>
      </c>
      <c r="P65">
        <v>276</v>
      </c>
      <c r="Q65">
        <v>264</v>
      </c>
      <c r="R65">
        <v>261</v>
      </c>
      <c r="S65">
        <v>254</v>
      </c>
      <c r="T65">
        <v>253</v>
      </c>
      <c r="U65">
        <v>254</v>
      </c>
      <c r="V65">
        <v>263</v>
      </c>
      <c r="W65">
        <v>257</v>
      </c>
      <c r="X65">
        <v>249</v>
      </c>
      <c r="Y65">
        <v>249</v>
      </c>
      <c r="Z65">
        <v>253</v>
      </c>
      <c r="AA65">
        <v>256</v>
      </c>
    </row>
    <row r="66" spans="1:28" x14ac:dyDescent="0.25">
      <c r="A66" s="21" t="s">
        <v>1756</v>
      </c>
      <c r="B66">
        <v>15</v>
      </c>
      <c r="C66">
        <v>17</v>
      </c>
      <c r="D66">
        <v>20</v>
      </c>
      <c r="E66">
        <v>25</v>
      </c>
      <c r="F66">
        <v>31</v>
      </c>
      <c r="G66">
        <v>35</v>
      </c>
      <c r="H66">
        <v>40</v>
      </c>
      <c r="I66">
        <v>44</v>
      </c>
      <c r="J66">
        <v>48</v>
      </c>
      <c r="K66">
        <v>53</v>
      </c>
      <c r="L66">
        <v>60</v>
      </c>
      <c r="M66">
        <v>60</v>
      </c>
      <c r="N66">
        <v>61</v>
      </c>
      <c r="O66">
        <v>69</v>
      </c>
      <c r="P66">
        <v>74</v>
      </c>
      <c r="Q66">
        <v>75</v>
      </c>
      <c r="R66">
        <v>75</v>
      </c>
      <c r="S66">
        <v>79</v>
      </c>
      <c r="T66">
        <v>80</v>
      </c>
      <c r="U66">
        <v>75</v>
      </c>
      <c r="V66">
        <v>73</v>
      </c>
      <c r="W66">
        <v>75</v>
      </c>
      <c r="X66">
        <v>77</v>
      </c>
      <c r="Y66">
        <v>81</v>
      </c>
      <c r="Z66">
        <v>84</v>
      </c>
      <c r="AA66">
        <v>84</v>
      </c>
    </row>
    <row r="67" spans="1:28" x14ac:dyDescent="0.25">
      <c r="A67" s="31" t="s">
        <v>1757</v>
      </c>
      <c r="B67">
        <v>226</v>
      </c>
      <c r="C67">
        <v>220</v>
      </c>
      <c r="D67">
        <v>219</v>
      </c>
      <c r="E67">
        <v>216</v>
      </c>
      <c r="F67">
        <v>212</v>
      </c>
      <c r="G67">
        <v>206</v>
      </c>
      <c r="H67">
        <v>198</v>
      </c>
      <c r="I67">
        <v>191</v>
      </c>
      <c r="J67">
        <v>183</v>
      </c>
      <c r="K67">
        <v>159</v>
      </c>
      <c r="L67">
        <v>149</v>
      </c>
      <c r="M67">
        <v>139</v>
      </c>
      <c r="N67">
        <v>130</v>
      </c>
      <c r="O67">
        <v>122</v>
      </c>
      <c r="P67">
        <v>118</v>
      </c>
      <c r="Q67">
        <v>113</v>
      </c>
      <c r="R67">
        <v>109</v>
      </c>
      <c r="S67">
        <v>102</v>
      </c>
      <c r="T67">
        <v>96</v>
      </c>
      <c r="U67">
        <v>94</v>
      </c>
      <c r="V67">
        <v>93</v>
      </c>
      <c r="W67">
        <v>91</v>
      </c>
      <c r="X67">
        <v>87</v>
      </c>
      <c r="Y67">
        <v>85</v>
      </c>
      <c r="Z67">
        <v>82</v>
      </c>
      <c r="AA67">
        <v>80</v>
      </c>
    </row>
    <row r="68" spans="1:28" x14ac:dyDescent="0.25">
      <c r="A68" s="21" t="s">
        <v>1758</v>
      </c>
      <c r="B68">
        <v>9</v>
      </c>
      <c r="C68">
        <v>8</v>
      </c>
      <c r="D68">
        <v>9</v>
      </c>
      <c r="E68">
        <v>9</v>
      </c>
      <c r="F68">
        <v>9</v>
      </c>
      <c r="G68">
        <v>9</v>
      </c>
      <c r="H68">
        <v>9</v>
      </c>
      <c r="I68">
        <v>9</v>
      </c>
      <c r="J68">
        <v>9</v>
      </c>
      <c r="K68">
        <v>10</v>
      </c>
      <c r="L68">
        <v>11</v>
      </c>
      <c r="M68">
        <v>10</v>
      </c>
      <c r="N68">
        <v>10</v>
      </c>
      <c r="O68">
        <v>11</v>
      </c>
      <c r="P68">
        <v>10</v>
      </c>
      <c r="Q68">
        <v>8</v>
      </c>
      <c r="R68">
        <v>11</v>
      </c>
      <c r="S68">
        <v>11</v>
      </c>
      <c r="T68">
        <v>12</v>
      </c>
      <c r="U68">
        <v>11</v>
      </c>
      <c r="V68">
        <v>11</v>
      </c>
      <c r="W68">
        <v>11</v>
      </c>
      <c r="X68">
        <v>11</v>
      </c>
      <c r="Y68">
        <v>11</v>
      </c>
      <c r="Z68">
        <v>11</v>
      </c>
      <c r="AA68">
        <v>11</v>
      </c>
    </row>
    <row r="69" spans="1:28" x14ac:dyDescent="0.25">
      <c r="A69" s="21" t="s">
        <v>1725</v>
      </c>
      <c r="B69">
        <v>9</v>
      </c>
      <c r="C69">
        <v>9</v>
      </c>
      <c r="D69">
        <v>9</v>
      </c>
      <c r="E69">
        <v>11</v>
      </c>
      <c r="F69">
        <v>12</v>
      </c>
      <c r="G69">
        <v>12</v>
      </c>
      <c r="H69">
        <v>13</v>
      </c>
      <c r="I69">
        <v>14</v>
      </c>
      <c r="J69">
        <v>14</v>
      </c>
      <c r="K69">
        <v>13</v>
      </c>
      <c r="L69">
        <v>12</v>
      </c>
      <c r="M69">
        <v>8</v>
      </c>
      <c r="N69">
        <v>8</v>
      </c>
      <c r="O69">
        <v>8</v>
      </c>
      <c r="P69">
        <v>7</v>
      </c>
      <c r="Q69">
        <v>3</v>
      </c>
      <c r="R69">
        <v>2</v>
      </c>
      <c r="S69">
        <v>2</v>
      </c>
      <c r="T69">
        <v>2</v>
      </c>
      <c r="U69">
        <v>2</v>
      </c>
      <c r="V69">
        <v>2</v>
      </c>
      <c r="W69">
        <v>2</v>
      </c>
      <c r="X69">
        <v>3</v>
      </c>
      <c r="Y69">
        <v>3</v>
      </c>
      <c r="Z69">
        <v>5</v>
      </c>
      <c r="AA69">
        <v>7</v>
      </c>
    </row>
    <row r="70" spans="1:28" x14ac:dyDescent="0.25">
      <c r="A70" s="21" t="s">
        <v>1736</v>
      </c>
      <c r="B70">
        <v>1</v>
      </c>
      <c r="C70">
        <v>1</v>
      </c>
      <c r="D70">
        <v>1</v>
      </c>
      <c r="E70">
        <v>1</v>
      </c>
      <c r="F70">
        <v>1</v>
      </c>
      <c r="G70">
        <v>1</v>
      </c>
      <c r="H70">
        <v>1</v>
      </c>
      <c r="I70">
        <v>1</v>
      </c>
      <c r="J70">
        <v>1</v>
      </c>
      <c r="K70">
        <v>1</v>
      </c>
      <c r="L70">
        <v>1</v>
      </c>
      <c r="M70" t="s">
        <v>1786</v>
      </c>
      <c r="N70" t="s">
        <v>1786</v>
      </c>
      <c r="O70" t="s">
        <v>1786</v>
      </c>
      <c r="P70" t="s">
        <v>1786</v>
      </c>
      <c r="Q70" t="s">
        <v>1786</v>
      </c>
      <c r="R70" t="s">
        <v>1786</v>
      </c>
      <c r="S70" t="s">
        <v>1786</v>
      </c>
      <c r="T70" t="s">
        <v>1786</v>
      </c>
      <c r="U70" t="s">
        <v>1786</v>
      </c>
      <c r="V70" t="s">
        <v>1786</v>
      </c>
      <c r="W70" t="s">
        <v>1786</v>
      </c>
      <c r="X70">
        <v>1</v>
      </c>
      <c r="Y70" t="s">
        <v>1786</v>
      </c>
      <c r="Z70">
        <v>1</v>
      </c>
      <c r="AA70">
        <v>1</v>
      </c>
    </row>
    <row r="71" spans="1:28" ht="24" x14ac:dyDescent="0.25">
      <c r="A71" s="21" t="s">
        <v>1743</v>
      </c>
      <c r="B71">
        <v>1</v>
      </c>
      <c r="C71">
        <v>1</v>
      </c>
      <c r="D71">
        <v>1</v>
      </c>
      <c r="E71">
        <v>1</v>
      </c>
      <c r="F71">
        <v>1</v>
      </c>
      <c r="G71">
        <v>1</v>
      </c>
      <c r="H71">
        <v>1</v>
      </c>
      <c r="I71">
        <v>1</v>
      </c>
      <c r="J71">
        <v>1</v>
      </c>
      <c r="K71">
        <v>1</v>
      </c>
      <c r="L71">
        <v>1</v>
      </c>
      <c r="M71" t="s">
        <v>1786</v>
      </c>
      <c r="N71" t="s">
        <v>1786</v>
      </c>
      <c r="O71" t="s">
        <v>1786</v>
      </c>
      <c r="P71" t="s">
        <v>1786</v>
      </c>
      <c r="Q71" t="s">
        <v>1786</v>
      </c>
      <c r="R71" t="s">
        <v>1786</v>
      </c>
      <c r="S71" t="s">
        <v>1786</v>
      </c>
      <c r="T71" t="s">
        <v>1786</v>
      </c>
      <c r="U71" t="s">
        <v>1786</v>
      </c>
      <c r="V71" t="s">
        <v>1786</v>
      </c>
      <c r="W71" t="s">
        <v>1786</v>
      </c>
      <c r="X71" t="s">
        <v>1786</v>
      </c>
      <c r="Y71" t="s">
        <v>1786</v>
      </c>
      <c r="Z71" t="s">
        <v>1786</v>
      </c>
      <c r="AA71" t="s">
        <v>1786</v>
      </c>
    </row>
    <row r="72" spans="1:28" ht="24" x14ac:dyDescent="0.25">
      <c r="A72" s="21" t="s">
        <v>1722</v>
      </c>
      <c r="B72">
        <v>1</v>
      </c>
      <c r="C72">
        <v>1</v>
      </c>
      <c r="D72">
        <v>1</v>
      </c>
      <c r="E72">
        <v>1</v>
      </c>
      <c r="F72">
        <v>1</v>
      </c>
      <c r="G72">
        <v>1</v>
      </c>
      <c r="H72">
        <v>1</v>
      </c>
      <c r="I72">
        <v>1</v>
      </c>
      <c r="J72">
        <v>1</v>
      </c>
      <c r="K72">
        <v>1</v>
      </c>
      <c r="L72">
        <v>1</v>
      </c>
      <c r="M72">
        <v>1</v>
      </c>
      <c r="N72">
        <v>1</v>
      </c>
      <c r="O72">
        <v>1</v>
      </c>
      <c r="P72">
        <v>1</v>
      </c>
      <c r="Q72">
        <v>1</v>
      </c>
      <c r="R72" t="s">
        <v>1786</v>
      </c>
      <c r="S72" t="s">
        <v>1786</v>
      </c>
      <c r="T72" t="s">
        <v>1786</v>
      </c>
      <c r="U72" t="s">
        <v>1786</v>
      </c>
      <c r="V72" t="s">
        <v>1786</v>
      </c>
      <c r="W72" t="s">
        <v>1786</v>
      </c>
      <c r="X72" t="s">
        <v>1786</v>
      </c>
      <c r="Y72" t="s">
        <v>1786</v>
      </c>
      <c r="Z72" t="s">
        <v>1786</v>
      </c>
      <c r="AA72" t="s">
        <v>1786</v>
      </c>
    </row>
    <row r="73" spans="1:28" x14ac:dyDescent="0.25">
      <c r="A73" s="21" t="s">
        <v>1729</v>
      </c>
      <c r="B73" t="s">
        <v>1786</v>
      </c>
      <c r="C73" t="s">
        <v>1786</v>
      </c>
      <c r="D73" t="s">
        <v>1786</v>
      </c>
      <c r="E73" t="s">
        <v>1786</v>
      </c>
      <c r="F73" t="s">
        <v>1786</v>
      </c>
      <c r="G73" t="s">
        <v>1786</v>
      </c>
      <c r="H73" t="s">
        <v>1786</v>
      </c>
      <c r="I73" t="s">
        <v>1786</v>
      </c>
      <c r="J73" t="s">
        <v>1786</v>
      </c>
      <c r="K73" t="s">
        <v>1786</v>
      </c>
      <c r="L73" t="s">
        <v>1786</v>
      </c>
      <c r="M73" t="s">
        <v>1786</v>
      </c>
      <c r="N73" t="s">
        <v>1786</v>
      </c>
      <c r="O73" t="s">
        <v>1786</v>
      </c>
      <c r="P73" t="s">
        <v>1786</v>
      </c>
      <c r="Q73" t="s">
        <v>1786</v>
      </c>
      <c r="R73" t="s">
        <v>1786</v>
      </c>
      <c r="S73" t="s">
        <v>1786</v>
      </c>
      <c r="T73" t="s">
        <v>1786</v>
      </c>
      <c r="U73" t="s">
        <v>1786</v>
      </c>
      <c r="V73" t="s">
        <v>1786</v>
      </c>
      <c r="W73" t="s">
        <v>1786</v>
      </c>
      <c r="X73" t="s">
        <v>1786</v>
      </c>
      <c r="Y73" t="s">
        <v>1786</v>
      </c>
      <c r="Z73" t="s">
        <v>1786</v>
      </c>
      <c r="AA73" t="s">
        <v>1786</v>
      </c>
    </row>
    <row r="74" spans="1:28" x14ac:dyDescent="0.25">
      <c r="A74" s="31" t="s">
        <v>1746</v>
      </c>
      <c r="B74">
        <v>7</v>
      </c>
      <c r="C74">
        <v>7</v>
      </c>
      <c r="D74">
        <v>6</v>
      </c>
      <c r="E74">
        <v>5</v>
      </c>
      <c r="F74">
        <v>5</v>
      </c>
      <c r="G74">
        <v>5</v>
      </c>
      <c r="H74">
        <v>5</v>
      </c>
      <c r="I74">
        <v>5</v>
      </c>
      <c r="J74">
        <v>6</v>
      </c>
      <c r="K74">
        <v>5</v>
      </c>
      <c r="L74">
        <v>4</v>
      </c>
      <c r="M74">
        <v>4</v>
      </c>
      <c r="N74">
        <v>4</v>
      </c>
      <c r="O74">
        <v>4</v>
      </c>
      <c r="P74">
        <v>5</v>
      </c>
      <c r="Q74">
        <v>5</v>
      </c>
      <c r="R74">
        <v>5</v>
      </c>
      <c r="S74">
        <v>5</v>
      </c>
      <c r="T74">
        <v>6</v>
      </c>
      <c r="U74">
        <v>5</v>
      </c>
      <c r="V74">
        <v>6</v>
      </c>
      <c r="W74">
        <v>5</v>
      </c>
      <c r="X74">
        <v>4</v>
      </c>
      <c r="Y74">
        <v>3</v>
      </c>
      <c r="Z74">
        <v>3</v>
      </c>
      <c r="AA74">
        <v>3</v>
      </c>
    </row>
    <row r="75" spans="1:28" x14ac:dyDescent="0.25">
      <c r="A75" s="31" t="s">
        <v>1759</v>
      </c>
      <c r="B75" s="63">
        <v>1207</v>
      </c>
      <c r="C75" s="63">
        <v>1204</v>
      </c>
      <c r="D75" s="63">
        <v>1214</v>
      </c>
      <c r="E75" s="63">
        <v>1255</v>
      </c>
      <c r="F75" s="63">
        <v>1224</v>
      </c>
      <c r="G75" s="63">
        <v>1265</v>
      </c>
      <c r="H75" s="63">
        <v>1287</v>
      </c>
      <c r="I75" s="63">
        <v>1256</v>
      </c>
      <c r="J75" s="63">
        <v>1304</v>
      </c>
      <c r="K75" s="63">
        <v>1218</v>
      </c>
      <c r="L75" s="63">
        <v>1215</v>
      </c>
      <c r="M75" s="63">
        <v>1221</v>
      </c>
      <c r="N75" s="63">
        <v>1215</v>
      </c>
      <c r="O75" s="63">
        <v>1228</v>
      </c>
      <c r="P75" s="63">
        <v>1295</v>
      </c>
      <c r="Q75" s="63">
        <v>1214</v>
      </c>
      <c r="R75" s="63">
        <v>1245</v>
      </c>
      <c r="S75" s="63">
        <v>1271</v>
      </c>
      <c r="T75" s="63">
        <v>1213</v>
      </c>
      <c r="U75" s="63">
        <v>1216</v>
      </c>
      <c r="V75" s="63">
        <v>1243</v>
      </c>
      <c r="W75" s="63">
        <v>1222</v>
      </c>
      <c r="X75" s="63">
        <v>1143</v>
      </c>
      <c r="Y75" s="63">
        <v>1126</v>
      </c>
      <c r="Z75" s="63">
        <v>1126</v>
      </c>
      <c r="AA75" s="63">
        <v>1124</v>
      </c>
      <c r="AB75" s="66"/>
    </row>
    <row r="76" spans="1:28" x14ac:dyDescent="0.25">
      <c r="A76" s="21" t="s">
        <v>1760</v>
      </c>
      <c r="B76">
        <v>861</v>
      </c>
      <c r="C76">
        <v>853</v>
      </c>
      <c r="D76">
        <v>858</v>
      </c>
      <c r="E76">
        <v>885</v>
      </c>
      <c r="F76">
        <v>844</v>
      </c>
      <c r="G76">
        <v>866</v>
      </c>
      <c r="H76">
        <v>882</v>
      </c>
      <c r="I76">
        <v>870</v>
      </c>
      <c r="J76">
        <v>931</v>
      </c>
      <c r="K76">
        <v>854</v>
      </c>
      <c r="L76">
        <v>848</v>
      </c>
      <c r="M76">
        <v>876</v>
      </c>
      <c r="N76">
        <v>869</v>
      </c>
      <c r="O76">
        <v>885</v>
      </c>
      <c r="P76">
        <v>962</v>
      </c>
      <c r="Q76">
        <v>872</v>
      </c>
      <c r="R76">
        <v>904</v>
      </c>
      <c r="S76">
        <v>930</v>
      </c>
      <c r="T76">
        <v>913</v>
      </c>
      <c r="U76">
        <v>928</v>
      </c>
      <c r="V76">
        <v>941</v>
      </c>
      <c r="W76">
        <v>906</v>
      </c>
      <c r="X76">
        <v>853</v>
      </c>
      <c r="Y76">
        <v>841</v>
      </c>
      <c r="Z76">
        <v>839</v>
      </c>
      <c r="AA76">
        <v>843</v>
      </c>
    </row>
    <row r="77" spans="1:28" x14ac:dyDescent="0.25">
      <c r="A77" s="21" t="s">
        <v>1754</v>
      </c>
      <c r="B77">
        <v>40</v>
      </c>
      <c r="C77">
        <v>40</v>
      </c>
      <c r="D77">
        <v>40</v>
      </c>
      <c r="E77">
        <v>41</v>
      </c>
      <c r="F77">
        <v>42</v>
      </c>
      <c r="G77">
        <v>42</v>
      </c>
      <c r="H77">
        <v>43</v>
      </c>
      <c r="I77">
        <v>44</v>
      </c>
      <c r="J77">
        <v>44</v>
      </c>
      <c r="K77">
        <v>44</v>
      </c>
      <c r="L77">
        <v>47</v>
      </c>
      <c r="M77">
        <v>48</v>
      </c>
      <c r="N77">
        <v>54</v>
      </c>
      <c r="O77">
        <v>58</v>
      </c>
      <c r="P77">
        <v>64</v>
      </c>
      <c r="Q77">
        <v>68</v>
      </c>
      <c r="R77">
        <v>68</v>
      </c>
      <c r="S77">
        <v>70</v>
      </c>
      <c r="T77">
        <v>70</v>
      </c>
      <c r="U77">
        <v>69</v>
      </c>
      <c r="V77">
        <v>74</v>
      </c>
      <c r="W77">
        <v>71</v>
      </c>
      <c r="X77">
        <v>72</v>
      </c>
      <c r="Y77">
        <v>77</v>
      </c>
      <c r="Z77">
        <v>78</v>
      </c>
      <c r="AA77">
        <v>78</v>
      </c>
    </row>
    <row r="78" spans="1:28" x14ac:dyDescent="0.25">
      <c r="A78" s="21" t="s">
        <v>1750</v>
      </c>
      <c r="B78">
        <v>47</v>
      </c>
      <c r="C78">
        <v>48</v>
      </c>
      <c r="D78">
        <v>48</v>
      </c>
      <c r="E78">
        <v>47</v>
      </c>
      <c r="F78">
        <v>50</v>
      </c>
      <c r="G78">
        <v>51</v>
      </c>
      <c r="H78">
        <v>51</v>
      </c>
      <c r="I78">
        <v>51</v>
      </c>
      <c r="J78">
        <v>52</v>
      </c>
      <c r="K78">
        <v>54</v>
      </c>
      <c r="L78">
        <v>55</v>
      </c>
      <c r="M78">
        <v>55</v>
      </c>
      <c r="N78">
        <v>56</v>
      </c>
      <c r="O78">
        <v>57</v>
      </c>
      <c r="P78">
        <v>54</v>
      </c>
      <c r="Q78">
        <v>55</v>
      </c>
      <c r="R78">
        <v>58</v>
      </c>
      <c r="S78">
        <v>58</v>
      </c>
      <c r="T78">
        <v>58</v>
      </c>
      <c r="U78">
        <v>57</v>
      </c>
      <c r="V78">
        <v>58</v>
      </c>
      <c r="W78">
        <v>58</v>
      </c>
      <c r="X78">
        <v>59</v>
      </c>
      <c r="Y78">
        <v>59</v>
      </c>
      <c r="Z78">
        <v>59</v>
      </c>
      <c r="AA78">
        <v>59</v>
      </c>
    </row>
    <row r="79" spans="1:28" x14ac:dyDescent="0.25">
      <c r="A79" s="31" t="s">
        <v>1757</v>
      </c>
      <c r="B79">
        <v>138</v>
      </c>
      <c r="C79">
        <v>145</v>
      </c>
      <c r="D79">
        <v>155</v>
      </c>
      <c r="E79">
        <v>161</v>
      </c>
      <c r="F79">
        <v>167</v>
      </c>
      <c r="G79">
        <v>172</v>
      </c>
      <c r="H79">
        <v>175</v>
      </c>
      <c r="I79">
        <v>178</v>
      </c>
      <c r="J79">
        <v>178</v>
      </c>
      <c r="K79">
        <v>169</v>
      </c>
      <c r="L79">
        <v>165</v>
      </c>
      <c r="M79">
        <v>154</v>
      </c>
      <c r="N79">
        <v>146</v>
      </c>
      <c r="O79">
        <v>138</v>
      </c>
      <c r="P79">
        <v>129</v>
      </c>
      <c r="Q79">
        <v>120</v>
      </c>
      <c r="R79">
        <v>112</v>
      </c>
      <c r="S79">
        <v>97</v>
      </c>
      <c r="T79">
        <v>89</v>
      </c>
      <c r="U79">
        <v>84</v>
      </c>
      <c r="V79">
        <v>81</v>
      </c>
      <c r="W79">
        <v>77</v>
      </c>
      <c r="X79">
        <v>68</v>
      </c>
      <c r="Y79">
        <v>62</v>
      </c>
      <c r="Z79">
        <v>56</v>
      </c>
      <c r="AA79">
        <v>51</v>
      </c>
    </row>
    <row r="80" spans="1:28" x14ac:dyDescent="0.25">
      <c r="A80" s="21" t="s">
        <v>1761</v>
      </c>
      <c r="B80">
        <v>41</v>
      </c>
      <c r="C80">
        <v>41</v>
      </c>
      <c r="D80">
        <v>42</v>
      </c>
      <c r="E80">
        <v>42</v>
      </c>
      <c r="F80">
        <v>45</v>
      </c>
      <c r="G80">
        <v>45</v>
      </c>
      <c r="H80">
        <v>47</v>
      </c>
      <c r="I80">
        <v>48</v>
      </c>
      <c r="J80">
        <v>48</v>
      </c>
      <c r="K80">
        <v>46</v>
      </c>
      <c r="L80">
        <v>45</v>
      </c>
      <c r="M80">
        <v>36</v>
      </c>
      <c r="N80">
        <v>39</v>
      </c>
      <c r="O80">
        <v>37</v>
      </c>
      <c r="P80">
        <v>37</v>
      </c>
      <c r="Q80">
        <v>38</v>
      </c>
      <c r="R80">
        <v>37</v>
      </c>
      <c r="S80">
        <v>44</v>
      </c>
      <c r="T80">
        <v>38</v>
      </c>
      <c r="U80">
        <v>32</v>
      </c>
      <c r="V80">
        <v>39</v>
      </c>
      <c r="W80">
        <v>37</v>
      </c>
      <c r="X80">
        <v>35</v>
      </c>
      <c r="Y80">
        <v>36</v>
      </c>
      <c r="Z80">
        <v>37</v>
      </c>
      <c r="AA80">
        <v>39</v>
      </c>
    </row>
    <row r="81" spans="1:27" x14ac:dyDescent="0.25">
      <c r="A81" s="21" t="s">
        <v>1752</v>
      </c>
      <c r="B81">
        <v>11</v>
      </c>
      <c r="C81">
        <v>12</v>
      </c>
      <c r="D81">
        <v>12</v>
      </c>
      <c r="E81">
        <v>12</v>
      </c>
      <c r="F81">
        <v>12</v>
      </c>
      <c r="G81">
        <v>13</v>
      </c>
      <c r="H81">
        <v>13</v>
      </c>
      <c r="I81">
        <v>13</v>
      </c>
      <c r="J81">
        <v>13</v>
      </c>
      <c r="K81">
        <v>14</v>
      </c>
      <c r="L81">
        <v>14</v>
      </c>
      <c r="M81">
        <v>14</v>
      </c>
      <c r="N81">
        <v>14</v>
      </c>
      <c r="O81">
        <v>14</v>
      </c>
      <c r="P81">
        <v>15</v>
      </c>
      <c r="Q81">
        <v>15</v>
      </c>
      <c r="R81">
        <v>15</v>
      </c>
      <c r="S81">
        <v>15</v>
      </c>
      <c r="T81">
        <v>15</v>
      </c>
      <c r="U81">
        <v>15</v>
      </c>
      <c r="V81">
        <v>15</v>
      </c>
      <c r="W81">
        <v>16</v>
      </c>
      <c r="X81">
        <v>16</v>
      </c>
      <c r="Y81">
        <v>16</v>
      </c>
      <c r="Z81">
        <v>16</v>
      </c>
      <c r="AA81">
        <v>17</v>
      </c>
    </row>
    <row r="82" spans="1:27" x14ac:dyDescent="0.25">
      <c r="A82" s="21" t="s">
        <v>1762</v>
      </c>
      <c r="B82">
        <v>51</v>
      </c>
      <c r="C82">
        <v>50</v>
      </c>
      <c r="D82">
        <v>44</v>
      </c>
      <c r="E82">
        <v>47</v>
      </c>
      <c r="F82">
        <v>45</v>
      </c>
      <c r="G82">
        <v>57</v>
      </c>
      <c r="H82">
        <v>56</v>
      </c>
      <c r="I82">
        <v>32</v>
      </c>
      <c r="J82">
        <v>17</v>
      </c>
      <c r="K82">
        <v>16</v>
      </c>
      <c r="L82">
        <v>18</v>
      </c>
      <c r="M82">
        <v>15</v>
      </c>
      <c r="N82">
        <v>17</v>
      </c>
      <c r="O82">
        <v>18</v>
      </c>
      <c r="P82">
        <v>12</v>
      </c>
      <c r="Q82">
        <v>24</v>
      </c>
      <c r="R82">
        <v>29</v>
      </c>
      <c r="S82">
        <v>34</v>
      </c>
      <c r="T82">
        <v>8</v>
      </c>
      <c r="U82">
        <v>9</v>
      </c>
      <c r="V82">
        <v>14</v>
      </c>
      <c r="W82">
        <v>34</v>
      </c>
      <c r="X82">
        <v>19</v>
      </c>
      <c r="Y82">
        <v>13</v>
      </c>
      <c r="Z82">
        <v>18</v>
      </c>
      <c r="AA82">
        <v>14</v>
      </c>
    </row>
    <row r="83" spans="1:27" x14ac:dyDescent="0.25">
      <c r="A83" s="31" t="s">
        <v>1763</v>
      </c>
      <c r="B83">
        <v>14</v>
      </c>
      <c r="C83">
        <v>14</v>
      </c>
      <c r="D83">
        <v>13</v>
      </c>
      <c r="E83">
        <v>15</v>
      </c>
      <c r="F83">
        <v>15</v>
      </c>
      <c r="G83">
        <v>15</v>
      </c>
      <c r="H83">
        <v>15</v>
      </c>
      <c r="I83">
        <v>16</v>
      </c>
      <c r="J83">
        <v>16</v>
      </c>
      <c r="K83">
        <v>16</v>
      </c>
      <c r="L83">
        <v>16</v>
      </c>
      <c r="M83">
        <v>16</v>
      </c>
      <c r="N83">
        <v>14</v>
      </c>
      <c r="O83">
        <v>14</v>
      </c>
      <c r="P83">
        <v>14</v>
      </c>
      <c r="Q83">
        <v>14</v>
      </c>
      <c r="R83">
        <v>14</v>
      </c>
      <c r="S83">
        <v>14</v>
      </c>
      <c r="T83">
        <v>14</v>
      </c>
      <c r="U83">
        <v>14</v>
      </c>
      <c r="V83">
        <v>14</v>
      </c>
      <c r="W83">
        <v>14</v>
      </c>
      <c r="X83">
        <v>14</v>
      </c>
      <c r="Y83">
        <v>14</v>
      </c>
      <c r="Z83">
        <v>14</v>
      </c>
      <c r="AA83">
        <v>14</v>
      </c>
    </row>
    <row r="84" spans="1:27" x14ac:dyDescent="0.25">
      <c r="A84" s="21" t="s">
        <v>1756</v>
      </c>
      <c r="B84">
        <v>1</v>
      </c>
      <c r="C84">
        <v>1</v>
      </c>
      <c r="D84">
        <v>1</v>
      </c>
      <c r="E84">
        <v>2</v>
      </c>
      <c r="F84">
        <v>2</v>
      </c>
      <c r="G84">
        <v>3</v>
      </c>
      <c r="H84">
        <v>3</v>
      </c>
      <c r="I84">
        <v>3</v>
      </c>
      <c r="J84">
        <v>4</v>
      </c>
      <c r="K84">
        <v>4</v>
      </c>
      <c r="L84">
        <v>4</v>
      </c>
      <c r="M84">
        <v>5</v>
      </c>
      <c r="N84">
        <v>5</v>
      </c>
      <c r="O84">
        <v>5</v>
      </c>
      <c r="P84">
        <v>6</v>
      </c>
      <c r="Q84">
        <v>6</v>
      </c>
      <c r="R84">
        <v>6</v>
      </c>
      <c r="S84">
        <v>6</v>
      </c>
      <c r="T84">
        <v>6</v>
      </c>
      <c r="U84">
        <v>6</v>
      </c>
      <c r="V84">
        <v>5</v>
      </c>
      <c r="W84">
        <v>6</v>
      </c>
      <c r="X84">
        <v>6</v>
      </c>
      <c r="Y84">
        <v>6</v>
      </c>
      <c r="Z84">
        <v>6</v>
      </c>
      <c r="AA84">
        <v>6</v>
      </c>
    </row>
    <row r="85" spans="1:27" x14ac:dyDescent="0.25">
      <c r="A85" s="21" t="s">
        <v>1729</v>
      </c>
      <c r="B85">
        <v>2</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c r="Y85">
        <v>1</v>
      </c>
      <c r="Z85">
        <v>1</v>
      </c>
      <c r="AA85">
        <v>1</v>
      </c>
    </row>
    <row r="86" spans="1:27" x14ac:dyDescent="0.25">
      <c r="A86" s="21" t="s">
        <v>1764</v>
      </c>
      <c r="B86" t="s">
        <v>1786</v>
      </c>
      <c r="C86" t="s">
        <v>1786</v>
      </c>
      <c r="D86" t="s">
        <v>1786</v>
      </c>
      <c r="E86" t="s">
        <v>1786</v>
      </c>
      <c r="F86" t="s">
        <v>1786</v>
      </c>
      <c r="G86" t="s">
        <v>1786</v>
      </c>
      <c r="H86" t="s">
        <v>1786</v>
      </c>
      <c r="I86" t="s">
        <v>1786</v>
      </c>
      <c r="J86" t="s">
        <v>1786</v>
      </c>
      <c r="K86" t="s">
        <v>1786</v>
      </c>
      <c r="L86" t="s">
        <v>1786</v>
      </c>
      <c r="M86" t="s">
        <v>1786</v>
      </c>
      <c r="N86" t="s">
        <v>1786</v>
      </c>
      <c r="O86" t="s">
        <v>1786</v>
      </c>
      <c r="P86" t="s">
        <v>1786</v>
      </c>
      <c r="Q86" t="s">
        <v>1786</v>
      </c>
      <c r="R86">
        <v>1</v>
      </c>
      <c r="S86">
        <v>1</v>
      </c>
      <c r="T86">
        <v>1</v>
      </c>
      <c r="U86" t="s">
        <v>1786</v>
      </c>
      <c r="V86" t="s">
        <v>1786</v>
      </c>
      <c r="W86">
        <v>1</v>
      </c>
      <c r="X86">
        <v>1</v>
      </c>
      <c r="Y86">
        <v>1</v>
      </c>
      <c r="Z86">
        <v>1</v>
      </c>
      <c r="AA86">
        <v>1</v>
      </c>
    </row>
    <row r="87" spans="1:27" x14ac:dyDescent="0.25">
      <c r="A87" s="21" t="s">
        <v>1758</v>
      </c>
      <c r="B87" t="s">
        <v>1786</v>
      </c>
      <c r="C87" t="s">
        <v>1786</v>
      </c>
      <c r="D87" t="s">
        <v>1786</v>
      </c>
      <c r="E87" t="s">
        <v>1786</v>
      </c>
      <c r="F87" t="s">
        <v>1786</v>
      </c>
      <c r="G87" t="s">
        <v>1786</v>
      </c>
      <c r="H87" t="s">
        <v>1786</v>
      </c>
      <c r="I87" t="s">
        <v>1786</v>
      </c>
      <c r="J87" t="s">
        <v>1786</v>
      </c>
      <c r="K87" t="s">
        <v>1786</v>
      </c>
      <c r="L87" t="s">
        <v>1786</v>
      </c>
      <c r="M87" t="s">
        <v>1786</v>
      </c>
      <c r="N87" t="s">
        <v>1786</v>
      </c>
      <c r="O87" t="s">
        <v>1786</v>
      </c>
      <c r="P87" t="s">
        <v>1786</v>
      </c>
      <c r="Q87" t="s">
        <v>1786</v>
      </c>
      <c r="R87" t="s">
        <v>1786</v>
      </c>
      <c r="S87" t="s">
        <v>1786</v>
      </c>
      <c r="T87" t="s">
        <v>1786</v>
      </c>
      <c r="U87" t="s">
        <v>1786</v>
      </c>
      <c r="V87" t="s">
        <v>1786</v>
      </c>
      <c r="W87" t="s">
        <v>1786</v>
      </c>
      <c r="X87" t="s">
        <v>1786</v>
      </c>
      <c r="Y87" t="s">
        <v>1786</v>
      </c>
      <c r="Z87" t="s">
        <v>1786</v>
      </c>
      <c r="AA87" t="s">
        <v>1786</v>
      </c>
    </row>
    <row r="88" spans="1:27" x14ac:dyDescent="0.25">
      <c r="A88" s="31" t="s">
        <v>1746</v>
      </c>
      <c r="B88">
        <v>3</v>
      </c>
      <c r="C88">
        <v>3</v>
      </c>
      <c r="D88">
        <v>3</v>
      </c>
      <c r="E88">
        <v>3</v>
      </c>
      <c r="F88">
        <v>3</v>
      </c>
      <c r="G88">
        <v>3</v>
      </c>
      <c r="H88">
        <v>3</v>
      </c>
      <c r="I88">
        <v>3</v>
      </c>
      <c r="J88">
        <v>3</v>
      </c>
      <c r="K88">
        <v>3</v>
      </c>
      <c r="L88">
        <v>3</v>
      </c>
      <c r="M88">
        <v>3</v>
      </c>
      <c r="N88">
        <v>3</v>
      </c>
      <c r="O88">
        <v>3</v>
      </c>
      <c r="P88">
        <v>3</v>
      </c>
      <c r="Q88">
        <v>3</v>
      </c>
      <c r="R88">
        <v>3</v>
      </c>
      <c r="S88">
        <v>3</v>
      </c>
      <c r="T88">
        <v>3</v>
      </c>
      <c r="U88">
        <v>3</v>
      </c>
      <c r="V88">
        <v>3</v>
      </c>
      <c r="W88">
        <v>3</v>
      </c>
      <c r="X88">
        <v>3</v>
      </c>
      <c r="Y88">
        <v>3</v>
      </c>
      <c r="Z88">
        <v>3</v>
      </c>
      <c r="AA88">
        <v>3</v>
      </c>
    </row>
    <row r="89" spans="1:27" x14ac:dyDescent="0.25">
      <c r="A89" s="334" t="s">
        <v>1765</v>
      </c>
      <c r="B89" t="s">
        <v>1787</v>
      </c>
      <c r="C89" t="s">
        <v>1787</v>
      </c>
      <c r="D89" t="s">
        <v>1787</v>
      </c>
      <c r="E89" t="s">
        <v>1787</v>
      </c>
      <c r="F89" t="s">
        <v>1787</v>
      </c>
      <c r="G89" t="s">
        <v>1787</v>
      </c>
      <c r="H89" t="s">
        <v>1787</v>
      </c>
      <c r="I89" t="s">
        <v>1787</v>
      </c>
      <c r="J89" t="s">
        <v>1787</v>
      </c>
      <c r="K89" t="s">
        <v>1787</v>
      </c>
      <c r="L89" t="s">
        <v>1787</v>
      </c>
      <c r="M89" t="s">
        <v>1787</v>
      </c>
      <c r="N89" t="s">
        <v>1787</v>
      </c>
      <c r="O89" t="s">
        <v>1787</v>
      </c>
      <c r="P89" t="s">
        <v>1787</v>
      </c>
      <c r="Q89" t="s">
        <v>1787</v>
      </c>
      <c r="R89" t="s">
        <v>1787</v>
      </c>
      <c r="S89" t="s">
        <v>1787</v>
      </c>
      <c r="T89" t="s">
        <v>1787</v>
      </c>
      <c r="U89" t="s">
        <v>1787</v>
      </c>
      <c r="V89" t="s">
        <v>1787</v>
      </c>
      <c r="W89" t="s">
        <v>1787</v>
      </c>
      <c r="X89" t="s">
        <v>1787</v>
      </c>
      <c r="Y89" t="s">
        <v>1787</v>
      </c>
      <c r="Z89" t="s">
        <v>1787</v>
      </c>
      <c r="AA89" t="s">
        <v>1787</v>
      </c>
    </row>
    <row r="90" spans="1:27" ht="24" x14ac:dyDescent="0.25">
      <c r="A90" s="31" t="s">
        <v>1766</v>
      </c>
      <c r="B90" t="s">
        <v>1787</v>
      </c>
      <c r="C90" t="s">
        <v>1787</v>
      </c>
      <c r="D90" t="s">
        <v>1787</v>
      </c>
      <c r="E90" t="s">
        <v>1787</v>
      </c>
      <c r="F90" t="s">
        <v>1787</v>
      </c>
      <c r="G90" t="s">
        <v>1787</v>
      </c>
      <c r="H90" t="s">
        <v>1787</v>
      </c>
      <c r="I90" t="s">
        <v>1787</v>
      </c>
      <c r="J90" t="s">
        <v>1787</v>
      </c>
      <c r="K90" t="s">
        <v>1787</v>
      </c>
      <c r="L90" t="s">
        <v>1787</v>
      </c>
      <c r="M90" t="s">
        <v>1787</v>
      </c>
      <c r="N90" t="s">
        <v>1787</v>
      </c>
      <c r="O90" t="s">
        <v>1787</v>
      </c>
      <c r="P90" t="s">
        <v>1787</v>
      </c>
      <c r="Q90" t="s">
        <v>1787</v>
      </c>
      <c r="R90" t="s">
        <v>1787</v>
      </c>
      <c r="S90" t="s">
        <v>1787</v>
      </c>
      <c r="T90" t="s">
        <v>1787</v>
      </c>
      <c r="U90" t="s">
        <v>1787</v>
      </c>
      <c r="V90" t="s">
        <v>1787</v>
      </c>
      <c r="W90" t="s">
        <v>1787</v>
      </c>
      <c r="X90" t="s">
        <v>1787</v>
      </c>
      <c r="Y90" t="s">
        <v>1787</v>
      </c>
      <c r="Z90" t="s">
        <v>1787</v>
      </c>
      <c r="AA90" t="s">
        <v>1787</v>
      </c>
    </row>
    <row r="91" spans="1:27" x14ac:dyDescent="0.25">
      <c r="A91" s="21" t="s">
        <v>1767</v>
      </c>
      <c r="B91">
        <v>3</v>
      </c>
      <c r="C91">
        <v>3</v>
      </c>
      <c r="D91">
        <v>3</v>
      </c>
      <c r="E91">
        <v>3</v>
      </c>
      <c r="F91">
        <v>3</v>
      </c>
      <c r="G91">
        <v>3</v>
      </c>
      <c r="H91">
        <v>3</v>
      </c>
      <c r="I91">
        <v>3</v>
      </c>
      <c r="J91">
        <v>3</v>
      </c>
      <c r="K91">
        <v>3</v>
      </c>
      <c r="L91">
        <v>2</v>
      </c>
      <c r="M91">
        <v>2</v>
      </c>
      <c r="N91">
        <v>2</v>
      </c>
      <c r="O91">
        <v>1</v>
      </c>
      <c r="P91">
        <v>1</v>
      </c>
      <c r="Q91">
        <v>1</v>
      </c>
      <c r="R91">
        <v>1</v>
      </c>
      <c r="S91">
        <v>1</v>
      </c>
      <c r="T91">
        <v>1</v>
      </c>
      <c r="U91" t="s">
        <v>1786</v>
      </c>
      <c r="V91">
        <v>1</v>
      </c>
      <c r="W91">
        <v>1</v>
      </c>
      <c r="X91" t="s">
        <v>1786</v>
      </c>
      <c r="Y91" t="s">
        <v>1786</v>
      </c>
      <c r="Z91" t="s">
        <v>1786</v>
      </c>
      <c r="AA91" t="s">
        <v>1786</v>
      </c>
    </row>
    <row r="92" spans="1:27" x14ac:dyDescent="0.25">
      <c r="A92" s="21" t="s">
        <v>1764</v>
      </c>
      <c r="B92" t="s">
        <v>1786</v>
      </c>
      <c r="C92" t="s">
        <v>1786</v>
      </c>
      <c r="D92" t="s">
        <v>1786</v>
      </c>
      <c r="E92" t="s">
        <v>1786</v>
      </c>
      <c r="F92" t="s">
        <v>1786</v>
      </c>
      <c r="G92" t="s">
        <v>1786</v>
      </c>
      <c r="H92" t="s">
        <v>1786</v>
      </c>
      <c r="I92" t="s">
        <v>1786</v>
      </c>
      <c r="J92" t="s">
        <v>1786</v>
      </c>
      <c r="K92" t="s">
        <v>1786</v>
      </c>
      <c r="L92" t="s">
        <v>1786</v>
      </c>
      <c r="M92" t="s">
        <v>1786</v>
      </c>
      <c r="N92" t="s">
        <v>1786</v>
      </c>
      <c r="O92" t="s">
        <v>1786</v>
      </c>
      <c r="P92" t="s">
        <v>1786</v>
      </c>
      <c r="Q92" t="s">
        <v>1786</v>
      </c>
      <c r="R92" t="s">
        <v>1786</v>
      </c>
      <c r="S92" t="s">
        <v>1786</v>
      </c>
      <c r="T92" t="s">
        <v>1786</v>
      </c>
      <c r="U92" t="s">
        <v>1786</v>
      </c>
      <c r="V92" t="s">
        <v>1786</v>
      </c>
      <c r="W92" t="s">
        <v>1786</v>
      </c>
      <c r="X92" t="s">
        <v>1786</v>
      </c>
      <c r="Y92" t="s">
        <v>1786</v>
      </c>
      <c r="Z92" t="s">
        <v>1786</v>
      </c>
      <c r="AA92" t="s">
        <v>1786</v>
      </c>
    </row>
    <row r="93" spans="1:27" ht="24" x14ac:dyDescent="0.25">
      <c r="A93" s="21" t="s">
        <v>1744</v>
      </c>
      <c r="B93">
        <v>0</v>
      </c>
      <c r="C93">
        <v>0</v>
      </c>
      <c r="D93">
        <v>0</v>
      </c>
      <c r="E93">
        <v>0</v>
      </c>
      <c r="F93">
        <v>0</v>
      </c>
      <c r="G93">
        <v>0</v>
      </c>
      <c r="H93">
        <v>0</v>
      </c>
      <c r="I93">
        <v>0</v>
      </c>
      <c r="J93">
        <v>0</v>
      </c>
      <c r="K93">
        <v>0</v>
      </c>
      <c r="L93">
        <v>0</v>
      </c>
      <c r="M93">
        <v>0</v>
      </c>
      <c r="N93">
        <v>0</v>
      </c>
      <c r="O93">
        <v>0</v>
      </c>
      <c r="P93">
        <v>0</v>
      </c>
      <c r="Q93">
        <v>0</v>
      </c>
      <c r="R93" t="s">
        <v>1786</v>
      </c>
      <c r="S93" t="s">
        <v>1786</v>
      </c>
      <c r="T93" t="s">
        <v>1786</v>
      </c>
      <c r="U93" t="s">
        <v>1786</v>
      </c>
      <c r="V93" t="s">
        <v>1786</v>
      </c>
      <c r="W93" t="s">
        <v>1786</v>
      </c>
      <c r="X93" t="s">
        <v>1786</v>
      </c>
      <c r="Y93" t="s">
        <v>1786</v>
      </c>
      <c r="Z93" t="s">
        <v>1786</v>
      </c>
      <c r="AA93" t="s">
        <v>1786</v>
      </c>
    </row>
    <row r="94" spans="1:27" x14ac:dyDescent="0.25">
      <c r="A94" s="334" t="s">
        <v>1768</v>
      </c>
      <c r="B94" t="s">
        <v>1787</v>
      </c>
      <c r="C94" t="s">
        <v>1787</v>
      </c>
      <c r="D94" t="s">
        <v>1787</v>
      </c>
      <c r="E94" t="s">
        <v>1787</v>
      </c>
      <c r="F94" t="s">
        <v>1787</v>
      </c>
      <c r="G94" t="s">
        <v>1787</v>
      </c>
      <c r="H94" t="s">
        <v>1787</v>
      </c>
      <c r="I94" t="s">
        <v>1787</v>
      </c>
      <c r="J94" t="s">
        <v>1787</v>
      </c>
      <c r="K94" t="s">
        <v>1787</v>
      </c>
      <c r="L94" t="s">
        <v>1787</v>
      </c>
      <c r="M94" t="s">
        <v>1787</v>
      </c>
      <c r="N94" t="s">
        <v>1787</v>
      </c>
      <c r="O94" t="s">
        <v>1787</v>
      </c>
      <c r="P94" t="s">
        <v>1787</v>
      </c>
      <c r="Q94" t="s">
        <v>1787</v>
      </c>
      <c r="R94" t="s">
        <v>1787</v>
      </c>
      <c r="S94" t="s">
        <v>1787</v>
      </c>
      <c r="T94" t="s">
        <v>1787</v>
      </c>
      <c r="U94" t="s">
        <v>1787</v>
      </c>
      <c r="V94" t="s">
        <v>1787</v>
      </c>
      <c r="W94" t="s">
        <v>1787</v>
      </c>
      <c r="X94" t="s">
        <v>1787</v>
      </c>
      <c r="Y94" t="s">
        <v>1787</v>
      </c>
      <c r="Z94" t="s">
        <v>1787</v>
      </c>
      <c r="AA94" t="s">
        <v>1787</v>
      </c>
    </row>
    <row r="95" spans="1:27" x14ac:dyDescent="0.25">
      <c r="A95" s="21" t="s">
        <v>1764</v>
      </c>
      <c r="B95" t="s">
        <v>1787</v>
      </c>
      <c r="C95" t="s">
        <v>1787</v>
      </c>
      <c r="D95" t="s">
        <v>1787</v>
      </c>
      <c r="E95" t="s">
        <v>1787</v>
      </c>
      <c r="F95" t="s">
        <v>1787</v>
      </c>
      <c r="G95" t="s">
        <v>1787</v>
      </c>
      <c r="H95" t="s">
        <v>1787</v>
      </c>
      <c r="I95" t="s">
        <v>1787</v>
      </c>
      <c r="J95" t="s">
        <v>1787</v>
      </c>
      <c r="K95" t="s">
        <v>1787</v>
      </c>
      <c r="L95" t="s">
        <v>1787</v>
      </c>
      <c r="M95" t="s">
        <v>1787</v>
      </c>
      <c r="N95" t="s">
        <v>1787</v>
      </c>
      <c r="O95" t="s">
        <v>1787</v>
      </c>
      <c r="P95" t="s">
        <v>1787</v>
      </c>
      <c r="Q95" t="s">
        <v>1787</v>
      </c>
      <c r="R95" t="s">
        <v>1787</v>
      </c>
      <c r="S95" t="s">
        <v>1787</v>
      </c>
      <c r="T95" t="s">
        <v>1787</v>
      </c>
      <c r="U95" t="s">
        <v>1787</v>
      </c>
      <c r="V95" t="s">
        <v>1787</v>
      </c>
      <c r="W95" t="s">
        <v>1787</v>
      </c>
      <c r="X95" t="s">
        <v>1787</v>
      </c>
      <c r="Y95" t="s">
        <v>1787</v>
      </c>
      <c r="Z95" t="s">
        <v>1787</v>
      </c>
      <c r="AA95" t="s">
        <v>1787</v>
      </c>
    </row>
    <row r="96" spans="1:27" x14ac:dyDescent="0.25">
      <c r="A96" s="21" t="s">
        <v>1735</v>
      </c>
      <c r="B96" t="s">
        <v>1787</v>
      </c>
      <c r="C96" t="s">
        <v>1787</v>
      </c>
      <c r="D96" t="s">
        <v>1787</v>
      </c>
      <c r="E96" t="s">
        <v>1787</v>
      </c>
      <c r="F96" t="s">
        <v>1787</v>
      </c>
      <c r="G96" t="s">
        <v>1787</v>
      </c>
      <c r="H96" t="s">
        <v>1787</v>
      </c>
      <c r="I96" t="s">
        <v>1787</v>
      </c>
      <c r="J96" t="s">
        <v>1787</v>
      </c>
      <c r="K96" t="s">
        <v>1787</v>
      </c>
      <c r="L96" t="s">
        <v>1787</v>
      </c>
      <c r="M96" t="s">
        <v>1787</v>
      </c>
      <c r="N96" t="s">
        <v>1787</v>
      </c>
      <c r="O96" t="s">
        <v>1787</v>
      </c>
      <c r="P96" t="s">
        <v>1787</v>
      </c>
      <c r="Q96" t="s">
        <v>1787</v>
      </c>
      <c r="R96" t="s">
        <v>1787</v>
      </c>
      <c r="S96" t="s">
        <v>1787</v>
      </c>
      <c r="T96" t="s">
        <v>1787</v>
      </c>
      <c r="U96" t="s">
        <v>1787</v>
      </c>
      <c r="V96" t="s">
        <v>1787</v>
      </c>
      <c r="W96" t="s">
        <v>1787</v>
      </c>
      <c r="X96" t="s">
        <v>1787</v>
      </c>
      <c r="Y96" t="s">
        <v>1787</v>
      </c>
      <c r="Z96" t="s">
        <v>1787</v>
      </c>
      <c r="AA96" t="s">
        <v>1787</v>
      </c>
    </row>
    <row r="97" spans="1:27" ht="24" x14ac:dyDescent="0.25">
      <c r="A97" s="21" t="s">
        <v>1769</v>
      </c>
      <c r="B97">
        <v>0</v>
      </c>
      <c r="C97">
        <v>0</v>
      </c>
      <c r="D97">
        <v>0</v>
      </c>
      <c r="E97">
        <v>0</v>
      </c>
      <c r="F97" t="s">
        <v>1786</v>
      </c>
      <c r="G97" t="s">
        <v>1786</v>
      </c>
      <c r="H97" t="s">
        <v>1786</v>
      </c>
      <c r="I97" t="s">
        <v>1786</v>
      </c>
      <c r="J97" t="s">
        <v>1786</v>
      </c>
      <c r="K97" t="s">
        <v>1786</v>
      </c>
      <c r="L97" t="s">
        <v>1786</v>
      </c>
      <c r="M97" t="s">
        <v>1786</v>
      </c>
      <c r="N97" t="s">
        <v>1786</v>
      </c>
      <c r="O97" t="s">
        <v>1786</v>
      </c>
      <c r="P97" t="s">
        <v>1786</v>
      </c>
      <c r="Q97" t="s">
        <v>1788</v>
      </c>
      <c r="R97" t="s">
        <v>1786</v>
      </c>
      <c r="S97" t="s">
        <v>1786</v>
      </c>
      <c r="T97" t="s">
        <v>1786</v>
      </c>
      <c r="U97" t="s">
        <v>1786</v>
      </c>
      <c r="V97" t="s">
        <v>1786</v>
      </c>
      <c r="W97" t="s">
        <v>1788</v>
      </c>
      <c r="X97" t="s">
        <v>1788</v>
      </c>
      <c r="Y97" t="s">
        <v>1788</v>
      </c>
      <c r="Z97" t="s">
        <v>1788</v>
      </c>
      <c r="AA97" t="s">
        <v>1788</v>
      </c>
    </row>
    <row r="98" spans="1:27" x14ac:dyDescent="0.25">
      <c r="A98" s="31" t="s">
        <v>1770</v>
      </c>
      <c r="B98">
        <v>1</v>
      </c>
      <c r="C98">
        <v>1</v>
      </c>
      <c r="D98">
        <v>1</v>
      </c>
      <c r="E98">
        <v>1</v>
      </c>
      <c r="F98">
        <v>1</v>
      </c>
      <c r="G98">
        <v>1</v>
      </c>
      <c r="H98">
        <v>1</v>
      </c>
      <c r="I98">
        <v>1</v>
      </c>
      <c r="J98">
        <v>1</v>
      </c>
      <c r="K98">
        <v>1</v>
      </c>
      <c r="L98">
        <v>1</v>
      </c>
      <c r="M98">
        <v>1</v>
      </c>
      <c r="N98">
        <v>1</v>
      </c>
      <c r="O98">
        <v>1</v>
      </c>
      <c r="P98">
        <v>1</v>
      </c>
      <c r="Q98">
        <v>1</v>
      </c>
      <c r="R98" t="s">
        <v>1786</v>
      </c>
      <c r="S98" t="s">
        <v>1786</v>
      </c>
      <c r="T98" t="s">
        <v>1786</v>
      </c>
      <c r="U98" t="s">
        <v>1786</v>
      </c>
      <c r="V98" t="s">
        <v>1786</v>
      </c>
      <c r="W98" t="s">
        <v>1786</v>
      </c>
      <c r="X98" t="s">
        <v>1786</v>
      </c>
      <c r="Y98" t="s">
        <v>1786</v>
      </c>
      <c r="Z98" t="s">
        <v>1786</v>
      </c>
      <c r="AA98" t="s">
        <v>1786</v>
      </c>
    </row>
    <row r="99" spans="1:27" ht="24" x14ac:dyDescent="0.25">
      <c r="A99" s="21" t="s">
        <v>1771</v>
      </c>
      <c r="B99">
        <v>1</v>
      </c>
      <c r="C99">
        <v>1</v>
      </c>
      <c r="D99">
        <v>1</v>
      </c>
      <c r="E99">
        <v>1</v>
      </c>
      <c r="F99">
        <v>1</v>
      </c>
      <c r="G99">
        <v>1</v>
      </c>
      <c r="H99">
        <v>1</v>
      </c>
      <c r="I99">
        <v>1</v>
      </c>
      <c r="J99">
        <v>1</v>
      </c>
      <c r="K99">
        <v>1</v>
      </c>
      <c r="L99">
        <v>1</v>
      </c>
      <c r="M99">
        <v>1</v>
      </c>
      <c r="N99" t="s">
        <v>1786</v>
      </c>
      <c r="O99" t="s">
        <v>1786</v>
      </c>
      <c r="P99" t="s">
        <v>1786</v>
      </c>
      <c r="Q99" t="s">
        <v>1786</v>
      </c>
      <c r="R99" t="s">
        <v>1786</v>
      </c>
      <c r="S99" t="s">
        <v>1786</v>
      </c>
      <c r="T99" t="s">
        <v>1786</v>
      </c>
      <c r="U99" t="s">
        <v>1786</v>
      </c>
      <c r="V99" t="s">
        <v>1786</v>
      </c>
      <c r="W99" t="s">
        <v>1786</v>
      </c>
      <c r="X99" t="s">
        <v>1786</v>
      </c>
      <c r="Y99" t="s">
        <v>1786</v>
      </c>
      <c r="Z99" t="s">
        <v>1786</v>
      </c>
      <c r="AA99" t="s">
        <v>1786</v>
      </c>
    </row>
    <row r="100" spans="1:27" ht="24" x14ac:dyDescent="0.25">
      <c r="A100" s="21" t="s">
        <v>1744</v>
      </c>
      <c r="B100" t="s">
        <v>1786</v>
      </c>
      <c r="C100" t="s">
        <v>1786</v>
      </c>
      <c r="D100" t="s">
        <v>1786</v>
      </c>
      <c r="E100" t="s">
        <v>1786</v>
      </c>
      <c r="F100" t="s">
        <v>1786</v>
      </c>
      <c r="G100" t="s">
        <v>1786</v>
      </c>
      <c r="H100" t="s">
        <v>1786</v>
      </c>
      <c r="I100" t="s">
        <v>1786</v>
      </c>
      <c r="J100" t="s">
        <v>1786</v>
      </c>
      <c r="K100" t="s">
        <v>1786</v>
      </c>
      <c r="L100" t="s">
        <v>1786</v>
      </c>
      <c r="M100" t="s">
        <v>1786</v>
      </c>
      <c r="N100" t="s">
        <v>1786</v>
      </c>
      <c r="O100" t="s">
        <v>1786</v>
      </c>
      <c r="P100" t="s">
        <v>1786</v>
      </c>
      <c r="Q100" t="s">
        <v>1786</v>
      </c>
      <c r="R100" t="s">
        <v>1786</v>
      </c>
      <c r="S100" t="s">
        <v>1786</v>
      </c>
      <c r="T100" t="s">
        <v>1786</v>
      </c>
      <c r="U100" t="s">
        <v>1786</v>
      </c>
      <c r="V100" t="s">
        <v>1786</v>
      </c>
      <c r="W100" t="s">
        <v>1786</v>
      </c>
      <c r="X100" t="s">
        <v>1786</v>
      </c>
      <c r="Y100" t="s">
        <v>1786</v>
      </c>
      <c r="Z100" t="s">
        <v>1786</v>
      </c>
      <c r="AA100" t="s">
        <v>1786</v>
      </c>
    </row>
    <row r="101" spans="1:27" x14ac:dyDescent="0.25">
      <c r="A101" s="21" t="s">
        <v>1764</v>
      </c>
      <c r="B101" t="s">
        <v>1786</v>
      </c>
      <c r="C101" t="s">
        <v>1786</v>
      </c>
      <c r="D101" t="s">
        <v>1786</v>
      </c>
      <c r="E101" t="s">
        <v>1786</v>
      </c>
      <c r="F101" t="s">
        <v>1786</v>
      </c>
      <c r="G101" t="s">
        <v>1786</v>
      </c>
      <c r="H101" t="s">
        <v>1786</v>
      </c>
      <c r="I101" t="s">
        <v>1786</v>
      </c>
      <c r="J101" t="s">
        <v>1786</v>
      </c>
      <c r="K101" t="s">
        <v>1786</v>
      </c>
      <c r="L101" t="s">
        <v>1786</v>
      </c>
      <c r="M101" t="s">
        <v>1786</v>
      </c>
      <c r="N101" t="s">
        <v>1786</v>
      </c>
      <c r="O101" t="s">
        <v>1786</v>
      </c>
      <c r="P101" t="s">
        <v>1786</v>
      </c>
      <c r="Q101" t="s">
        <v>1786</v>
      </c>
      <c r="R101" t="s">
        <v>1786</v>
      </c>
      <c r="S101" t="s">
        <v>1786</v>
      </c>
      <c r="T101" t="s">
        <v>1786</v>
      </c>
      <c r="U101" t="s">
        <v>1786</v>
      </c>
      <c r="V101" t="s">
        <v>1786</v>
      </c>
      <c r="W101" t="s">
        <v>1786</v>
      </c>
      <c r="X101" t="s">
        <v>1786</v>
      </c>
      <c r="Y101" t="s">
        <v>1786</v>
      </c>
      <c r="Z101" t="s">
        <v>1786</v>
      </c>
      <c r="AA101" t="s">
        <v>1786</v>
      </c>
    </row>
    <row r="102" spans="1:27" x14ac:dyDescent="0.25">
      <c r="A102" s="31" t="s">
        <v>1772</v>
      </c>
      <c r="B102" t="s">
        <v>1786</v>
      </c>
      <c r="C102" t="s">
        <v>1786</v>
      </c>
      <c r="D102" t="s">
        <v>1786</v>
      </c>
      <c r="E102" t="s">
        <v>1786</v>
      </c>
      <c r="F102" t="s">
        <v>1786</v>
      </c>
      <c r="G102" t="s">
        <v>1786</v>
      </c>
      <c r="H102" t="s">
        <v>1786</v>
      </c>
      <c r="I102" t="s">
        <v>1786</v>
      </c>
      <c r="J102" t="s">
        <v>1786</v>
      </c>
      <c r="K102" t="s">
        <v>1786</v>
      </c>
      <c r="L102" t="s">
        <v>1786</v>
      </c>
      <c r="M102" t="s">
        <v>1786</v>
      </c>
      <c r="N102" t="s">
        <v>1786</v>
      </c>
      <c r="O102" t="s">
        <v>1786</v>
      </c>
      <c r="P102" t="s">
        <v>1786</v>
      </c>
      <c r="Q102" t="s">
        <v>1786</v>
      </c>
      <c r="R102" t="s">
        <v>1786</v>
      </c>
      <c r="S102" t="s">
        <v>1786</v>
      </c>
      <c r="T102" t="s">
        <v>1786</v>
      </c>
      <c r="U102" t="s">
        <v>1786</v>
      </c>
      <c r="V102" t="s">
        <v>1786</v>
      </c>
      <c r="W102" t="s">
        <v>1786</v>
      </c>
      <c r="X102" t="s">
        <v>1786</v>
      </c>
      <c r="Y102" t="s">
        <v>1786</v>
      </c>
      <c r="Z102" t="s">
        <v>1786</v>
      </c>
      <c r="AA102" t="s">
        <v>1786</v>
      </c>
    </row>
    <row r="103" spans="1:27" x14ac:dyDescent="0.25">
      <c r="A103" s="22" t="s">
        <v>1764</v>
      </c>
      <c r="B103" t="s">
        <v>1786</v>
      </c>
      <c r="C103" t="s">
        <v>1786</v>
      </c>
      <c r="D103" t="s">
        <v>1786</v>
      </c>
      <c r="E103" t="s">
        <v>1786</v>
      </c>
      <c r="F103" t="s">
        <v>1786</v>
      </c>
      <c r="G103" t="s">
        <v>1786</v>
      </c>
      <c r="H103" t="s">
        <v>1786</v>
      </c>
      <c r="I103" t="s">
        <v>1786</v>
      </c>
      <c r="J103" t="s">
        <v>1786</v>
      </c>
      <c r="K103" t="s">
        <v>1786</v>
      </c>
      <c r="L103" t="s">
        <v>1786</v>
      </c>
      <c r="M103" t="s">
        <v>1786</v>
      </c>
      <c r="N103" t="s">
        <v>1786</v>
      </c>
      <c r="O103" t="s">
        <v>1786</v>
      </c>
      <c r="P103" t="s">
        <v>1786</v>
      </c>
      <c r="Q103" t="s">
        <v>1786</v>
      </c>
      <c r="R103" t="s">
        <v>1786</v>
      </c>
      <c r="S103" t="s">
        <v>1786</v>
      </c>
      <c r="T103" t="s">
        <v>1786</v>
      </c>
      <c r="U103" t="s">
        <v>1786</v>
      </c>
      <c r="V103" t="s">
        <v>1786</v>
      </c>
      <c r="W103" t="s">
        <v>1786</v>
      </c>
      <c r="X103" t="s">
        <v>1786</v>
      </c>
      <c r="Y103" t="s">
        <v>1786</v>
      </c>
      <c r="Z103" t="s">
        <v>1786</v>
      </c>
      <c r="AA103" t="s">
        <v>1786</v>
      </c>
    </row>
    <row r="105" spans="1:27" x14ac:dyDescent="0.25">
      <c r="A105" s="56" t="s">
        <v>1785</v>
      </c>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row>
    <row r="106" spans="1:27" x14ac:dyDescent="0.25">
      <c r="A106" s="30" t="s">
        <v>1711</v>
      </c>
      <c r="B106" s="30"/>
      <c r="C106" s="30"/>
      <c r="D106" s="30"/>
      <c r="E106" s="30"/>
      <c r="F106" s="30"/>
      <c r="G106" s="30"/>
      <c r="H106" s="30"/>
      <c r="I106" s="30"/>
      <c r="J106" s="30"/>
    </row>
    <row r="107" spans="1:27" x14ac:dyDescent="0.25">
      <c r="A107" s="23" t="s">
        <v>1712</v>
      </c>
      <c r="B107">
        <v>1990</v>
      </c>
      <c r="C107">
        <v>1991</v>
      </c>
      <c r="D107">
        <v>1992</v>
      </c>
      <c r="E107">
        <v>1993</v>
      </c>
      <c r="F107">
        <v>1994</v>
      </c>
      <c r="G107">
        <v>1995</v>
      </c>
      <c r="H107">
        <v>1996</v>
      </c>
      <c r="I107">
        <v>1997</v>
      </c>
      <c r="J107">
        <v>1998</v>
      </c>
      <c r="K107">
        <v>1999</v>
      </c>
      <c r="L107">
        <v>2000</v>
      </c>
      <c r="M107">
        <v>2001</v>
      </c>
      <c r="N107">
        <v>2002</v>
      </c>
      <c r="O107">
        <v>2003</v>
      </c>
      <c r="P107">
        <v>2004</v>
      </c>
      <c r="Q107">
        <v>2005</v>
      </c>
      <c r="R107">
        <v>2006</v>
      </c>
      <c r="S107">
        <v>2007</v>
      </c>
      <c r="T107">
        <v>2008</v>
      </c>
      <c r="U107">
        <v>2009</v>
      </c>
      <c r="V107">
        <v>2010</v>
      </c>
      <c r="W107">
        <v>2011</v>
      </c>
      <c r="X107">
        <v>2012</v>
      </c>
      <c r="Y107">
        <v>2013</v>
      </c>
      <c r="Z107">
        <v>2014</v>
      </c>
      <c r="AA107">
        <v>2015</v>
      </c>
    </row>
    <row r="108" spans="1:27" x14ac:dyDescent="0.25">
      <c r="A108" s="107" t="s">
        <v>1713</v>
      </c>
      <c r="B108">
        <v>5123</v>
      </c>
      <c r="C108">
        <v>5073.5</v>
      </c>
      <c r="D108">
        <v>5178.6000000000004</v>
      </c>
      <c r="E108">
        <v>5292.6</v>
      </c>
      <c r="F108">
        <v>5385.9</v>
      </c>
      <c r="G108">
        <v>5450.3</v>
      </c>
      <c r="H108">
        <v>5636.3</v>
      </c>
      <c r="I108">
        <v>5713.4</v>
      </c>
      <c r="J108">
        <v>5753.8</v>
      </c>
      <c r="K108">
        <v>5834.2</v>
      </c>
      <c r="L108">
        <v>6001.4</v>
      </c>
      <c r="M108">
        <v>5902.7</v>
      </c>
      <c r="N108">
        <v>5943.9</v>
      </c>
      <c r="O108">
        <v>5990.7</v>
      </c>
      <c r="P108">
        <v>6105.4</v>
      </c>
      <c r="Q108">
        <v>6131.8</v>
      </c>
      <c r="R108">
        <v>6051.5</v>
      </c>
      <c r="S108">
        <v>6130.6</v>
      </c>
      <c r="T108">
        <v>5933</v>
      </c>
      <c r="U108">
        <v>5495.7</v>
      </c>
      <c r="V108">
        <v>5699.9</v>
      </c>
      <c r="W108">
        <v>5569.5</v>
      </c>
      <c r="X108">
        <v>5362.1</v>
      </c>
      <c r="Y108">
        <v>5514</v>
      </c>
      <c r="Z108">
        <v>5565.5</v>
      </c>
      <c r="AA108">
        <v>5411.4</v>
      </c>
    </row>
    <row r="109" spans="1:27" x14ac:dyDescent="0.25">
      <c r="A109" s="21" t="s">
        <v>1714</v>
      </c>
      <c r="B109">
        <v>4740.3</v>
      </c>
      <c r="C109">
        <v>4690.1000000000004</v>
      </c>
      <c r="D109">
        <v>4793.1000000000004</v>
      </c>
      <c r="E109">
        <v>4915.1000000000004</v>
      </c>
      <c r="F109">
        <v>4990</v>
      </c>
      <c r="G109">
        <v>5041</v>
      </c>
      <c r="H109">
        <v>5232.3999999999996</v>
      </c>
      <c r="I109">
        <v>5296.7</v>
      </c>
      <c r="J109">
        <v>5333.5</v>
      </c>
      <c r="K109">
        <v>5400.8</v>
      </c>
      <c r="L109">
        <v>5593.7</v>
      </c>
      <c r="M109">
        <v>5525</v>
      </c>
      <c r="N109">
        <v>5560.6</v>
      </c>
      <c r="O109">
        <v>5619.8</v>
      </c>
      <c r="P109">
        <v>5709.1</v>
      </c>
      <c r="Q109">
        <v>5746.9</v>
      </c>
      <c r="R109">
        <v>5660.3</v>
      </c>
      <c r="S109">
        <v>5753</v>
      </c>
      <c r="T109">
        <v>5566.6</v>
      </c>
      <c r="U109">
        <v>5193.2</v>
      </c>
      <c r="V109">
        <v>5359.4</v>
      </c>
      <c r="W109">
        <v>5227.1000000000004</v>
      </c>
      <c r="X109">
        <v>5024.6000000000004</v>
      </c>
      <c r="Y109">
        <v>5156.5</v>
      </c>
      <c r="Z109">
        <v>5202.3</v>
      </c>
      <c r="AA109">
        <v>5049.8</v>
      </c>
    </row>
    <row r="110" spans="1:27" x14ac:dyDescent="0.25">
      <c r="A110" s="333" t="s">
        <v>1715</v>
      </c>
      <c r="B110">
        <v>1820.8</v>
      </c>
      <c r="C110">
        <v>1818.2</v>
      </c>
      <c r="D110">
        <v>1831.5</v>
      </c>
      <c r="E110">
        <v>1906.9</v>
      </c>
      <c r="F110">
        <v>1931.2</v>
      </c>
      <c r="G110">
        <v>1947.9</v>
      </c>
      <c r="H110">
        <v>2021</v>
      </c>
      <c r="I110">
        <v>2088.4</v>
      </c>
      <c r="J110">
        <v>2177.4</v>
      </c>
      <c r="K110">
        <v>2190.5</v>
      </c>
      <c r="L110">
        <v>2296.9</v>
      </c>
      <c r="M110">
        <v>2257.9</v>
      </c>
      <c r="N110">
        <v>2272.6999999999998</v>
      </c>
      <c r="O110">
        <v>2304.1999999999998</v>
      </c>
      <c r="P110">
        <v>2335.9</v>
      </c>
      <c r="Q110">
        <v>2400.9</v>
      </c>
      <c r="R110">
        <v>2345.3000000000002</v>
      </c>
      <c r="S110">
        <v>2411.9</v>
      </c>
      <c r="T110">
        <v>2360.1</v>
      </c>
      <c r="U110">
        <v>2145.6999999999998</v>
      </c>
      <c r="V110">
        <v>2258.4</v>
      </c>
      <c r="W110">
        <v>2157.6999999999998</v>
      </c>
      <c r="X110">
        <v>2022.2</v>
      </c>
      <c r="Y110">
        <v>2038.1</v>
      </c>
      <c r="Z110">
        <v>2038</v>
      </c>
      <c r="AA110">
        <v>1900.7</v>
      </c>
    </row>
    <row r="111" spans="1:27" x14ac:dyDescent="0.25">
      <c r="A111" s="31" t="s">
        <v>1716</v>
      </c>
      <c r="B111">
        <v>1493.8</v>
      </c>
      <c r="C111">
        <v>1447.6</v>
      </c>
      <c r="D111">
        <v>1496.9</v>
      </c>
      <c r="E111">
        <v>1532.4</v>
      </c>
      <c r="F111">
        <v>1577</v>
      </c>
      <c r="G111">
        <v>1609.9</v>
      </c>
      <c r="H111">
        <v>1654.3</v>
      </c>
      <c r="I111">
        <v>1670.1</v>
      </c>
      <c r="J111">
        <v>1706.6</v>
      </c>
      <c r="K111">
        <v>1761.1</v>
      </c>
      <c r="L111">
        <v>1805.5</v>
      </c>
      <c r="M111">
        <v>1789.4</v>
      </c>
      <c r="N111">
        <v>1830.6</v>
      </c>
      <c r="O111">
        <v>1822.3</v>
      </c>
      <c r="P111">
        <v>1867.1</v>
      </c>
      <c r="Q111">
        <v>1887</v>
      </c>
      <c r="R111">
        <v>1882.6</v>
      </c>
      <c r="S111">
        <v>1886.1</v>
      </c>
      <c r="T111">
        <v>1791.8</v>
      </c>
      <c r="U111">
        <v>1717</v>
      </c>
      <c r="V111">
        <v>1728.3</v>
      </c>
      <c r="W111">
        <v>1707.6</v>
      </c>
      <c r="X111">
        <v>1696.8</v>
      </c>
      <c r="Y111">
        <v>1713</v>
      </c>
      <c r="Z111">
        <v>1742.8</v>
      </c>
      <c r="AA111">
        <v>1736.4</v>
      </c>
    </row>
    <row r="112" spans="1:27" x14ac:dyDescent="0.25">
      <c r="A112" s="31" t="s">
        <v>1717</v>
      </c>
      <c r="B112">
        <v>842.5</v>
      </c>
      <c r="C112">
        <v>822.5</v>
      </c>
      <c r="D112">
        <v>857.4</v>
      </c>
      <c r="E112">
        <v>855.7</v>
      </c>
      <c r="F112">
        <v>864.8</v>
      </c>
      <c r="G112">
        <v>870.5</v>
      </c>
      <c r="H112">
        <v>907.4</v>
      </c>
      <c r="I112">
        <v>906.8</v>
      </c>
      <c r="J112">
        <v>869.1</v>
      </c>
      <c r="K112">
        <v>845.9</v>
      </c>
      <c r="L112">
        <v>854.1</v>
      </c>
      <c r="M112">
        <v>843</v>
      </c>
      <c r="N112">
        <v>829.8</v>
      </c>
      <c r="O112">
        <v>829.6</v>
      </c>
      <c r="P112">
        <v>852.3</v>
      </c>
      <c r="Q112">
        <v>828</v>
      </c>
      <c r="R112">
        <v>852.6</v>
      </c>
      <c r="S112">
        <v>847.9</v>
      </c>
      <c r="T112">
        <v>802.8</v>
      </c>
      <c r="U112">
        <v>727.7</v>
      </c>
      <c r="V112">
        <v>775.5</v>
      </c>
      <c r="W112">
        <v>775</v>
      </c>
      <c r="X112">
        <v>782.9</v>
      </c>
      <c r="Y112">
        <v>812.2</v>
      </c>
      <c r="Z112">
        <v>806.1</v>
      </c>
      <c r="AA112">
        <v>805.5</v>
      </c>
    </row>
    <row r="113" spans="1:28" x14ac:dyDescent="0.25">
      <c r="A113" s="333" t="s">
        <v>1718</v>
      </c>
      <c r="B113">
        <v>338.3</v>
      </c>
      <c r="C113">
        <v>347.2</v>
      </c>
      <c r="D113">
        <v>353.5</v>
      </c>
      <c r="E113">
        <v>365.8</v>
      </c>
      <c r="F113">
        <v>356.8</v>
      </c>
      <c r="G113">
        <v>352.8</v>
      </c>
      <c r="H113">
        <v>383.1</v>
      </c>
      <c r="I113">
        <v>364.7</v>
      </c>
      <c r="J113">
        <v>331.2</v>
      </c>
      <c r="K113">
        <v>350.6</v>
      </c>
      <c r="L113">
        <v>370.8</v>
      </c>
      <c r="M113">
        <v>362.2</v>
      </c>
      <c r="N113">
        <v>360</v>
      </c>
      <c r="O113">
        <v>378.9</v>
      </c>
      <c r="P113">
        <v>367.4</v>
      </c>
      <c r="Q113">
        <v>357.8</v>
      </c>
      <c r="R113">
        <v>321.3</v>
      </c>
      <c r="S113">
        <v>341.3</v>
      </c>
      <c r="T113">
        <v>347.6</v>
      </c>
      <c r="U113">
        <v>336.3</v>
      </c>
      <c r="V113">
        <v>334.6</v>
      </c>
      <c r="W113">
        <v>325.5</v>
      </c>
      <c r="X113">
        <v>282.5</v>
      </c>
      <c r="Y113">
        <v>329.7</v>
      </c>
      <c r="Z113">
        <v>345.4</v>
      </c>
      <c r="AA113">
        <v>319.60000000000002</v>
      </c>
    </row>
    <row r="114" spans="1:28" x14ac:dyDescent="0.25">
      <c r="A114" s="31" t="s">
        <v>1719</v>
      </c>
      <c r="B114">
        <v>217.4</v>
      </c>
      <c r="C114">
        <v>223.3</v>
      </c>
      <c r="D114">
        <v>220.6</v>
      </c>
      <c r="E114">
        <v>220.1</v>
      </c>
      <c r="F114">
        <v>222.4</v>
      </c>
      <c r="G114">
        <v>225.6</v>
      </c>
      <c r="H114">
        <v>234.5</v>
      </c>
      <c r="I114">
        <v>233.6</v>
      </c>
      <c r="J114">
        <v>215.9</v>
      </c>
      <c r="K114">
        <v>218.8</v>
      </c>
      <c r="L114">
        <v>230.9</v>
      </c>
      <c r="M114">
        <v>225</v>
      </c>
      <c r="N114">
        <v>225</v>
      </c>
      <c r="O114">
        <v>235.2</v>
      </c>
      <c r="P114">
        <v>234.2</v>
      </c>
      <c r="Q114">
        <v>223.5</v>
      </c>
      <c r="R114">
        <v>208.6</v>
      </c>
      <c r="S114">
        <v>218.8</v>
      </c>
      <c r="T114">
        <v>223.6</v>
      </c>
      <c r="U114">
        <v>223.5</v>
      </c>
      <c r="V114">
        <v>220.1</v>
      </c>
      <c r="W114">
        <v>220.4</v>
      </c>
      <c r="X114">
        <v>196.7</v>
      </c>
      <c r="Y114">
        <v>221</v>
      </c>
      <c r="Z114">
        <v>228.7</v>
      </c>
      <c r="AA114">
        <v>246.2</v>
      </c>
    </row>
    <row r="115" spans="1:28" x14ac:dyDescent="0.25">
      <c r="A115" s="333" t="s">
        <v>1720</v>
      </c>
      <c r="B115">
        <v>27.6</v>
      </c>
      <c r="C115">
        <v>31.4</v>
      </c>
      <c r="D115">
        <v>33.1</v>
      </c>
      <c r="E115">
        <v>34.200000000000003</v>
      </c>
      <c r="F115">
        <v>37.799999999999997</v>
      </c>
      <c r="G115">
        <v>34.299999999999997</v>
      </c>
      <c r="H115">
        <v>32.1</v>
      </c>
      <c r="I115">
        <v>33</v>
      </c>
      <c r="J115">
        <v>33.200000000000003</v>
      </c>
      <c r="K115">
        <v>34</v>
      </c>
      <c r="L115">
        <v>35.6</v>
      </c>
      <c r="M115">
        <v>47.5</v>
      </c>
      <c r="N115">
        <v>42.5</v>
      </c>
      <c r="O115">
        <v>49.6</v>
      </c>
      <c r="P115">
        <v>52</v>
      </c>
      <c r="Q115">
        <v>49.7</v>
      </c>
      <c r="R115">
        <v>49.9</v>
      </c>
      <c r="S115">
        <v>47.1</v>
      </c>
      <c r="T115">
        <v>40.700000000000003</v>
      </c>
      <c r="U115">
        <v>43.1</v>
      </c>
      <c r="V115">
        <v>42.4</v>
      </c>
      <c r="W115">
        <v>40.9</v>
      </c>
      <c r="X115">
        <v>43.5</v>
      </c>
      <c r="Y115">
        <v>42.5</v>
      </c>
      <c r="Z115">
        <v>41.4</v>
      </c>
      <c r="AA115">
        <v>41.4</v>
      </c>
    </row>
    <row r="116" spans="1:28" x14ac:dyDescent="0.25">
      <c r="A116" s="21" t="s">
        <v>1721</v>
      </c>
      <c r="B116">
        <v>117.6</v>
      </c>
      <c r="C116">
        <v>127.7</v>
      </c>
      <c r="D116">
        <v>125.8</v>
      </c>
      <c r="E116">
        <v>116.3</v>
      </c>
      <c r="F116">
        <v>125.5</v>
      </c>
      <c r="G116">
        <v>128.30000000000001</v>
      </c>
      <c r="H116">
        <v>123.8</v>
      </c>
      <c r="I116">
        <v>132.4</v>
      </c>
      <c r="J116">
        <v>149.69999999999999</v>
      </c>
      <c r="K116">
        <v>163</v>
      </c>
      <c r="L116">
        <v>140.30000000000001</v>
      </c>
      <c r="M116">
        <v>131.69999999999999</v>
      </c>
      <c r="N116">
        <v>135.19999999999999</v>
      </c>
      <c r="O116">
        <v>129</v>
      </c>
      <c r="P116">
        <v>147.30000000000001</v>
      </c>
      <c r="Q116">
        <v>138.9</v>
      </c>
      <c r="R116">
        <v>140.30000000000001</v>
      </c>
      <c r="S116">
        <v>122.9</v>
      </c>
      <c r="T116">
        <v>125.4</v>
      </c>
      <c r="U116">
        <v>106.2</v>
      </c>
      <c r="V116">
        <v>114.3</v>
      </c>
      <c r="W116">
        <v>109.8</v>
      </c>
      <c r="X116">
        <v>106.7</v>
      </c>
      <c r="Y116">
        <v>123.6</v>
      </c>
      <c r="Z116">
        <v>119</v>
      </c>
      <c r="AA116">
        <v>125.5</v>
      </c>
      <c r="AB116" s="2"/>
    </row>
    <row r="117" spans="1:28" ht="24" x14ac:dyDescent="0.25">
      <c r="A117" s="21" t="s">
        <v>1722</v>
      </c>
      <c r="B117">
        <v>101.5</v>
      </c>
      <c r="C117">
        <v>92.1</v>
      </c>
      <c r="D117">
        <v>92.9</v>
      </c>
      <c r="E117">
        <v>88.9</v>
      </c>
      <c r="F117">
        <v>91.8</v>
      </c>
      <c r="G117">
        <v>95.5</v>
      </c>
      <c r="H117">
        <v>93.6</v>
      </c>
      <c r="I117">
        <v>95</v>
      </c>
      <c r="J117">
        <v>88.6</v>
      </c>
      <c r="K117">
        <v>86.4</v>
      </c>
      <c r="L117">
        <v>88.1</v>
      </c>
      <c r="M117">
        <v>77.599999999999994</v>
      </c>
      <c r="N117">
        <v>73.7</v>
      </c>
      <c r="O117">
        <v>70.599999999999994</v>
      </c>
      <c r="P117">
        <v>70.2</v>
      </c>
      <c r="Q117">
        <v>68</v>
      </c>
      <c r="R117">
        <v>70.8</v>
      </c>
      <c r="S117">
        <v>72.5</v>
      </c>
      <c r="T117">
        <v>68</v>
      </c>
      <c r="U117">
        <v>43.8</v>
      </c>
      <c r="V117">
        <v>56.8</v>
      </c>
      <c r="W117">
        <v>61.1</v>
      </c>
      <c r="X117">
        <v>55.4</v>
      </c>
      <c r="Y117">
        <v>53.3</v>
      </c>
      <c r="Z117">
        <v>58.6</v>
      </c>
      <c r="AA117">
        <v>48.9</v>
      </c>
    </row>
    <row r="118" spans="1:28" x14ac:dyDescent="0.25">
      <c r="A118" s="21" t="s">
        <v>1723</v>
      </c>
      <c r="B118">
        <v>37.700000000000003</v>
      </c>
      <c r="C118">
        <v>38</v>
      </c>
      <c r="D118">
        <v>37.700000000000003</v>
      </c>
      <c r="E118">
        <v>41</v>
      </c>
      <c r="F118">
        <v>41.1</v>
      </c>
      <c r="G118">
        <v>42.6</v>
      </c>
      <c r="H118">
        <v>40.1</v>
      </c>
      <c r="I118">
        <v>39.700000000000003</v>
      </c>
      <c r="J118">
        <v>29.7</v>
      </c>
      <c r="K118">
        <v>30.8</v>
      </c>
      <c r="L118">
        <v>29.9</v>
      </c>
      <c r="M118">
        <v>29.3</v>
      </c>
      <c r="N118">
        <v>30.1</v>
      </c>
      <c r="O118">
        <v>29</v>
      </c>
      <c r="P118">
        <v>28.7</v>
      </c>
      <c r="Q118">
        <v>30.1</v>
      </c>
      <c r="R118">
        <v>30.2</v>
      </c>
      <c r="S118">
        <v>31</v>
      </c>
      <c r="T118">
        <v>32.799999999999997</v>
      </c>
      <c r="U118">
        <v>32.299999999999997</v>
      </c>
      <c r="V118">
        <v>32.4</v>
      </c>
      <c r="W118">
        <v>35.700000000000003</v>
      </c>
      <c r="X118">
        <v>35.200000000000003</v>
      </c>
      <c r="Y118">
        <v>38.5</v>
      </c>
      <c r="Z118">
        <v>42.4</v>
      </c>
      <c r="AA118">
        <v>42.4</v>
      </c>
    </row>
    <row r="119" spans="1:28" x14ac:dyDescent="0.25">
      <c r="A119" s="21" t="s">
        <v>1724</v>
      </c>
      <c r="B119">
        <v>33.5</v>
      </c>
      <c r="C119">
        <v>32.700000000000003</v>
      </c>
      <c r="D119">
        <v>33</v>
      </c>
      <c r="E119">
        <v>34.799999999999997</v>
      </c>
      <c r="F119">
        <v>36.299999999999997</v>
      </c>
      <c r="G119">
        <v>37.1</v>
      </c>
      <c r="H119">
        <v>37.299999999999997</v>
      </c>
      <c r="I119">
        <v>38.6</v>
      </c>
      <c r="J119">
        <v>39.5</v>
      </c>
      <c r="K119">
        <v>40.200000000000003</v>
      </c>
      <c r="L119">
        <v>41.4</v>
      </c>
      <c r="M119">
        <v>41.6</v>
      </c>
      <c r="N119">
        <v>43.2</v>
      </c>
      <c r="O119">
        <v>43.3</v>
      </c>
      <c r="P119">
        <v>45.9</v>
      </c>
      <c r="Q119">
        <v>46.2</v>
      </c>
      <c r="R119">
        <v>46.9</v>
      </c>
      <c r="S119">
        <v>45.5</v>
      </c>
      <c r="T119">
        <v>41.4</v>
      </c>
      <c r="U119">
        <v>29.6</v>
      </c>
      <c r="V119">
        <v>31.4</v>
      </c>
      <c r="W119">
        <v>32.200000000000003</v>
      </c>
      <c r="X119">
        <v>35.299999999999997</v>
      </c>
      <c r="Y119">
        <v>36.4</v>
      </c>
      <c r="Z119">
        <v>39.4</v>
      </c>
      <c r="AA119">
        <v>39.9</v>
      </c>
      <c r="AB119" s="2"/>
    </row>
    <row r="120" spans="1:28" x14ac:dyDescent="0.25">
      <c r="A120" s="21" t="s">
        <v>1725</v>
      </c>
      <c r="B120">
        <v>21.3</v>
      </c>
      <c r="C120">
        <v>22.7</v>
      </c>
      <c r="D120">
        <v>23.3</v>
      </c>
      <c r="E120">
        <v>24.3</v>
      </c>
      <c r="F120">
        <v>26.2</v>
      </c>
      <c r="G120">
        <v>27.6</v>
      </c>
      <c r="H120">
        <v>28.7</v>
      </c>
      <c r="I120">
        <v>30.1</v>
      </c>
      <c r="J120">
        <v>30.4</v>
      </c>
      <c r="K120">
        <v>31.9</v>
      </c>
      <c r="L120">
        <v>31.1</v>
      </c>
      <c r="M120">
        <v>27.2</v>
      </c>
      <c r="N120">
        <v>28.3</v>
      </c>
      <c r="O120">
        <v>28</v>
      </c>
      <c r="P120">
        <v>30.2</v>
      </c>
      <c r="Q120">
        <v>27</v>
      </c>
      <c r="R120">
        <v>27.2</v>
      </c>
      <c r="S120">
        <v>27.6</v>
      </c>
      <c r="T120">
        <v>24.4</v>
      </c>
      <c r="U120">
        <v>23.4</v>
      </c>
      <c r="V120">
        <v>27.3</v>
      </c>
      <c r="W120">
        <v>26.3</v>
      </c>
      <c r="X120">
        <v>26.5</v>
      </c>
      <c r="Y120">
        <v>26.4</v>
      </c>
      <c r="Z120">
        <v>26.5</v>
      </c>
      <c r="AA120">
        <v>28.1</v>
      </c>
    </row>
    <row r="121" spans="1:28" x14ac:dyDescent="0.25">
      <c r="A121" s="21" t="s">
        <v>1726</v>
      </c>
      <c r="B121">
        <v>11.7</v>
      </c>
      <c r="C121">
        <v>11.5</v>
      </c>
      <c r="D121">
        <v>11.9</v>
      </c>
      <c r="E121">
        <v>12.3</v>
      </c>
      <c r="F121">
        <v>12.7</v>
      </c>
      <c r="G121">
        <v>13.5</v>
      </c>
      <c r="H121">
        <v>14.2</v>
      </c>
      <c r="I121">
        <v>14.5</v>
      </c>
      <c r="J121">
        <v>14.8</v>
      </c>
      <c r="K121">
        <v>14.4</v>
      </c>
      <c r="L121">
        <v>14.3</v>
      </c>
      <c r="M121">
        <v>13.7</v>
      </c>
      <c r="N121">
        <v>13.2</v>
      </c>
      <c r="O121">
        <v>13.9</v>
      </c>
      <c r="P121">
        <v>14.6</v>
      </c>
      <c r="Q121">
        <v>14.6</v>
      </c>
      <c r="R121">
        <v>15.2</v>
      </c>
      <c r="S121">
        <v>14.7</v>
      </c>
      <c r="T121">
        <v>14.5</v>
      </c>
      <c r="U121">
        <v>11.4</v>
      </c>
      <c r="V121">
        <v>13.4</v>
      </c>
      <c r="W121">
        <v>14</v>
      </c>
      <c r="X121">
        <v>13.8</v>
      </c>
      <c r="Y121">
        <v>14</v>
      </c>
      <c r="Z121">
        <v>14.2</v>
      </c>
      <c r="AA121">
        <v>13.3</v>
      </c>
    </row>
    <row r="122" spans="1:28" x14ac:dyDescent="0.25">
      <c r="A122" s="21" t="s">
        <v>1727</v>
      </c>
      <c r="B122">
        <v>4.9000000000000004</v>
      </c>
      <c r="C122">
        <v>4.3</v>
      </c>
      <c r="D122">
        <v>4.3</v>
      </c>
      <c r="E122">
        <v>3.9</v>
      </c>
      <c r="F122">
        <v>4.3</v>
      </c>
      <c r="G122">
        <v>6.2</v>
      </c>
      <c r="H122">
        <v>6.8</v>
      </c>
      <c r="I122">
        <v>6.4</v>
      </c>
      <c r="J122">
        <v>6.7</v>
      </c>
      <c r="K122">
        <v>7.6</v>
      </c>
      <c r="L122">
        <v>4.7</v>
      </c>
      <c r="M122">
        <v>4.7</v>
      </c>
      <c r="N122">
        <v>5.0999999999999996</v>
      </c>
      <c r="O122">
        <v>3.7</v>
      </c>
      <c r="P122">
        <v>5.6</v>
      </c>
      <c r="Q122">
        <v>6.3</v>
      </c>
      <c r="R122">
        <v>7.3</v>
      </c>
      <c r="S122">
        <v>7.4</v>
      </c>
      <c r="T122">
        <v>5.9</v>
      </c>
      <c r="U122">
        <v>7.6</v>
      </c>
      <c r="V122">
        <v>9.6</v>
      </c>
      <c r="W122">
        <v>9.3000000000000007</v>
      </c>
      <c r="X122">
        <v>8</v>
      </c>
      <c r="Y122">
        <v>10.4</v>
      </c>
      <c r="Z122">
        <v>11.8</v>
      </c>
      <c r="AA122">
        <v>11.2</v>
      </c>
    </row>
    <row r="123" spans="1:28" x14ac:dyDescent="0.25">
      <c r="A123" s="21" t="s">
        <v>1728</v>
      </c>
      <c r="B123">
        <v>13</v>
      </c>
      <c r="C123">
        <v>13.3</v>
      </c>
      <c r="D123">
        <v>13.7</v>
      </c>
      <c r="E123">
        <v>13.2</v>
      </c>
      <c r="F123">
        <v>14.2</v>
      </c>
      <c r="G123">
        <v>13.5</v>
      </c>
      <c r="H123">
        <v>13.8</v>
      </c>
      <c r="I123">
        <v>14</v>
      </c>
      <c r="J123">
        <v>14.1</v>
      </c>
      <c r="K123">
        <v>12.9</v>
      </c>
      <c r="L123">
        <v>12.2</v>
      </c>
      <c r="M123">
        <v>9.1999999999999993</v>
      </c>
      <c r="N123">
        <v>10.5</v>
      </c>
      <c r="O123">
        <v>8.8000000000000007</v>
      </c>
      <c r="P123">
        <v>9.6</v>
      </c>
      <c r="Q123">
        <v>9.1999999999999993</v>
      </c>
      <c r="R123">
        <v>8.8000000000000007</v>
      </c>
      <c r="S123">
        <v>9.1</v>
      </c>
      <c r="T123">
        <v>8.4</v>
      </c>
      <c r="U123">
        <v>8.5</v>
      </c>
      <c r="V123">
        <v>9.1999999999999993</v>
      </c>
      <c r="W123">
        <v>9.3000000000000007</v>
      </c>
      <c r="X123">
        <v>9.4</v>
      </c>
      <c r="Y123">
        <v>10</v>
      </c>
      <c r="Z123">
        <v>9.6</v>
      </c>
      <c r="AA123">
        <v>10.8</v>
      </c>
    </row>
    <row r="124" spans="1:28" x14ac:dyDescent="0.25">
      <c r="A124" s="21" t="s">
        <v>1729</v>
      </c>
      <c r="B124">
        <v>8</v>
      </c>
      <c r="C124">
        <v>8</v>
      </c>
      <c r="D124">
        <v>9.5</v>
      </c>
      <c r="E124">
        <v>9.8000000000000007</v>
      </c>
      <c r="F124">
        <v>10.8</v>
      </c>
      <c r="G124">
        <v>11.3</v>
      </c>
      <c r="H124">
        <v>11.9</v>
      </c>
      <c r="I124">
        <v>11.8</v>
      </c>
      <c r="J124">
        <v>10.8</v>
      </c>
      <c r="K124">
        <v>11</v>
      </c>
      <c r="L124">
        <v>11.1</v>
      </c>
      <c r="M124">
        <v>11.4</v>
      </c>
      <c r="N124">
        <v>11.8</v>
      </c>
      <c r="O124">
        <v>12.1</v>
      </c>
      <c r="P124">
        <v>12.4</v>
      </c>
      <c r="Q124">
        <v>12.5</v>
      </c>
      <c r="R124">
        <v>12.5</v>
      </c>
      <c r="S124">
        <v>12.7</v>
      </c>
      <c r="T124">
        <v>11.9</v>
      </c>
      <c r="U124">
        <v>11.3</v>
      </c>
      <c r="V124">
        <v>11</v>
      </c>
      <c r="W124">
        <v>10.6</v>
      </c>
      <c r="X124">
        <v>10.4</v>
      </c>
      <c r="Y124">
        <v>10.4</v>
      </c>
      <c r="Z124">
        <v>10.6</v>
      </c>
      <c r="AA124">
        <v>10.7</v>
      </c>
    </row>
    <row r="125" spans="1:28" x14ac:dyDescent="0.25">
      <c r="A125" s="21" t="s">
        <v>1730</v>
      </c>
      <c r="B125">
        <v>2.4</v>
      </c>
      <c r="C125">
        <v>2.2999999999999998</v>
      </c>
      <c r="D125">
        <v>2.4</v>
      </c>
      <c r="E125">
        <v>2.6</v>
      </c>
      <c r="F125">
        <v>2.7</v>
      </c>
      <c r="G125">
        <v>2.7</v>
      </c>
      <c r="H125">
        <v>2.6</v>
      </c>
      <c r="I125">
        <v>2.7</v>
      </c>
      <c r="J125">
        <v>2.9</v>
      </c>
      <c r="K125">
        <v>3</v>
      </c>
      <c r="L125">
        <v>3.2</v>
      </c>
      <c r="M125">
        <v>3.4</v>
      </c>
      <c r="N125">
        <v>3.6</v>
      </c>
      <c r="O125">
        <v>3.7</v>
      </c>
      <c r="P125">
        <v>3.7</v>
      </c>
      <c r="Q125">
        <v>3.5</v>
      </c>
      <c r="R125">
        <v>3.7</v>
      </c>
      <c r="S125">
        <v>3.8</v>
      </c>
      <c r="T125">
        <v>3.6</v>
      </c>
      <c r="U125">
        <v>3.6</v>
      </c>
      <c r="V125">
        <v>3.8</v>
      </c>
      <c r="W125">
        <v>4.0999999999999996</v>
      </c>
      <c r="X125">
        <v>4.3</v>
      </c>
      <c r="Y125">
        <v>4.5</v>
      </c>
      <c r="Z125">
        <v>4.8</v>
      </c>
      <c r="AA125">
        <v>5</v>
      </c>
    </row>
    <row r="126" spans="1:28" x14ac:dyDescent="0.25">
      <c r="A126" s="21" t="s">
        <v>1731</v>
      </c>
      <c r="B126">
        <v>1.5</v>
      </c>
      <c r="C126">
        <v>1.5</v>
      </c>
      <c r="D126">
        <v>1.5</v>
      </c>
      <c r="E126">
        <v>1.5</v>
      </c>
      <c r="F126">
        <v>1.5</v>
      </c>
      <c r="G126">
        <v>1.5</v>
      </c>
      <c r="H126">
        <v>1.5</v>
      </c>
      <c r="I126">
        <v>1.5</v>
      </c>
      <c r="J126">
        <v>1.5</v>
      </c>
      <c r="K126">
        <v>1.5</v>
      </c>
      <c r="L126">
        <v>1.5</v>
      </c>
      <c r="M126">
        <v>0.9</v>
      </c>
      <c r="N126">
        <v>1</v>
      </c>
      <c r="O126">
        <v>1.4</v>
      </c>
      <c r="P126">
        <v>1.3</v>
      </c>
      <c r="Q126">
        <v>1.4</v>
      </c>
      <c r="R126">
        <v>1.8</v>
      </c>
      <c r="S126">
        <v>1.9</v>
      </c>
      <c r="T126">
        <v>1.8</v>
      </c>
      <c r="U126">
        <v>1.8</v>
      </c>
      <c r="V126">
        <v>4.4000000000000004</v>
      </c>
      <c r="W126">
        <v>4.0999999999999996</v>
      </c>
      <c r="X126">
        <v>4</v>
      </c>
      <c r="Y126">
        <v>4.2</v>
      </c>
      <c r="Z126">
        <v>4.5</v>
      </c>
      <c r="AA126">
        <v>4.3</v>
      </c>
    </row>
    <row r="127" spans="1:28" x14ac:dyDescent="0.25">
      <c r="A127" s="21" t="s">
        <v>1732</v>
      </c>
      <c r="B127">
        <v>4.7</v>
      </c>
      <c r="C127">
        <v>5</v>
      </c>
      <c r="D127">
        <v>4.4000000000000004</v>
      </c>
      <c r="E127">
        <v>3.8</v>
      </c>
      <c r="F127">
        <v>4.0999999999999996</v>
      </c>
      <c r="G127">
        <v>4.4000000000000004</v>
      </c>
      <c r="H127">
        <v>4.4000000000000004</v>
      </c>
      <c r="I127">
        <v>4.3</v>
      </c>
      <c r="J127">
        <v>4.7</v>
      </c>
      <c r="K127">
        <v>4.5</v>
      </c>
      <c r="L127">
        <v>4.3</v>
      </c>
      <c r="M127">
        <v>4.4000000000000004</v>
      </c>
      <c r="N127">
        <v>5</v>
      </c>
      <c r="O127">
        <v>4.5999999999999996</v>
      </c>
      <c r="P127">
        <v>3.9</v>
      </c>
      <c r="Q127">
        <v>4.3</v>
      </c>
      <c r="R127">
        <v>4.2</v>
      </c>
      <c r="S127">
        <v>4.5</v>
      </c>
      <c r="T127">
        <v>5</v>
      </c>
      <c r="U127">
        <v>3.7</v>
      </c>
      <c r="V127">
        <v>4.8</v>
      </c>
      <c r="W127">
        <v>3.9</v>
      </c>
      <c r="X127">
        <v>6</v>
      </c>
      <c r="Y127">
        <v>3.9</v>
      </c>
      <c r="Z127">
        <v>3.6</v>
      </c>
      <c r="AA127">
        <v>3.8</v>
      </c>
    </row>
    <row r="128" spans="1:28" x14ac:dyDescent="0.25">
      <c r="A128" s="21" t="s">
        <v>1733</v>
      </c>
      <c r="B128">
        <v>3.6</v>
      </c>
      <c r="C128">
        <v>3.5</v>
      </c>
      <c r="D128">
        <v>3.6</v>
      </c>
      <c r="E128">
        <v>3.6</v>
      </c>
      <c r="F128">
        <v>3.6</v>
      </c>
      <c r="G128">
        <v>3.7</v>
      </c>
      <c r="H128">
        <v>3.7</v>
      </c>
      <c r="I128">
        <v>3.8</v>
      </c>
      <c r="J128">
        <v>3.9</v>
      </c>
      <c r="K128">
        <v>3.8</v>
      </c>
      <c r="L128">
        <v>3.9</v>
      </c>
      <c r="M128">
        <v>3.9</v>
      </c>
      <c r="N128">
        <v>3.9</v>
      </c>
      <c r="O128">
        <v>4</v>
      </c>
      <c r="P128">
        <v>4</v>
      </c>
      <c r="Q128">
        <v>3.9</v>
      </c>
      <c r="R128">
        <v>3.9</v>
      </c>
      <c r="S128">
        <v>3.9</v>
      </c>
      <c r="T128">
        <v>3.8</v>
      </c>
      <c r="U128">
        <v>3.7</v>
      </c>
      <c r="V128">
        <v>4.2</v>
      </c>
      <c r="W128">
        <v>4.2</v>
      </c>
      <c r="X128">
        <v>3.9</v>
      </c>
      <c r="Y128">
        <v>3.7</v>
      </c>
      <c r="Z128">
        <v>3.6</v>
      </c>
      <c r="AA128">
        <v>3.6</v>
      </c>
    </row>
    <row r="129" spans="1:31" ht="24" x14ac:dyDescent="0.25">
      <c r="A129" s="21" t="s">
        <v>1734</v>
      </c>
      <c r="B129">
        <v>2.8</v>
      </c>
      <c r="C129">
        <v>2.8</v>
      </c>
      <c r="D129">
        <v>2.8</v>
      </c>
      <c r="E129">
        <v>2.7</v>
      </c>
      <c r="F129">
        <v>2.7</v>
      </c>
      <c r="G129">
        <v>3</v>
      </c>
      <c r="H129">
        <v>3</v>
      </c>
      <c r="I129">
        <v>3.1</v>
      </c>
      <c r="J129">
        <v>3</v>
      </c>
      <c r="K129">
        <v>2.9</v>
      </c>
      <c r="L129">
        <v>2.9</v>
      </c>
      <c r="M129">
        <v>2.9</v>
      </c>
      <c r="N129">
        <v>2.8</v>
      </c>
      <c r="O129">
        <v>2.8</v>
      </c>
      <c r="P129">
        <v>2.9</v>
      </c>
      <c r="Q129">
        <v>3</v>
      </c>
      <c r="R129">
        <v>2.9</v>
      </c>
      <c r="S129">
        <v>2.9</v>
      </c>
      <c r="T129">
        <v>3</v>
      </c>
      <c r="U129">
        <v>2.6</v>
      </c>
      <c r="V129">
        <v>2.7</v>
      </c>
      <c r="W129">
        <v>2.7</v>
      </c>
      <c r="X129">
        <v>2.8</v>
      </c>
      <c r="Y129">
        <v>2.8</v>
      </c>
      <c r="Z129">
        <v>2.8</v>
      </c>
      <c r="AA129">
        <v>2.8</v>
      </c>
    </row>
    <row r="130" spans="1:31" x14ac:dyDescent="0.25">
      <c r="A130" s="21" t="s">
        <v>1735</v>
      </c>
      <c r="B130">
        <v>6.8</v>
      </c>
      <c r="C130">
        <v>6.9</v>
      </c>
      <c r="D130">
        <v>6.8</v>
      </c>
      <c r="E130">
        <v>6.2</v>
      </c>
      <c r="F130">
        <v>5.5</v>
      </c>
      <c r="G130">
        <v>5.7</v>
      </c>
      <c r="H130">
        <v>6</v>
      </c>
      <c r="I130">
        <v>6</v>
      </c>
      <c r="J130">
        <v>6.2</v>
      </c>
      <c r="K130">
        <v>6.3</v>
      </c>
      <c r="L130">
        <v>6.1</v>
      </c>
      <c r="M130">
        <v>4.4000000000000004</v>
      </c>
      <c r="N130">
        <v>4.5</v>
      </c>
      <c r="O130">
        <v>4.5</v>
      </c>
      <c r="P130">
        <v>4.2</v>
      </c>
      <c r="Q130">
        <v>4.0999999999999996</v>
      </c>
      <c r="R130">
        <v>3.8</v>
      </c>
      <c r="S130">
        <v>4.3</v>
      </c>
      <c r="T130">
        <v>4.5</v>
      </c>
      <c r="U130">
        <v>3</v>
      </c>
      <c r="V130">
        <v>2.7</v>
      </c>
      <c r="W130">
        <v>3.3</v>
      </c>
      <c r="X130">
        <v>3.4</v>
      </c>
      <c r="Y130">
        <v>3.3</v>
      </c>
      <c r="Z130">
        <v>2.8</v>
      </c>
      <c r="AA130">
        <v>2.8</v>
      </c>
    </row>
    <row r="131" spans="1:31" x14ac:dyDescent="0.25">
      <c r="A131" s="21" t="s">
        <v>1736</v>
      </c>
      <c r="B131">
        <v>2.2000000000000002</v>
      </c>
      <c r="C131">
        <v>1.9</v>
      </c>
      <c r="D131">
        <v>2</v>
      </c>
      <c r="E131">
        <v>1.9</v>
      </c>
      <c r="F131">
        <v>2</v>
      </c>
      <c r="G131">
        <v>2</v>
      </c>
      <c r="H131">
        <v>2.1</v>
      </c>
      <c r="I131">
        <v>2.2000000000000002</v>
      </c>
      <c r="J131">
        <v>2.2000000000000002</v>
      </c>
      <c r="K131">
        <v>2.2000000000000002</v>
      </c>
      <c r="L131">
        <v>1.9</v>
      </c>
      <c r="M131">
        <v>1.5</v>
      </c>
      <c r="N131">
        <v>1.3</v>
      </c>
      <c r="O131">
        <v>1.3</v>
      </c>
      <c r="P131">
        <v>1.4</v>
      </c>
      <c r="Q131">
        <v>1.4</v>
      </c>
      <c r="R131">
        <v>1.5</v>
      </c>
      <c r="S131">
        <v>1.6</v>
      </c>
      <c r="T131">
        <v>1.6</v>
      </c>
      <c r="U131">
        <v>1.5</v>
      </c>
      <c r="V131">
        <v>1.7</v>
      </c>
      <c r="W131">
        <v>1.7</v>
      </c>
      <c r="X131">
        <v>1.9</v>
      </c>
      <c r="Y131">
        <v>1.8</v>
      </c>
      <c r="Z131">
        <v>1.9</v>
      </c>
      <c r="AA131">
        <v>2</v>
      </c>
    </row>
    <row r="132" spans="1:31" x14ac:dyDescent="0.25">
      <c r="A132" s="21" t="s">
        <v>1737</v>
      </c>
      <c r="B132">
        <v>1.2</v>
      </c>
      <c r="C132">
        <v>1.2</v>
      </c>
      <c r="D132">
        <v>1.4</v>
      </c>
      <c r="E132">
        <v>1.4</v>
      </c>
      <c r="F132">
        <v>1.5</v>
      </c>
      <c r="G132">
        <v>1.5</v>
      </c>
      <c r="H132">
        <v>1.5</v>
      </c>
      <c r="I132">
        <v>1.7</v>
      </c>
      <c r="J132">
        <v>1.7</v>
      </c>
      <c r="K132">
        <v>1.7</v>
      </c>
      <c r="L132">
        <v>1.8</v>
      </c>
      <c r="M132">
        <v>1.7</v>
      </c>
      <c r="N132">
        <v>1.8</v>
      </c>
      <c r="O132">
        <v>1.8</v>
      </c>
      <c r="P132">
        <v>2.1</v>
      </c>
      <c r="Q132">
        <v>1.8</v>
      </c>
      <c r="R132">
        <v>1.8</v>
      </c>
      <c r="S132">
        <v>1.9</v>
      </c>
      <c r="T132">
        <v>1.8</v>
      </c>
      <c r="U132">
        <v>1.6</v>
      </c>
      <c r="V132">
        <v>1.8</v>
      </c>
      <c r="W132">
        <v>1.7</v>
      </c>
      <c r="X132">
        <v>1.5</v>
      </c>
      <c r="Y132">
        <v>1.7</v>
      </c>
      <c r="Z132">
        <v>1.7</v>
      </c>
      <c r="AA132">
        <v>1.6</v>
      </c>
    </row>
    <row r="133" spans="1:31" x14ac:dyDescent="0.25">
      <c r="A133" s="21" t="s">
        <v>1738</v>
      </c>
      <c r="B133">
        <v>1.5</v>
      </c>
      <c r="C133">
        <v>1.4</v>
      </c>
      <c r="D133">
        <v>1.5</v>
      </c>
      <c r="E133">
        <v>1.6</v>
      </c>
      <c r="F133">
        <v>1.7</v>
      </c>
      <c r="G133">
        <v>1.8</v>
      </c>
      <c r="H133">
        <v>1.7</v>
      </c>
      <c r="I133">
        <v>1.6</v>
      </c>
      <c r="J133">
        <v>1.5</v>
      </c>
      <c r="K133">
        <v>1.4</v>
      </c>
      <c r="L133">
        <v>1.7</v>
      </c>
      <c r="M133">
        <v>1.4</v>
      </c>
      <c r="N133">
        <v>1.7</v>
      </c>
      <c r="O133">
        <v>1.6</v>
      </c>
      <c r="P133">
        <v>1.6</v>
      </c>
      <c r="Q133">
        <v>1.9</v>
      </c>
      <c r="R133">
        <v>2.1</v>
      </c>
      <c r="S133">
        <v>1.5</v>
      </c>
      <c r="T133">
        <v>1.5</v>
      </c>
      <c r="U133">
        <v>1</v>
      </c>
      <c r="V133">
        <v>1.5</v>
      </c>
      <c r="W133">
        <v>1.3</v>
      </c>
      <c r="X133">
        <v>1.2</v>
      </c>
      <c r="Y133">
        <v>1.3</v>
      </c>
      <c r="Z133">
        <v>1.3</v>
      </c>
      <c r="AA133">
        <v>1.3</v>
      </c>
    </row>
    <row r="134" spans="1:31" ht="24" x14ac:dyDescent="0.25">
      <c r="A134" s="21" t="s">
        <v>1739</v>
      </c>
      <c r="B134">
        <v>3.8</v>
      </c>
      <c r="C134">
        <v>3.5</v>
      </c>
      <c r="D134">
        <v>3.9</v>
      </c>
      <c r="E134">
        <v>4.5999999999999996</v>
      </c>
      <c r="F134">
        <v>4.3</v>
      </c>
      <c r="G134">
        <v>4.3</v>
      </c>
      <c r="H134">
        <v>3.9</v>
      </c>
      <c r="I134">
        <v>3.9</v>
      </c>
      <c r="J134">
        <v>4.8</v>
      </c>
      <c r="K134">
        <v>4.7</v>
      </c>
      <c r="L134">
        <v>4.2</v>
      </c>
      <c r="M134">
        <v>4.0999999999999996</v>
      </c>
      <c r="N134">
        <v>3.7</v>
      </c>
      <c r="O134">
        <v>3.6</v>
      </c>
      <c r="P134">
        <v>3.7</v>
      </c>
      <c r="Q134">
        <v>3.7</v>
      </c>
      <c r="R134">
        <v>3.5</v>
      </c>
      <c r="S134">
        <v>4.9000000000000004</v>
      </c>
      <c r="T134">
        <v>4.0999999999999996</v>
      </c>
      <c r="U134">
        <v>3.4</v>
      </c>
      <c r="V134">
        <v>4.7</v>
      </c>
      <c r="W134">
        <v>4</v>
      </c>
      <c r="X134">
        <v>4.4000000000000004</v>
      </c>
      <c r="Y134">
        <v>4</v>
      </c>
      <c r="Z134">
        <v>1.4</v>
      </c>
      <c r="AA134">
        <v>1.1000000000000001</v>
      </c>
    </row>
    <row r="135" spans="1:31" x14ac:dyDescent="0.25">
      <c r="A135" s="21" t="s">
        <v>1740</v>
      </c>
      <c r="B135">
        <v>1.5</v>
      </c>
      <c r="C135">
        <v>1.4</v>
      </c>
      <c r="D135">
        <v>1.5</v>
      </c>
      <c r="E135">
        <v>1.3</v>
      </c>
      <c r="F135">
        <v>1.5</v>
      </c>
      <c r="G135">
        <v>1.5</v>
      </c>
      <c r="H135">
        <v>1.6</v>
      </c>
      <c r="I135">
        <v>1.5</v>
      </c>
      <c r="J135">
        <v>1.6</v>
      </c>
      <c r="K135">
        <v>1.5</v>
      </c>
      <c r="L135">
        <v>1.4</v>
      </c>
      <c r="M135">
        <v>1.3</v>
      </c>
      <c r="N135">
        <v>1.3</v>
      </c>
      <c r="O135">
        <v>1.4</v>
      </c>
      <c r="P135">
        <v>1.4</v>
      </c>
      <c r="Q135">
        <v>1.3</v>
      </c>
      <c r="R135">
        <v>1.2</v>
      </c>
      <c r="S135">
        <v>1.2</v>
      </c>
      <c r="T135">
        <v>1.1000000000000001</v>
      </c>
      <c r="U135">
        <v>1</v>
      </c>
      <c r="V135">
        <v>1.1000000000000001</v>
      </c>
      <c r="W135">
        <v>1.2</v>
      </c>
      <c r="X135">
        <v>1.1000000000000001</v>
      </c>
      <c r="Y135">
        <v>1.1000000000000001</v>
      </c>
      <c r="Z135">
        <v>1</v>
      </c>
      <c r="AA135">
        <v>1</v>
      </c>
    </row>
    <row r="136" spans="1:31" x14ac:dyDescent="0.25">
      <c r="A136" s="21" t="s">
        <v>1741</v>
      </c>
      <c r="B136">
        <v>0.6</v>
      </c>
      <c r="C136">
        <v>0.8</v>
      </c>
      <c r="D136">
        <v>0.8</v>
      </c>
      <c r="E136">
        <v>0.9</v>
      </c>
      <c r="F136">
        <v>0.9</v>
      </c>
      <c r="G136">
        <v>0.9</v>
      </c>
      <c r="H136">
        <v>0.9</v>
      </c>
      <c r="I136">
        <v>1</v>
      </c>
      <c r="J136">
        <v>0.9</v>
      </c>
      <c r="K136">
        <v>0.9</v>
      </c>
      <c r="L136">
        <v>0.9</v>
      </c>
      <c r="M136">
        <v>0.7</v>
      </c>
      <c r="N136">
        <v>0.7</v>
      </c>
      <c r="O136">
        <v>1.1000000000000001</v>
      </c>
      <c r="P136">
        <v>1</v>
      </c>
      <c r="Q136">
        <v>1</v>
      </c>
      <c r="R136">
        <v>1</v>
      </c>
      <c r="S136">
        <v>1</v>
      </c>
      <c r="T136">
        <v>1.2</v>
      </c>
      <c r="U136">
        <v>0.9</v>
      </c>
      <c r="V136">
        <v>1.2</v>
      </c>
      <c r="W136">
        <v>1.3</v>
      </c>
      <c r="X136">
        <v>1.5</v>
      </c>
      <c r="Y136">
        <v>1.4</v>
      </c>
      <c r="Z136">
        <v>1</v>
      </c>
      <c r="AA136">
        <v>0.9</v>
      </c>
    </row>
    <row r="137" spans="1:31" x14ac:dyDescent="0.25">
      <c r="A137" s="21" t="s">
        <v>1742</v>
      </c>
      <c r="B137">
        <v>0.5</v>
      </c>
      <c r="C137">
        <v>0.5</v>
      </c>
      <c r="D137">
        <v>0.5</v>
      </c>
      <c r="E137">
        <v>0.5</v>
      </c>
      <c r="F137">
        <v>0.5</v>
      </c>
      <c r="G137">
        <v>0.6</v>
      </c>
      <c r="H137">
        <v>0.6</v>
      </c>
      <c r="I137">
        <v>0.6</v>
      </c>
      <c r="J137">
        <v>0.6</v>
      </c>
      <c r="K137">
        <v>0.6</v>
      </c>
      <c r="L137">
        <v>0.6</v>
      </c>
      <c r="M137">
        <v>0.6</v>
      </c>
      <c r="N137">
        <v>0.6</v>
      </c>
      <c r="O137">
        <v>0.6</v>
      </c>
      <c r="P137">
        <v>0.5</v>
      </c>
      <c r="Q137">
        <v>0.6</v>
      </c>
      <c r="R137">
        <v>0.6</v>
      </c>
      <c r="S137">
        <v>0.6</v>
      </c>
      <c r="T137">
        <v>0.5</v>
      </c>
      <c r="U137">
        <v>0.5</v>
      </c>
      <c r="V137">
        <v>0.5</v>
      </c>
      <c r="W137">
        <v>0.5</v>
      </c>
      <c r="X137">
        <v>0.5</v>
      </c>
      <c r="Y137">
        <v>0.5</v>
      </c>
      <c r="Z137">
        <v>0.5</v>
      </c>
      <c r="AA137">
        <v>0.5</v>
      </c>
    </row>
    <row r="138" spans="1:31" ht="24" x14ac:dyDescent="0.25">
      <c r="A138" s="21" t="s">
        <v>1743</v>
      </c>
      <c r="B138">
        <v>0.4</v>
      </c>
      <c r="C138">
        <v>0.3</v>
      </c>
      <c r="D138">
        <v>0.3</v>
      </c>
      <c r="E138">
        <v>0.3</v>
      </c>
      <c r="F138">
        <v>0.3</v>
      </c>
      <c r="G138">
        <v>0.3</v>
      </c>
      <c r="H138">
        <v>0.3</v>
      </c>
      <c r="I138">
        <v>0.3</v>
      </c>
      <c r="J138">
        <v>0.4</v>
      </c>
      <c r="K138">
        <v>0.3</v>
      </c>
      <c r="L138">
        <v>0.2</v>
      </c>
      <c r="M138">
        <v>0.2</v>
      </c>
      <c r="N138">
        <v>0.2</v>
      </c>
      <c r="O138">
        <v>0.2</v>
      </c>
      <c r="P138">
        <v>0.2</v>
      </c>
      <c r="Q138">
        <v>0.2</v>
      </c>
      <c r="R138">
        <v>0.2</v>
      </c>
      <c r="S138">
        <v>0.2</v>
      </c>
      <c r="T138">
        <v>0.2</v>
      </c>
      <c r="U138">
        <v>0.1</v>
      </c>
      <c r="V138">
        <v>0.2</v>
      </c>
      <c r="W138">
        <v>0.2</v>
      </c>
      <c r="X138">
        <v>0.2</v>
      </c>
      <c r="Y138">
        <v>0.2</v>
      </c>
      <c r="Z138">
        <v>0.2</v>
      </c>
      <c r="AA138">
        <v>0.2</v>
      </c>
      <c r="AE138" s="2"/>
    </row>
    <row r="139" spans="1:31" ht="24" x14ac:dyDescent="0.25">
      <c r="A139" s="21" t="s">
        <v>1744</v>
      </c>
      <c r="B139" t="s">
        <v>1786</v>
      </c>
      <c r="C139" t="s">
        <v>1786</v>
      </c>
      <c r="D139" t="s">
        <v>1786</v>
      </c>
      <c r="E139" t="s">
        <v>1786</v>
      </c>
      <c r="F139" t="s">
        <v>1786</v>
      </c>
      <c r="G139" t="s">
        <v>1786</v>
      </c>
      <c r="H139" t="s">
        <v>1786</v>
      </c>
      <c r="I139" t="s">
        <v>1786</v>
      </c>
      <c r="J139" t="s">
        <v>1786</v>
      </c>
      <c r="K139" t="s">
        <v>1786</v>
      </c>
      <c r="L139" t="s">
        <v>1786</v>
      </c>
      <c r="M139" t="s">
        <v>1786</v>
      </c>
      <c r="N139" t="s">
        <v>1786</v>
      </c>
      <c r="O139" t="s">
        <v>1786</v>
      </c>
      <c r="P139" t="s">
        <v>1786</v>
      </c>
      <c r="Q139" t="s">
        <v>1786</v>
      </c>
      <c r="R139" t="s">
        <v>1786</v>
      </c>
      <c r="S139" t="s">
        <v>1786</v>
      </c>
      <c r="T139" t="s">
        <v>1786</v>
      </c>
      <c r="U139" t="s">
        <v>1786</v>
      </c>
      <c r="V139" t="s">
        <v>1786</v>
      </c>
      <c r="W139" t="s">
        <v>1786</v>
      </c>
      <c r="X139" t="s">
        <v>1786</v>
      </c>
      <c r="Y139" t="s">
        <v>1786</v>
      </c>
      <c r="Z139" t="s">
        <v>1786</v>
      </c>
      <c r="AA139" t="s">
        <v>1786</v>
      </c>
    </row>
    <row r="140" spans="1:31" ht="24" x14ac:dyDescent="0.25">
      <c r="A140" s="31" t="s">
        <v>1745</v>
      </c>
      <c r="B140">
        <v>219.4</v>
      </c>
      <c r="C140">
        <v>220.2</v>
      </c>
      <c r="D140">
        <v>230.6</v>
      </c>
      <c r="E140">
        <v>225.8</v>
      </c>
      <c r="F140">
        <v>232.3</v>
      </c>
      <c r="G140">
        <v>236.9</v>
      </c>
      <c r="H140">
        <v>241.3</v>
      </c>
      <c r="I140">
        <v>235.6</v>
      </c>
      <c r="J140">
        <v>218.2</v>
      </c>
      <c r="K140">
        <v>221.5</v>
      </c>
      <c r="L140">
        <v>227.4</v>
      </c>
      <c r="M140">
        <v>203.4</v>
      </c>
      <c r="N140">
        <v>204.7</v>
      </c>
      <c r="O140">
        <v>209.9</v>
      </c>
      <c r="P140">
        <v>225.4</v>
      </c>
      <c r="Q140">
        <v>230.7</v>
      </c>
      <c r="R140">
        <v>236.3</v>
      </c>
      <c r="S140">
        <v>244.6</v>
      </c>
      <c r="T140">
        <v>257.5</v>
      </c>
      <c r="U140">
        <v>253.5</v>
      </c>
      <c r="V140">
        <v>267.60000000000002</v>
      </c>
      <c r="W140">
        <v>276.39999999999998</v>
      </c>
      <c r="X140">
        <v>276.2</v>
      </c>
      <c r="Y140">
        <v>299.8</v>
      </c>
      <c r="Z140">
        <v>307.10000000000002</v>
      </c>
      <c r="AA140">
        <v>291.7</v>
      </c>
    </row>
    <row r="141" spans="1:31" x14ac:dyDescent="0.25">
      <c r="A141" s="31" t="s">
        <v>1746</v>
      </c>
      <c r="B141">
        <v>103.5</v>
      </c>
      <c r="C141">
        <v>117.6</v>
      </c>
      <c r="D141">
        <v>107.9</v>
      </c>
      <c r="E141">
        <v>97.8</v>
      </c>
      <c r="F141">
        <v>96.7</v>
      </c>
      <c r="G141">
        <v>98.5</v>
      </c>
      <c r="H141">
        <v>99.7</v>
      </c>
      <c r="I141">
        <v>107</v>
      </c>
      <c r="J141">
        <v>110.5</v>
      </c>
      <c r="K141">
        <v>102.7</v>
      </c>
      <c r="L141">
        <v>101.7</v>
      </c>
      <c r="M141">
        <v>93.7</v>
      </c>
      <c r="N141">
        <v>94.4</v>
      </c>
      <c r="O141">
        <v>98.3</v>
      </c>
      <c r="P141">
        <v>108.4</v>
      </c>
      <c r="Q141">
        <v>113.1</v>
      </c>
      <c r="R141">
        <v>114.1</v>
      </c>
      <c r="S141">
        <v>115.3</v>
      </c>
      <c r="T141">
        <v>114.3</v>
      </c>
      <c r="U141">
        <v>106.4</v>
      </c>
      <c r="V141">
        <v>117</v>
      </c>
      <c r="W141">
        <v>111.7</v>
      </c>
      <c r="X141">
        <v>105.8</v>
      </c>
      <c r="Y141">
        <v>99.8</v>
      </c>
      <c r="Z141">
        <v>103.2</v>
      </c>
      <c r="AA141">
        <v>110.8</v>
      </c>
    </row>
    <row r="142" spans="1:31" x14ac:dyDescent="0.25">
      <c r="A142" s="31" t="s">
        <v>1747</v>
      </c>
      <c r="B142">
        <v>780.8</v>
      </c>
      <c r="C142">
        <v>785.3</v>
      </c>
      <c r="D142">
        <v>784.3</v>
      </c>
      <c r="E142">
        <v>769.1</v>
      </c>
      <c r="F142">
        <v>772.9</v>
      </c>
      <c r="G142">
        <v>765.1</v>
      </c>
      <c r="H142">
        <v>756.5</v>
      </c>
      <c r="I142">
        <v>740.5</v>
      </c>
      <c r="J142">
        <v>725.8</v>
      </c>
      <c r="K142">
        <v>713.9</v>
      </c>
      <c r="L142">
        <v>704.2</v>
      </c>
      <c r="M142">
        <v>695.8</v>
      </c>
      <c r="N142">
        <v>684.2</v>
      </c>
      <c r="O142">
        <v>684.4</v>
      </c>
      <c r="P142">
        <v>675.8</v>
      </c>
      <c r="Q142">
        <v>680.9</v>
      </c>
      <c r="R142">
        <v>682.1</v>
      </c>
      <c r="S142">
        <v>686</v>
      </c>
      <c r="T142">
        <v>695.1</v>
      </c>
      <c r="U142">
        <v>690.4</v>
      </c>
      <c r="V142">
        <v>692.1</v>
      </c>
      <c r="W142">
        <v>672.1</v>
      </c>
      <c r="X142">
        <v>666.1</v>
      </c>
      <c r="Y142">
        <v>658.8</v>
      </c>
      <c r="Z142">
        <v>659.1</v>
      </c>
      <c r="AA142">
        <v>655.7</v>
      </c>
    </row>
    <row r="143" spans="1:31" x14ac:dyDescent="0.25">
      <c r="A143" s="21" t="s">
        <v>1748</v>
      </c>
      <c r="B143">
        <v>164.2</v>
      </c>
      <c r="C143">
        <v>164.4</v>
      </c>
      <c r="D143">
        <v>169.2</v>
      </c>
      <c r="E143">
        <v>171.6</v>
      </c>
      <c r="F143">
        <v>174.7</v>
      </c>
      <c r="G143">
        <v>178.7</v>
      </c>
      <c r="H143">
        <v>177.5</v>
      </c>
      <c r="I143">
        <v>174.1</v>
      </c>
      <c r="J143">
        <v>172.3</v>
      </c>
      <c r="K143">
        <v>172.4</v>
      </c>
      <c r="L143">
        <v>170.6</v>
      </c>
      <c r="M143">
        <v>169.6</v>
      </c>
      <c r="N143">
        <v>169.8</v>
      </c>
      <c r="O143">
        <v>170</v>
      </c>
      <c r="P143">
        <v>166.8</v>
      </c>
      <c r="Q143">
        <v>168.9</v>
      </c>
      <c r="R143">
        <v>171.6</v>
      </c>
      <c r="S143">
        <v>174.5</v>
      </c>
      <c r="T143">
        <v>173.8</v>
      </c>
      <c r="U143">
        <v>173</v>
      </c>
      <c r="V143">
        <v>171.3</v>
      </c>
      <c r="W143">
        <v>168.9</v>
      </c>
      <c r="X143">
        <v>166.7</v>
      </c>
      <c r="Y143">
        <v>165.5</v>
      </c>
      <c r="Z143">
        <v>164.2</v>
      </c>
      <c r="AA143">
        <v>166.5</v>
      </c>
    </row>
    <row r="144" spans="1:31" x14ac:dyDescent="0.25">
      <c r="A144" s="21" t="s">
        <v>1723</v>
      </c>
      <c r="B144">
        <v>194.1</v>
      </c>
      <c r="C144">
        <v>196.5</v>
      </c>
      <c r="D144">
        <v>195.3</v>
      </c>
      <c r="E144">
        <v>192.8</v>
      </c>
      <c r="F144">
        <v>192.3</v>
      </c>
      <c r="G144">
        <v>184.9</v>
      </c>
      <c r="H144">
        <v>181.8</v>
      </c>
      <c r="I144">
        <v>179.2</v>
      </c>
      <c r="J144">
        <v>174.5</v>
      </c>
      <c r="K144">
        <v>172.9</v>
      </c>
      <c r="L144">
        <v>169.7</v>
      </c>
      <c r="M144">
        <v>169.8</v>
      </c>
      <c r="N144">
        <v>163.4</v>
      </c>
      <c r="O144">
        <v>162.30000000000001</v>
      </c>
      <c r="P144">
        <v>160.19999999999999</v>
      </c>
      <c r="Q144">
        <v>159.69999999999999</v>
      </c>
      <c r="R144">
        <v>162.19999999999999</v>
      </c>
      <c r="S144">
        <v>159.80000000000001</v>
      </c>
      <c r="T144">
        <v>162.69999999999999</v>
      </c>
      <c r="U144">
        <v>156.1</v>
      </c>
      <c r="V144">
        <v>152.30000000000001</v>
      </c>
      <c r="W144">
        <v>154.5</v>
      </c>
      <c r="X144">
        <v>156.19999999999999</v>
      </c>
      <c r="Y144">
        <v>159.19999999999999</v>
      </c>
      <c r="Z144">
        <v>162.5</v>
      </c>
      <c r="AA144">
        <v>162.4</v>
      </c>
    </row>
    <row r="145" spans="1:27" x14ac:dyDescent="0.25">
      <c r="A145" s="21" t="s">
        <v>1749</v>
      </c>
      <c r="B145">
        <v>179.6</v>
      </c>
      <c r="C145">
        <v>181.7</v>
      </c>
      <c r="D145">
        <v>181.4</v>
      </c>
      <c r="E145">
        <v>179.2</v>
      </c>
      <c r="F145">
        <v>179</v>
      </c>
      <c r="G145">
        <v>174.2</v>
      </c>
      <c r="H145">
        <v>170.6</v>
      </c>
      <c r="I145">
        <v>161.1</v>
      </c>
      <c r="J145">
        <v>151.4</v>
      </c>
      <c r="K145">
        <v>144.69999999999999</v>
      </c>
      <c r="L145">
        <v>141.4</v>
      </c>
      <c r="M145">
        <v>136.80000000000001</v>
      </c>
      <c r="N145">
        <v>134.9</v>
      </c>
      <c r="O145">
        <v>137.4</v>
      </c>
      <c r="P145">
        <v>134.9</v>
      </c>
      <c r="Q145">
        <v>134.30000000000001</v>
      </c>
      <c r="R145">
        <v>132.30000000000001</v>
      </c>
      <c r="S145">
        <v>130.30000000000001</v>
      </c>
      <c r="T145">
        <v>128.4</v>
      </c>
      <c r="U145">
        <v>126.5</v>
      </c>
      <c r="V145">
        <v>127.6</v>
      </c>
      <c r="W145">
        <v>119</v>
      </c>
      <c r="X145">
        <v>120.8</v>
      </c>
      <c r="Y145">
        <v>116.7</v>
      </c>
      <c r="Z145">
        <v>116.6</v>
      </c>
      <c r="AA145">
        <v>115.7</v>
      </c>
    </row>
    <row r="146" spans="1:27" x14ac:dyDescent="0.25">
      <c r="A146" s="21" t="s">
        <v>1750</v>
      </c>
      <c r="B146">
        <v>37.200000000000003</v>
      </c>
      <c r="C146">
        <v>38.9</v>
      </c>
      <c r="D146">
        <v>37.5</v>
      </c>
      <c r="E146">
        <v>39.200000000000003</v>
      </c>
      <c r="F146">
        <v>42</v>
      </c>
      <c r="G146">
        <v>43.3</v>
      </c>
      <c r="H146">
        <v>42.6</v>
      </c>
      <c r="I146">
        <v>44.7</v>
      </c>
      <c r="J146">
        <v>48.7</v>
      </c>
      <c r="K146">
        <v>49.3</v>
      </c>
      <c r="L146">
        <v>50</v>
      </c>
      <c r="M146">
        <v>52.2</v>
      </c>
      <c r="N146">
        <v>53.5</v>
      </c>
      <c r="O146">
        <v>54.4</v>
      </c>
      <c r="P146">
        <v>53.1</v>
      </c>
      <c r="Q146">
        <v>56.3</v>
      </c>
      <c r="R146">
        <v>57</v>
      </c>
      <c r="S146">
        <v>62</v>
      </c>
      <c r="T146">
        <v>61.4</v>
      </c>
      <c r="U146">
        <v>60.4</v>
      </c>
      <c r="V146">
        <v>62.1</v>
      </c>
      <c r="W146">
        <v>63</v>
      </c>
      <c r="X146">
        <v>65.599999999999994</v>
      </c>
      <c r="Y146">
        <v>63.3</v>
      </c>
      <c r="Z146">
        <v>62.9</v>
      </c>
      <c r="AA146">
        <v>66.3</v>
      </c>
    </row>
    <row r="147" spans="1:27" x14ac:dyDescent="0.25">
      <c r="A147" s="21" t="s">
        <v>1751</v>
      </c>
      <c r="B147">
        <v>96.5</v>
      </c>
      <c r="C147">
        <v>93.2</v>
      </c>
      <c r="D147">
        <v>90.7</v>
      </c>
      <c r="E147">
        <v>77.3</v>
      </c>
      <c r="F147">
        <v>77.599999999999994</v>
      </c>
      <c r="G147">
        <v>76.400000000000006</v>
      </c>
      <c r="H147">
        <v>76</v>
      </c>
      <c r="I147">
        <v>75.400000000000006</v>
      </c>
      <c r="J147">
        <v>75.7</v>
      </c>
      <c r="K147">
        <v>71.2</v>
      </c>
      <c r="L147">
        <v>68.3</v>
      </c>
      <c r="M147">
        <v>68</v>
      </c>
      <c r="N147">
        <v>63.8</v>
      </c>
      <c r="O147">
        <v>64</v>
      </c>
      <c r="P147">
        <v>65.3</v>
      </c>
      <c r="Q147">
        <v>64.099999999999994</v>
      </c>
      <c r="R147">
        <v>65.599999999999994</v>
      </c>
      <c r="S147">
        <v>64.8</v>
      </c>
      <c r="T147">
        <v>75.599999999999994</v>
      </c>
      <c r="U147">
        <v>79.900000000000006</v>
      </c>
      <c r="V147">
        <v>82.3</v>
      </c>
      <c r="W147">
        <v>71.2</v>
      </c>
      <c r="X147">
        <v>66.5</v>
      </c>
      <c r="Y147">
        <v>64.599999999999994</v>
      </c>
      <c r="Z147">
        <v>64.8</v>
      </c>
      <c r="AA147">
        <v>60.9</v>
      </c>
    </row>
    <row r="148" spans="1:27" x14ac:dyDescent="0.25">
      <c r="A148" s="21" t="s">
        <v>1733</v>
      </c>
      <c r="B148">
        <v>55.5</v>
      </c>
      <c r="C148">
        <v>55.5</v>
      </c>
      <c r="D148">
        <v>53.8</v>
      </c>
      <c r="E148">
        <v>52.6</v>
      </c>
      <c r="F148">
        <v>51.7</v>
      </c>
      <c r="G148">
        <v>50.9</v>
      </c>
      <c r="H148">
        <v>50.5</v>
      </c>
      <c r="I148">
        <v>50.4</v>
      </c>
      <c r="J148">
        <v>49</v>
      </c>
      <c r="K148">
        <v>47.3</v>
      </c>
      <c r="L148">
        <v>47.3</v>
      </c>
      <c r="M148">
        <v>47.1</v>
      </c>
      <c r="N148">
        <v>46.5</v>
      </c>
      <c r="O148">
        <v>46.3</v>
      </c>
      <c r="P148">
        <v>46</v>
      </c>
      <c r="Q148">
        <v>46</v>
      </c>
      <c r="R148">
        <v>46.3</v>
      </c>
      <c r="S148">
        <v>46.2</v>
      </c>
      <c r="T148">
        <v>47</v>
      </c>
      <c r="U148">
        <v>46.2</v>
      </c>
      <c r="V148">
        <v>47</v>
      </c>
      <c r="W148">
        <v>48</v>
      </c>
      <c r="X148">
        <v>46.4</v>
      </c>
      <c r="Y148">
        <v>44.5</v>
      </c>
      <c r="Z148">
        <v>43</v>
      </c>
      <c r="AA148">
        <v>39.9</v>
      </c>
    </row>
    <row r="149" spans="1:27" x14ac:dyDescent="0.25">
      <c r="A149" s="21" t="s">
        <v>1752</v>
      </c>
      <c r="B149">
        <v>15.7</v>
      </c>
      <c r="C149">
        <v>15.9</v>
      </c>
      <c r="D149">
        <v>16.2</v>
      </c>
      <c r="E149">
        <v>16.2</v>
      </c>
      <c r="F149">
        <v>16.399999999999999</v>
      </c>
      <c r="G149">
        <v>16.399999999999999</v>
      </c>
      <c r="H149">
        <v>16.399999999999999</v>
      </c>
      <c r="I149">
        <v>16.5</v>
      </c>
      <c r="J149">
        <v>16.5</v>
      </c>
      <c r="K149">
        <v>16.600000000000001</v>
      </c>
      <c r="L149">
        <v>16.600000000000001</v>
      </c>
      <c r="M149">
        <v>16.3</v>
      </c>
      <c r="N149">
        <v>16.3</v>
      </c>
      <c r="O149">
        <v>16.100000000000001</v>
      </c>
      <c r="P149">
        <v>15.9</v>
      </c>
      <c r="Q149">
        <v>16</v>
      </c>
      <c r="R149">
        <v>16</v>
      </c>
      <c r="S149">
        <v>16</v>
      </c>
      <c r="T149">
        <v>16</v>
      </c>
      <c r="U149">
        <v>15.7</v>
      </c>
      <c r="V149">
        <v>15.5</v>
      </c>
      <c r="W149">
        <v>15.3</v>
      </c>
      <c r="X149">
        <v>15.1</v>
      </c>
      <c r="Y149">
        <v>14.9</v>
      </c>
      <c r="Z149">
        <v>14.8</v>
      </c>
      <c r="AA149">
        <v>14.8</v>
      </c>
    </row>
    <row r="150" spans="1:27" x14ac:dyDescent="0.25">
      <c r="A150" s="21" t="s">
        <v>1753</v>
      </c>
      <c r="B150">
        <v>16</v>
      </c>
      <c r="C150">
        <v>16.8</v>
      </c>
      <c r="D150">
        <v>16.899999999999999</v>
      </c>
      <c r="E150">
        <v>16.899999999999999</v>
      </c>
      <c r="F150">
        <v>14.8</v>
      </c>
      <c r="G150">
        <v>15.8</v>
      </c>
      <c r="H150">
        <v>16</v>
      </c>
      <c r="I150">
        <v>15.8</v>
      </c>
      <c r="J150">
        <v>16.100000000000001</v>
      </c>
      <c r="K150">
        <v>18.100000000000001</v>
      </c>
      <c r="L150">
        <v>18.3</v>
      </c>
      <c r="M150">
        <v>15.6</v>
      </c>
      <c r="N150">
        <v>16.5</v>
      </c>
      <c r="O150">
        <v>14.3</v>
      </c>
      <c r="P150">
        <v>14.1</v>
      </c>
      <c r="Q150">
        <v>16.7</v>
      </c>
      <c r="R150">
        <v>12.9</v>
      </c>
      <c r="S150">
        <v>13.9</v>
      </c>
      <c r="T150">
        <v>11.5</v>
      </c>
      <c r="U150">
        <v>14.5</v>
      </c>
      <c r="V150">
        <v>15.9</v>
      </c>
      <c r="W150">
        <v>14.1</v>
      </c>
      <c r="X150">
        <v>11.3</v>
      </c>
      <c r="Y150">
        <v>11.3</v>
      </c>
      <c r="Z150">
        <v>11.4</v>
      </c>
      <c r="AA150">
        <v>11.2</v>
      </c>
    </row>
    <row r="151" spans="1:27" x14ac:dyDescent="0.25">
      <c r="A151" s="21" t="s">
        <v>1754</v>
      </c>
      <c r="B151">
        <v>8.5</v>
      </c>
      <c r="C151">
        <v>8.6999999999999993</v>
      </c>
      <c r="D151">
        <v>9</v>
      </c>
      <c r="E151">
        <v>8.4</v>
      </c>
      <c r="F151">
        <v>8.1999999999999993</v>
      </c>
      <c r="G151">
        <v>8.1999999999999993</v>
      </c>
      <c r="H151">
        <v>8.5</v>
      </c>
      <c r="I151">
        <v>7.7</v>
      </c>
      <c r="J151">
        <v>7</v>
      </c>
      <c r="K151">
        <v>7.2</v>
      </c>
      <c r="L151">
        <v>7.5</v>
      </c>
      <c r="M151">
        <v>7</v>
      </c>
      <c r="N151">
        <v>7</v>
      </c>
      <c r="O151">
        <v>7.2</v>
      </c>
      <c r="P151">
        <v>7.4</v>
      </c>
      <c r="Q151">
        <v>7.4</v>
      </c>
      <c r="R151">
        <v>6.9</v>
      </c>
      <c r="S151">
        <v>7.2</v>
      </c>
      <c r="T151">
        <v>7.4</v>
      </c>
      <c r="U151">
        <v>7.4</v>
      </c>
      <c r="V151">
        <v>7.1</v>
      </c>
      <c r="W151">
        <v>7.1</v>
      </c>
      <c r="X151">
        <v>6.6</v>
      </c>
      <c r="Y151">
        <v>8</v>
      </c>
      <c r="Z151">
        <v>8.1</v>
      </c>
      <c r="AA151">
        <v>7</v>
      </c>
    </row>
    <row r="152" spans="1:27" x14ac:dyDescent="0.25">
      <c r="A152" s="21" t="s">
        <v>1755</v>
      </c>
      <c r="B152">
        <v>7.2</v>
      </c>
      <c r="C152">
        <v>7.3</v>
      </c>
      <c r="D152">
        <v>7.9</v>
      </c>
      <c r="E152">
        <v>8.1999999999999993</v>
      </c>
      <c r="F152">
        <v>9.6999999999999993</v>
      </c>
      <c r="G152">
        <v>9.8000000000000007</v>
      </c>
      <c r="H152">
        <v>10.1</v>
      </c>
      <c r="I152">
        <v>9</v>
      </c>
      <c r="J152">
        <v>8.1999999999999993</v>
      </c>
      <c r="K152">
        <v>8.3000000000000007</v>
      </c>
      <c r="L152">
        <v>8.8000000000000007</v>
      </c>
      <c r="M152">
        <v>8</v>
      </c>
      <c r="N152">
        <v>7.3</v>
      </c>
      <c r="O152">
        <v>7.2</v>
      </c>
      <c r="P152">
        <v>6.9</v>
      </c>
      <c r="Q152">
        <v>6.6</v>
      </c>
      <c r="R152">
        <v>6.5</v>
      </c>
      <c r="S152">
        <v>6.3</v>
      </c>
      <c r="T152">
        <v>6.3</v>
      </c>
      <c r="U152">
        <v>6.4</v>
      </c>
      <c r="V152">
        <v>6.6</v>
      </c>
      <c r="W152">
        <v>6.4</v>
      </c>
      <c r="X152">
        <v>6.2</v>
      </c>
      <c r="Y152">
        <v>6.2</v>
      </c>
      <c r="Z152">
        <v>6.3</v>
      </c>
      <c r="AA152">
        <v>6.4</v>
      </c>
    </row>
    <row r="153" spans="1:27" x14ac:dyDescent="0.25">
      <c r="A153" s="21" t="s">
        <v>1756</v>
      </c>
      <c r="B153">
        <v>0.4</v>
      </c>
      <c r="C153">
        <v>0.4</v>
      </c>
      <c r="D153">
        <v>0.5</v>
      </c>
      <c r="E153">
        <v>0.6</v>
      </c>
      <c r="F153">
        <v>0.8</v>
      </c>
      <c r="G153">
        <v>0.9</v>
      </c>
      <c r="H153">
        <v>1</v>
      </c>
      <c r="I153">
        <v>1.1000000000000001</v>
      </c>
      <c r="J153">
        <v>1.2</v>
      </c>
      <c r="K153">
        <v>1.3</v>
      </c>
      <c r="L153">
        <v>1.5</v>
      </c>
      <c r="M153">
        <v>1.5</v>
      </c>
      <c r="N153">
        <v>1.5</v>
      </c>
      <c r="O153">
        <v>1.7</v>
      </c>
      <c r="P153">
        <v>1.9</v>
      </c>
      <c r="Q153">
        <v>1.9</v>
      </c>
      <c r="R153">
        <v>1.9</v>
      </c>
      <c r="S153">
        <v>2</v>
      </c>
      <c r="T153">
        <v>2</v>
      </c>
      <c r="U153">
        <v>1.9</v>
      </c>
      <c r="V153">
        <v>1.8</v>
      </c>
      <c r="W153">
        <v>1.9</v>
      </c>
      <c r="X153">
        <v>1.9</v>
      </c>
      <c r="Y153">
        <v>2</v>
      </c>
      <c r="Z153">
        <v>2.1</v>
      </c>
      <c r="AA153">
        <v>2.1</v>
      </c>
    </row>
    <row r="154" spans="1:27" x14ac:dyDescent="0.25">
      <c r="A154" s="31" t="s">
        <v>1757</v>
      </c>
      <c r="B154">
        <v>5.6</v>
      </c>
      <c r="C154">
        <v>5.5</v>
      </c>
      <c r="D154">
        <v>5.5</v>
      </c>
      <c r="E154">
        <v>5.4</v>
      </c>
      <c r="F154">
        <v>5.3</v>
      </c>
      <c r="G154">
        <v>5.2</v>
      </c>
      <c r="H154">
        <v>5</v>
      </c>
      <c r="I154">
        <v>4.8</v>
      </c>
      <c r="J154">
        <v>4.5999999999999996</v>
      </c>
      <c r="K154">
        <v>4</v>
      </c>
      <c r="L154">
        <v>3.7</v>
      </c>
      <c r="M154">
        <v>3.5</v>
      </c>
      <c r="N154">
        <v>3.2</v>
      </c>
      <c r="O154">
        <v>3</v>
      </c>
      <c r="P154">
        <v>2.9</v>
      </c>
      <c r="Q154">
        <v>2.8</v>
      </c>
      <c r="R154">
        <v>2.7</v>
      </c>
      <c r="S154">
        <v>2.5</v>
      </c>
      <c r="T154">
        <v>2.4</v>
      </c>
      <c r="U154">
        <v>2.2999999999999998</v>
      </c>
      <c r="V154">
        <v>2.2999999999999998</v>
      </c>
      <c r="W154">
        <v>2.2999999999999998</v>
      </c>
      <c r="X154">
        <v>2.2000000000000002</v>
      </c>
      <c r="Y154">
        <v>2.1</v>
      </c>
      <c r="Z154">
        <v>2.1</v>
      </c>
      <c r="AA154">
        <v>2</v>
      </c>
    </row>
    <row r="155" spans="1:27" x14ac:dyDescent="0.25">
      <c r="A155" s="21" t="s">
        <v>1758</v>
      </c>
      <c r="B155">
        <v>0.2</v>
      </c>
      <c r="C155">
        <v>0.2</v>
      </c>
      <c r="D155">
        <v>0.2</v>
      </c>
      <c r="E155">
        <v>0.2</v>
      </c>
      <c r="F155">
        <v>0.2</v>
      </c>
      <c r="G155">
        <v>0.2</v>
      </c>
      <c r="H155">
        <v>0.2</v>
      </c>
      <c r="I155">
        <v>0.2</v>
      </c>
      <c r="J155">
        <v>0.2</v>
      </c>
      <c r="K155">
        <v>0.2</v>
      </c>
      <c r="L155">
        <v>0.3</v>
      </c>
      <c r="M155">
        <v>0.2</v>
      </c>
      <c r="N155">
        <v>0.2</v>
      </c>
      <c r="O155">
        <v>0.3</v>
      </c>
      <c r="P155">
        <v>0.3</v>
      </c>
      <c r="Q155">
        <v>0.2</v>
      </c>
      <c r="R155">
        <v>0.3</v>
      </c>
      <c r="S155">
        <v>0.3</v>
      </c>
      <c r="T155">
        <v>0.3</v>
      </c>
      <c r="U155">
        <v>0.3</v>
      </c>
      <c r="V155">
        <v>0.3</v>
      </c>
      <c r="W155">
        <v>0.3</v>
      </c>
      <c r="X155">
        <v>0.3</v>
      </c>
      <c r="Y155">
        <v>0.3</v>
      </c>
      <c r="Z155">
        <v>0.3</v>
      </c>
      <c r="AA155">
        <v>0.3</v>
      </c>
    </row>
    <row r="156" spans="1:27" x14ac:dyDescent="0.25">
      <c r="A156" s="21" t="s">
        <v>1725</v>
      </c>
      <c r="B156">
        <v>0.2</v>
      </c>
      <c r="C156">
        <v>0.2</v>
      </c>
      <c r="D156">
        <v>0.2</v>
      </c>
      <c r="E156">
        <v>0.3</v>
      </c>
      <c r="F156">
        <v>0.3</v>
      </c>
      <c r="G156">
        <v>0.3</v>
      </c>
      <c r="H156">
        <v>0.3</v>
      </c>
      <c r="I156">
        <v>0.4</v>
      </c>
      <c r="J156">
        <v>0.3</v>
      </c>
      <c r="K156">
        <v>0.3</v>
      </c>
      <c r="L156">
        <v>0.3</v>
      </c>
      <c r="M156">
        <v>0.2</v>
      </c>
      <c r="N156">
        <v>0.2</v>
      </c>
      <c r="O156">
        <v>0.2</v>
      </c>
      <c r="P156">
        <v>0.2</v>
      </c>
      <c r="Q156">
        <v>0.1</v>
      </c>
      <c r="R156" t="s">
        <v>1786</v>
      </c>
      <c r="S156">
        <v>0.1</v>
      </c>
      <c r="T156" t="s">
        <v>1786</v>
      </c>
      <c r="U156" t="s">
        <v>1786</v>
      </c>
      <c r="V156" t="s">
        <v>1786</v>
      </c>
      <c r="W156" t="s">
        <v>1786</v>
      </c>
      <c r="X156">
        <v>0.1</v>
      </c>
      <c r="Y156">
        <v>0.1</v>
      </c>
      <c r="Z156">
        <v>0.1</v>
      </c>
      <c r="AA156">
        <v>0.2</v>
      </c>
    </row>
    <row r="157" spans="1:27" x14ac:dyDescent="0.25">
      <c r="A157" s="21" t="s">
        <v>1736</v>
      </c>
      <c r="B157" t="s">
        <v>1786</v>
      </c>
      <c r="C157" t="s">
        <v>1786</v>
      </c>
      <c r="D157" t="s">
        <v>1786</v>
      </c>
      <c r="E157" t="s">
        <v>1786</v>
      </c>
      <c r="F157" t="s">
        <v>1786</v>
      </c>
      <c r="G157" t="s">
        <v>1786</v>
      </c>
      <c r="H157" t="s">
        <v>1786</v>
      </c>
      <c r="I157" t="s">
        <v>1786</v>
      </c>
      <c r="J157" t="s">
        <v>1786</v>
      </c>
      <c r="K157" t="s">
        <v>1786</v>
      </c>
      <c r="L157" t="s">
        <v>1786</v>
      </c>
      <c r="M157" t="s">
        <v>1786</v>
      </c>
      <c r="N157" t="s">
        <v>1786</v>
      </c>
      <c r="O157" t="s">
        <v>1786</v>
      </c>
      <c r="P157" t="s">
        <v>1786</v>
      </c>
      <c r="Q157" t="s">
        <v>1786</v>
      </c>
      <c r="R157" t="s">
        <v>1786</v>
      </c>
      <c r="S157" t="s">
        <v>1786</v>
      </c>
      <c r="T157" t="s">
        <v>1786</v>
      </c>
      <c r="U157" t="s">
        <v>1786</v>
      </c>
      <c r="V157" t="s">
        <v>1786</v>
      </c>
      <c r="W157" t="s">
        <v>1786</v>
      </c>
      <c r="X157" t="s">
        <v>1786</v>
      </c>
      <c r="Y157" t="s">
        <v>1786</v>
      </c>
      <c r="Z157" t="s">
        <v>1786</v>
      </c>
      <c r="AA157" t="s">
        <v>1786</v>
      </c>
    </row>
    <row r="158" spans="1:27" ht="24" x14ac:dyDescent="0.25">
      <c r="A158" s="21" t="s">
        <v>1743</v>
      </c>
      <c r="B158" t="s">
        <v>1786</v>
      </c>
      <c r="C158" t="s">
        <v>1786</v>
      </c>
      <c r="D158" t="s">
        <v>1786</v>
      </c>
      <c r="E158" t="s">
        <v>1786</v>
      </c>
      <c r="F158" t="s">
        <v>1786</v>
      </c>
      <c r="G158" t="s">
        <v>1786</v>
      </c>
      <c r="H158" t="s">
        <v>1786</v>
      </c>
      <c r="I158" t="s">
        <v>1786</v>
      </c>
      <c r="J158" t="s">
        <v>1786</v>
      </c>
      <c r="K158" t="s">
        <v>1786</v>
      </c>
      <c r="L158" t="s">
        <v>1786</v>
      </c>
      <c r="M158" t="s">
        <v>1786</v>
      </c>
      <c r="N158" t="s">
        <v>1786</v>
      </c>
      <c r="O158" t="s">
        <v>1786</v>
      </c>
      <c r="P158" t="s">
        <v>1786</v>
      </c>
      <c r="Q158" t="s">
        <v>1786</v>
      </c>
      <c r="R158" t="s">
        <v>1786</v>
      </c>
      <c r="S158" t="s">
        <v>1786</v>
      </c>
      <c r="T158" t="s">
        <v>1786</v>
      </c>
      <c r="U158" t="s">
        <v>1786</v>
      </c>
      <c r="V158" t="s">
        <v>1786</v>
      </c>
      <c r="W158" t="s">
        <v>1786</v>
      </c>
      <c r="X158" t="s">
        <v>1786</v>
      </c>
      <c r="Y158" t="s">
        <v>1786</v>
      </c>
      <c r="Z158" t="s">
        <v>1786</v>
      </c>
      <c r="AA158" t="s">
        <v>1786</v>
      </c>
    </row>
    <row r="159" spans="1:27" ht="24" x14ac:dyDescent="0.25">
      <c r="A159" s="21" t="s">
        <v>1722</v>
      </c>
      <c r="B159" t="s">
        <v>1786</v>
      </c>
      <c r="C159" t="s">
        <v>1786</v>
      </c>
      <c r="D159" t="s">
        <v>1786</v>
      </c>
      <c r="E159" t="s">
        <v>1786</v>
      </c>
      <c r="F159" t="s">
        <v>1786</v>
      </c>
      <c r="G159" t="s">
        <v>1786</v>
      </c>
      <c r="H159" t="s">
        <v>1786</v>
      </c>
      <c r="I159" t="s">
        <v>1786</v>
      </c>
      <c r="J159" t="s">
        <v>1786</v>
      </c>
      <c r="K159" t="s">
        <v>1786</v>
      </c>
      <c r="L159" t="s">
        <v>1786</v>
      </c>
      <c r="M159" t="s">
        <v>1786</v>
      </c>
      <c r="N159" t="s">
        <v>1786</v>
      </c>
      <c r="O159" t="s">
        <v>1786</v>
      </c>
      <c r="P159" t="s">
        <v>1786</v>
      </c>
      <c r="Q159" t="s">
        <v>1786</v>
      </c>
      <c r="R159" t="s">
        <v>1786</v>
      </c>
      <c r="S159" t="s">
        <v>1786</v>
      </c>
      <c r="T159" t="s">
        <v>1786</v>
      </c>
      <c r="U159" t="s">
        <v>1786</v>
      </c>
      <c r="V159" t="s">
        <v>1786</v>
      </c>
      <c r="W159" t="s">
        <v>1786</v>
      </c>
      <c r="X159" t="s">
        <v>1786</v>
      </c>
      <c r="Y159" t="s">
        <v>1786</v>
      </c>
      <c r="Z159" t="s">
        <v>1786</v>
      </c>
      <c r="AA159" t="s">
        <v>1786</v>
      </c>
    </row>
    <row r="160" spans="1:27" x14ac:dyDescent="0.25">
      <c r="A160" s="21" t="s">
        <v>1729</v>
      </c>
      <c r="B160" t="s">
        <v>1786</v>
      </c>
      <c r="C160" t="s">
        <v>1786</v>
      </c>
      <c r="D160" t="s">
        <v>1786</v>
      </c>
      <c r="E160" t="s">
        <v>1786</v>
      </c>
      <c r="F160" t="s">
        <v>1786</v>
      </c>
      <c r="G160" t="s">
        <v>1786</v>
      </c>
      <c r="H160" t="s">
        <v>1786</v>
      </c>
      <c r="I160" t="s">
        <v>1786</v>
      </c>
      <c r="J160" t="s">
        <v>1786</v>
      </c>
      <c r="K160" t="s">
        <v>1786</v>
      </c>
      <c r="L160" t="s">
        <v>1786</v>
      </c>
      <c r="M160" t="s">
        <v>1786</v>
      </c>
      <c r="N160" t="s">
        <v>1786</v>
      </c>
      <c r="O160" t="s">
        <v>1786</v>
      </c>
      <c r="P160" t="s">
        <v>1786</v>
      </c>
      <c r="Q160" t="s">
        <v>1786</v>
      </c>
      <c r="R160" t="s">
        <v>1786</v>
      </c>
      <c r="S160" t="s">
        <v>1786</v>
      </c>
      <c r="T160" t="s">
        <v>1786</v>
      </c>
      <c r="U160" t="s">
        <v>1786</v>
      </c>
      <c r="V160" t="s">
        <v>1786</v>
      </c>
      <c r="W160" t="s">
        <v>1786</v>
      </c>
      <c r="X160" t="s">
        <v>1786</v>
      </c>
      <c r="Y160" t="s">
        <v>1786</v>
      </c>
      <c r="Z160" t="s">
        <v>1786</v>
      </c>
      <c r="AA160" t="s">
        <v>1786</v>
      </c>
    </row>
    <row r="161" spans="1:28" x14ac:dyDescent="0.25">
      <c r="A161" s="31" t="s">
        <v>1746</v>
      </c>
      <c r="B161">
        <v>0.2</v>
      </c>
      <c r="C161">
        <v>0.2</v>
      </c>
      <c r="D161">
        <v>0.2</v>
      </c>
      <c r="E161">
        <v>0.1</v>
      </c>
      <c r="F161">
        <v>0.1</v>
      </c>
      <c r="G161">
        <v>0.1</v>
      </c>
      <c r="H161">
        <v>0.1</v>
      </c>
      <c r="I161">
        <v>0.1</v>
      </c>
      <c r="J161">
        <v>0.1</v>
      </c>
      <c r="K161">
        <v>0.1</v>
      </c>
      <c r="L161">
        <v>0.1</v>
      </c>
      <c r="M161">
        <v>0.1</v>
      </c>
      <c r="N161">
        <v>0.1</v>
      </c>
      <c r="O161">
        <v>0.1</v>
      </c>
      <c r="P161">
        <v>0.1</v>
      </c>
      <c r="Q161">
        <v>0.1</v>
      </c>
      <c r="R161">
        <v>0.1</v>
      </c>
      <c r="S161">
        <v>0.1</v>
      </c>
      <c r="T161">
        <v>0.1</v>
      </c>
      <c r="U161">
        <v>0.1</v>
      </c>
      <c r="V161">
        <v>0.1</v>
      </c>
      <c r="W161">
        <v>0.1</v>
      </c>
      <c r="X161">
        <v>0.1</v>
      </c>
      <c r="Y161">
        <v>0.1</v>
      </c>
      <c r="Z161">
        <v>0.1</v>
      </c>
      <c r="AA161">
        <v>0.1</v>
      </c>
    </row>
    <row r="162" spans="1:28" x14ac:dyDescent="0.25">
      <c r="A162" s="31" t="s">
        <v>1759</v>
      </c>
      <c r="B162">
        <v>359.5</v>
      </c>
      <c r="C162">
        <v>358.7</v>
      </c>
      <c r="D162">
        <v>361.9</v>
      </c>
      <c r="E162">
        <v>373.9</v>
      </c>
      <c r="F162">
        <v>364.9</v>
      </c>
      <c r="G162">
        <v>377</v>
      </c>
      <c r="H162">
        <v>383.4</v>
      </c>
      <c r="I162">
        <v>374.2</v>
      </c>
      <c r="J162">
        <v>388.7</v>
      </c>
      <c r="K162">
        <v>363</v>
      </c>
      <c r="L162">
        <v>361.9</v>
      </c>
      <c r="M162">
        <v>363.8</v>
      </c>
      <c r="N162">
        <v>362.2</v>
      </c>
      <c r="O162">
        <v>366</v>
      </c>
      <c r="P162">
        <v>385.9</v>
      </c>
      <c r="Q162">
        <v>361.6</v>
      </c>
      <c r="R162">
        <v>371.1</v>
      </c>
      <c r="S162">
        <v>378.8</v>
      </c>
      <c r="T162">
        <v>361.6</v>
      </c>
      <c r="U162">
        <v>362.3</v>
      </c>
      <c r="V162">
        <v>370.5</v>
      </c>
      <c r="W162">
        <v>364</v>
      </c>
      <c r="X162">
        <v>340.7</v>
      </c>
      <c r="Y162">
        <v>335.5</v>
      </c>
      <c r="Z162">
        <v>335.5</v>
      </c>
      <c r="AA162">
        <v>334.8</v>
      </c>
    </row>
    <row r="163" spans="1:28" x14ac:dyDescent="0.25">
      <c r="A163" s="21" t="s">
        <v>1760</v>
      </c>
      <c r="B163">
        <v>256.60000000000002</v>
      </c>
      <c r="C163">
        <v>254.1</v>
      </c>
      <c r="D163">
        <v>255.7</v>
      </c>
      <c r="E163">
        <v>263.89999999999998</v>
      </c>
      <c r="F163">
        <v>251.5</v>
      </c>
      <c r="G163">
        <v>258.2</v>
      </c>
      <c r="H163">
        <v>262.8</v>
      </c>
      <c r="I163">
        <v>259.10000000000002</v>
      </c>
      <c r="J163">
        <v>277.5</v>
      </c>
      <c r="K163">
        <v>254.4</v>
      </c>
      <c r="L163">
        <v>252.8</v>
      </c>
      <c r="M163">
        <v>261.2</v>
      </c>
      <c r="N163">
        <v>258.89999999999998</v>
      </c>
      <c r="O163">
        <v>263.7</v>
      </c>
      <c r="P163">
        <v>286.60000000000002</v>
      </c>
      <c r="Q163">
        <v>259.8</v>
      </c>
      <c r="R163">
        <v>269.3</v>
      </c>
      <c r="S163">
        <v>277.10000000000002</v>
      </c>
      <c r="T163">
        <v>272.2</v>
      </c>
      <c r="U163">
        <v>276.39999999999998</v>
      </c>
      <c r="V163">
        <v>280.3</v>
      </c>
      <c r="W163">
        <v>270.10000000000002</v>
      </c>
      <c r="X163">
        <v>254.1</v>
      </c>
      <c r="Y163">
        <v>250.5</v>
      </c>
      <c r="Z163">
        <v>250</v>
      </c>
      <c r="AA163">
        <v>251.3</v>
      </c>
    </row>
    <row r="164" spans="1:28" x14ac:dyDescent="0.25">
      <c r="A164" s="21" t="s">
        <v>1754</v>
      </c>
      <c r="B164">
        <v>11.9</v>
      </c>
      <c r="C164">
        <v>11.8</v>
      </c>
      <c r="D164">
        <v>12</v>
      </c>
      <c r="E164">
        <v>12.3</v>
      </c>
      <c r="F164">
        <v>12.5</v>
      </c>
      <c r="G164">
        <v>12.6</v>
      </c>
      <c r="H164">
        <v>12.9</v>
      </c>
      <c r="I164">
        <v>13</v>
      </c>
      <c r="J164">
        <v>13</v>
      </c>
      <c r="K164">
        <v>13.2</v>
      </c>
      <c r="L164">
        <v>14</v>
      </c>
      <c r="M164">
        <v>14.4</v>
      </c>
      <c r="N164">
        <v>16</v>
      </c>
      <c r="O164">
        <v>17.3</v>
      </c>
      <c r="P164">
        <v>19</v>
      </c>
      <c r="Q164">
        <v>20.2</v>
      </c>
      <c r="R164">
        <v>20.399999999999999</v>
      </c>
      <c r="S164">
        <v>20.8</v>
      </c>
      <c r="T164">
        <v>20.8</v>
      </c>
      <c r="U164">
        <v>20.399999999999999</v>
      </c>
      <c r="V164">
        <v>22.2</v>
      </c>
      <c r="W164">
        <v>21.3</v>
      </c>
      <c r="X164">
        <v>21.4</v>
      </c>
      <c r="Y164">
        <v>22.9</v>
      </c>
      <c r="Z164">
        <v>23.4</v>
      </c>
      <c r="AA164">
        <v>23.1</v>
      </c>
    </row>
    <row r="165" spans="1:28" x14ac:dyDescent="0.25">
      <c r="A165" s="21" t="s">
        <v>1750</v>
      </c>
      <c r="B165">
        <v>14</v>
      </c>
      <c r="C165">
        <v>14.2</v>
      </c>
      <c r="D165">
        <v>14.2</v>
      </c>
      <c r="E165">
        <v>14</v>
      </c>
      <c r="F165">
        <v>14.8</v>
      </c>
      <c r="G165">
        <v>15.1</v>
      </c>
      <c r="H165">
        <v>15.1</v>
      </c>
      <c r="I165">
        <v>15.3</v>
      </c>
      <c r="J165">
        <v>15.5</v>
      </c>
      <c r="K165">
        <v>16.100000000000001</v>
      </c>
      <c r="L165">
        <v>16.5</v>
      </c>
      <c r="M165">
        <v>16.399999999999999</v>
      </c>
      <c r="N165">
        <v>16.7</v>
      </c>
      <c r="O165">
        <v>16.899999999999999</v>
      </c>
      <c r="P165">
        <v>16.2</v>
      </c>
      <c r="Q165">
        <v>16.5</v>
      </c>
      <c r="R165">
        <v>17.3</v>
      </c>
      <c r="S165">
        <v>17.399999999999999</v>
      </c>
      <c r="T165">
        <v>17.2</v>
      </c>
      <c r="U165">
        <v>17.100000000000001</v>
      </c>
      <c r="V165">
        <v>17.2</v>
      </c>
      <c r="W165">
        <v>17.399999999999999</v>
      </c>
      <c r="X165">
        <v>17.5</v>
      </c>
      <c r="Y165">
        <v>17.5</v>
      </c>
      <c r="Z165">
        <v>17.5</v>
      </c>
      <c r="AA165">
        <v>17.7</v>
      </c>
    </row>
    <row r="166" spans="1:28" x14ac:dyDescent="0.25">
      <c r="A166" s="31" t="s">
        <v>1757</v>
      </c>
      <c r="B166">
        <v>41.2</v>
      </c>
      <c r="C166">
        <v>43.1</v>
      </c>
      <c r="D166">
        <v>46.1</v>
      </c>
      <c r="E166">
        <v>48.1</v>
      </c>
      <c r="F166">
        <v>49.9</v>
      </c>
      <c r="G166">
        <v>51.2</v>
      </c>
      <c r="H166">
        <v>52.1</v>
      </c>
      <c r="I166">
        <v>52.9</v>
      </c>
      <c r="J166">
        <v>53.2</v>
      </c>
      <c r="K166">
        <v>50.5</v>
      </c>
      <c r="L166">
        <v>49.3</v>
      </c>
      <c r="M166">
        <v>46</v>
      </c>
      <c r="N166">
        <v>43.6</v>
      </c>
      <c r="O166">
        <v>41</v>
      </c>
      <c r="P166">
        <v>38.6</v>
      </c>
      <c r="Q166">
        <v>35.700000000000003</v>
      </c>
      <c r="R166">
        <v>33.5</v>
      </c>
      <c r="S166">
        <v>28.9</v>
      </c>
      <c r="T166">
        <v>26.6</v>
      </c>
      <c r="U166">
        <v>25</v>
      </c>
      <c r="V166">
        <v>24.1</v>
      </c>
      <c r="W166">
        <v>22.8</v>
      </c>
      <c r="X166">
        <v>20.399999999999999</v>
      </c>
      <c r="Y166">
        <v>18.5</v>
      </c>
      <c r="Z166">
        <v>16.600000000000001</v>
      </c>
      <c r="AA166">
        <v>15.1</v>
      </c>
    </row>
    <row r="167" spans="1:28" x14ac:dyDescent="0.25">
      <c r="A167" s="21" t="s">
        <v>1761</v>
      </c>
      <c r="B167">
        <v>12.1</v>
      </c>
      <c r="C167">
        <v>12.1</v>
      </c>
      <c r="D167">
        <v>12.4</v>
      </c>
      <c r="E167">
        <v>12.6</v>
      </c>
      <c r="F167">
        <v>13.3</v>
      </c>
      <c r="G167">
        <v>13.5</v>
      </c>
      <c r="H167">
        <v>14.1</v>
      </c>
      <c r="I167">
        <v>14.4</v>
      </c>
      <c r="J167">
        <v>14.2</v>
      </c>
      <c r="K167">
        <v>13.7</v>
      </c>
      <c r="L167">
        <v>13.3</v>
      </c>
      <c r="M167">
        <v>10.8</v>
      </c>
      <c r="N167">
        <v>11.7</v>
      </c>
      <c r="O167">
        <v>11</v>
      </c>
      <c r="P167">
        <v>10.9</v>
      </c>
      <c r="Q167">
        <v>11.3</v>
      </c>
      <c r="R167">
        <v>11.1</v>
      </c>
      <c r="S167">
        <v>13.2</v>
      </c>
      <c r="T167">
        <v>11.3</v>
      </c>
      <c r="U167">
        <v>9.6</v>
      </c>
      <c r="V167">
        <v>11.5</v>
      </c>
      <c r="W167">
        <v>10.9</v>
      </c>
      <c r="X167">
        <v>10.5</v>
      </c>
      <c r="Y167">
        <v>10.7</v>
      </c>
      <c r="Z167">
        <v>10.9</v>
      </c>
      <c r="AA167">
        <v>11.6</v>
      </c>
    </row>
    <row r="168" spans="1:28" x14ac:dyDescent="0.25">
      <c r="A168" s="21" t="s">
        <v>1752</v>
      </c>
      <c r="B168">
        <v>3.4</v>
      </c>
      <c r="C168">
        <v>3.5</v>
      </c>
      <c r="D168">
        <v>3.5</v>
      </c>
      <c r="E168">
        <v>3.6</v>
      </c>
      <c r="F168">
        <v>3.7</v>
      </c>
      <c r="G168">
        <v>3.7</v>
      </c>
      <c r="H168">
        <v>3.8</v>
      </c>
      <c r="I168">
        <v>3.8</v>
      </c>
      <c r="J168">
        <v>3.9</v>
      </c>
      <c r="K168">
        <v>4.0999999999999996</v>
      </c>
      <c r="L168">
        <v>4.0999999999999996</v>
      </c>
      <c r="M168">
        <v>4.0999999999999996</v>
      </c>
      <c r="N168">
        <v>4.2</v>
      </c>
      <c r="O168">
        <v>4.3</v>
      </c>
      <c r="P168">
        <v>4.4000000000000004</v>
      </c>
      <c r="Q168">
        <v>4.4000000000000004</v>
      </c>
      <c r="R168">
        <v>4.5</v>
      </c>
      <c r="S168">
        <v>4.5</v>
      </c>
      <c r="T168">
        <v>4.5</v>
      </c>
      <c r="U168">
        <v>4.5</v>
      </c>
      <c r="V168">
        <v>4.5</v>
      </c>
      <c r="W168">
        <v>4.8</v>
      </c>
      <c r="X168">
        <v>4.8</v>
      </c>
      <c r="Y168">
        <v>4.9000000000000004</v>
      </c>
      <c r="Z168">
        <v>4.9000000000000004</v>
      </c>
      <c r="AA168">
        <v>5</v>
      </c>
    </row>
    <row r="169" spans="1:28" x14ac:dyDescent="0.25">
      <c r="A169" s="21" t="s">
        <v>1762</v>
      </c>
      <c r="B169">
        <v>15.2</v>
      </c>
      <c r="C169">
        <v>14.9</v>
      </c>
      <c r="D169">
        <v>13</v>
      </c>
      <c r="E169">
        <v>13.9</v>
      </c>
      <c r="F169">
        <v>13.5</v>
      </c>
      <c r="G169">
        <v>16.899999999999999</v>
      </c>
      <c r="H169">
        <v>16.7</v>
      </c>
      <c r="I169">
        <v>9.4</v>
      </c>
      <c r="J169">
        <v>5.0999999999999996</v>
      </c>
      <c r="K169">
        <v>4.7</v>
      </c>
      <c r="L169">
        <v>5.3</v>
      </c>
      <c r="M169">
        <v>4.5</v>
      </c>
      <c r="N169">
        <v>4.9000000000000004</v>
      </c>
      <c r="O169">
        <v>5.5</v>
      </c>
      <c r="P169">
        <v>3.7</v>
      </c>
      <c r="Q169">
        <v>7.1</v>
      </c>
      <c r="R169">
        <v>8.6</v>
      </c>
      <c r="S169">
        <v>10.3</v>
      </c>
      <c r="T169">
        <v>2.5</v>
      </c>
      <c r="U169">
        <v>2.7</v>
      </c>
      <c r="V169">
        <v>4.2</v>
      </c>
      <c r="W169">
        <v>10.199999999999999</v>
      </c>
      <c r="X169">
        <v>5.5</v>
      </c>
      <c r="Y169">
        <v>3.9</v>
      </c>
      <c r="Z169">
        <v>5.4</v>
      </c>
      <c r="AA169">
        <v>4.3</v>
      </c>
    </row>
    <row r="170" spans="1:28" x14ac:dyDescent="0.25">
      <c r="A170" s="31" t="s">
        <v>1763</v>
      </c>
      <c r="B170">
        <v>4.2</v>
      </c>
      <c r="C170">
        <v>4.0999999999999996</v>
      </c>
      <c r="D170">
        <v>3.9</v>
      </c>
      <c r="E170">
        <v>4.4000000000000004</v>
      </c>
      <c r="F170">
        <v>4.4000000000000004</v>
      </c>
      <c r="G170">
        <v>4.4000000000000004</v>
      </c>
      <c r="H170">
        <v>4.4000000000000004</v>
      </c>
      <c r="I170">
        <v>4.7</v>
      </c>
      <c r="J170">
        <v>4.7</v>
      </c>
      <c r="K170">
        <v>4.7</v>
      </c>
      <c r="L170">
        <v>4.7</v>
      </c>
      <c r="M170">
        <v>4.7</v>
      </c>
      <c r="N170">
        <v>4.2</v>
      </c>
      <c r="O170">
        <v>4.2</v>
      </c>
      <c r="P170">
        <v>4.2</v>
      </c>
      <c r="Q170">
        <v>4.2</v>
      </c>
      <c r="R170">
        <v>4.2</v>
      </c>
      <c r="S170">
        <v>4.2</v>
      </c>
      <c r="T170">
        <v>4.2</v>
      </c>
      <c r="U170">
        <v>4.2</v>
      </c>
      <c r="V170">
        <v>4.2</v>
      </c>
      <c r="W170">
        <v>4.2</v>
      </c>
      <c r="X170">
        <v>4.2</v>
      </c>
      <c r="Y170">
        <v>4.2</v>
      </c>
      <c r="Z170">
        <v>4.2</v>
      </c>
      <c r="AA170">
        <v>4.2</v>
      </c>
    </row>
    <row r="171" spans="1:28" x14ac:dyDescent="0.25">
      <c r="A171" s="21" t="s">
        <v>1756</v>
      </c>
      <c r="B171">
        <v>0.3</v>
      </c>
      <c r="C171">
        <v>0.4</v>
      </c>
      <c r="D171">
        <v>0.4</v>
      </c>
      <c r="E171">
        <v>0.6</v>
      </c>
      <c r="F171">
        <v>0.7</v>
      </c>
      <c r="G171">
        <v>0.8</v>
      </c>
      <c r="H171">
        <v>0.9</v>
      </c>
      <c r="I171">
        <v>1</v>
      </c>
      <c r="J171">
        <v>1.1000000000000001</v>
      </c>
      <c r="K171">
        <v>1.2</v>
      </c>
      <c r="L171">
        <v>1.3</v>
      </c>
      <c r="M171">
        <v>1.3</v>
      </c>
      <c r="N171">
        <v>1.4</v>
      </c>
      <c r="O171">
        <v>1.5</v>
      </c>
      <c r="P171">
        <v>1.7</v>
      </c>
      <c r="Q171">
        <v>1.7</v>
      </c>
      <c r="R171">
        <v>1.7</v>
      </c>
      <c r="S171">
        <v>1.8</v>
      </c>
      <c r="T171">
        <v>1.8</v>
      </c>
      <c r="U171">
        <v>1.7</v>
      </c>
      <c r="V171">
        <v>1.6</v>
      </c>
      <c r="W171">
        <v>1.7</v>
      </c>
      <c r="X171">
        <v>1.7</v>
      </c>
      <c r="Y171">
        <v>1.8</v>
      </c>
      <c r="Z171">
        <v>1.9</v>
      </c>
      <c r="AA171">
        <v>1.9</v>
      </c>
    </row>
    <row r="172" spans="1:28" x14ac:dyDescent="0.25">
      <c r="A172" s="21" t="s">
        <v>1729</v>
      </c>
      <c r="B172">
        <v>0.5</v>
      </c>
      <c r="C172">
        <v>0.4</v>
      </c>
      <c r="D172">
        <v>0.4</v>
      </c>
      <c r="E172">
        <v>0.4</v>
      </c>
      <c r="F172">
        <v>0.4</v>
      </c>
      <c r="G172">
        <v>0.4</v>
      </c>
      <c r="H172">
        <v>0.4</v>
      </c>
      <c r="I172">
        <v>0.4</v>
      </c>
      <c r="J172">
        <v>0.4</v>
      </c>
      <c r="K172">
        <v>0.4</v>
      </c>
      <c r="L172">
        <v>0.4</v>
      </c>
      <c r="M172">
        <v>0.4</v>
      </c>
      <c r="N172">
        <v>0.4</v>
      </c>
      <c r="O172">
        <v>0.4</v>
      </c>
      <c r="P172">
        <v>0.4</v>
      </c>
      <c r="Q172">
        <v>0.4</v>
      </c>
      <c r="R172">
        <v>0.4</v>
      </c>
      <c r="S172">
        <v>0.4</v>
      </c>
      <c r="T172">
        <v>0.4</v>
      </c>
      <c r="U172">
        <v>0.3</v>
      </c>
      <c r="V172">
        <v>0.3</v>
      </c>
      <c r="W172">
        <v>0.3</v>
      </c>
      <c r="X172">
        <v>0.3</v>
      </c>
      <c r="Y172">
        <v>0.3</v>
      </c>
      <c r="Z172">
        <v>0.3</v>
      </c>
      <c r="AA172">
        <v>0.3</v>
      </c>
    </row>
    <row r="173" spans="1:28" x14ac:dyDescent="0.25">
      <c r="A173" s="21" t="s">
        <v>1764</v>
      </c>
      <c r="B173" t="s">
        <v>1786</v>
      </c>
      <c r="C173" t="s">
        <v>1786</v>
      </c>
      <c r="D173" t="s">
        <v>1786</v>
      </c>
      <c r="E173" t="s">
        <v>1786</v>
      </c>
      <c r="F173" t="s">
        <v>1786</v>
      </c>
      <c r="G173">
        <v>0.1</v>
      </c>
      <c r="H173">
        <v>0.1</v>
      </c>
      <c r="I173">
        <v>0.1</v>
      </c>
      <c r="J173">
        <v>0.1</v>
      </c>
      <c r="K173">
        <v>0.1</v>
      </c>
      <c r="L173">
        <v>0.1</v>
      </c>
      <c r="M173">
        <v>0.1</v>
      </c>
      <c r="N173">
        <v>0.1</v>
      </c>
      <c r="O173">
        <v>0.1</v>
      </c>
      <c r="P173">
        <v>0.1</v>
      </c>
      <c r="Q173">
        <v>0.1</v>
      </c>
      <c r="R173">
        <v>0.2</v>
      </c>
      <c r="S173">
        <v>0.2</v>
      </c>
      <c r="T173">
        <v>0.2</v>
      </c>
      <c r="U173">
        <v>0.1</v>
      </c>
      <c r="V173">
        <v>0.1</v>
      </c>
      <c r="W173">
        <v>0.2</v>
      </c>
      <c r="X173">
        <v>0.2</v>
      </c>
      <c r="Y173">
        <v>0.2</v>
      </c>
      <c r="Z173">
        <v>0.2</v>
      </c>
      <c r="AA173">
        <v>0.2</v>
      </c>
    </row>
    <row r="174" spans="1:28" x14ac:dyDescent="0.25">
      <c r="A174" s="21" t="s">
        <v>1758</v>
      </c>
      <c r="B174">
        <v>0.1</v>
      </c>
      <c r="C174">
        <v>0.1</v>
      </c>
      <c r="D174">
        <v>0.1</v>
      </c>
      <c r="E174">
        <v>0.1</v>
      </c>
      <c r="F174">
        <v>0.1</v>
      </c>
      <c r="G174">
        <v>0.1</v>
      </c>
      <c r="H174">
        <v>0.1</v>
      </c>
      <c r="I174">
        <v>0.1</v>
      </c>
      <c r="J174">
        <v>0.1</v>
      </c>
      <c r="K174">
        <v>0.1</v>
      </c>
      <c r="L174">
        <v>0.1</v>
      </c>
      <c r="M174">
        <v>0.1</v>
      </c>
      <c r="N174">
        <v>0.1</v>
      </c>
      <c r="O174">
        <v>0.1</v>
      </c>
      <c r="P174">
        <v>0.1</v>
      </c>
      <c r="Q174">
        <v>0.1</v>
      </c>
      <c r="R174">
        <v>0.1</v>
      </c>
      <c r="S174">
        <v>0.1</v>
      </c>
      <c r="T174">
        <v>0.1</v>
      </c>
      <c r="U174">
        <v>0.1</v>
      </c>
      <c r="V174">
        <v>0.1</v>
      </c>
      <c r="W174">
        <v>0.1</v>
      </c>
      <c r="X174">
        <v>0.1</v>
      </c>
      <c r="Y174">
        <v>0.1</v>
      </c>
      <c r="Z174">
        <v>0.1</v>
      </c>
      <c r="AA174">
        <v>0.1</v>
      </c>
    </row>
    <row r="175" spans="1:28" x14ac:dyDescent="0.25">
      <c r="A175" s="31" t="s">
        <v>1746</v>
      </c>
      <c r="B175">
        <v>0.9</v>
      </c>
      <c r="C175">
        <v>1</v>
      </c>
      <c r="D175">
        <v>0.9</v>
      </c>
      <c r="E175">
        <v>0.8</v>
      </c>
      <c r="F175">
        <v>0.8</v>
      </c>
      <c r="G175">
        <v>0.8</v>
      </c>
      <c r="H175">
        <v>0.9</v>
      </c>
      <c r="I175">
        <v>0.9</v>
      </c>
      <c r="J175">
        <v>0.9</v>
      </c>
      <c r="K175">
        <v>0.9</v>
      </c>
      <c r="L175">
        <v>0.9</v>
      </c>
      <c r="M175">
        <v>0.8</v>
      </c>
      <c r="N175">
        <v>0.8</v>
      </c>
      <c r="O175">
        <v>0.9</v>
      </c>
      <c r="P175">
        <v>0.9</v>
      </c>
      <c r="Q175">
        <v>1</v>
      </c>
      <c r="R175">
        <v>1</v>
      </c>
      <c r="S175">
        <v>1</v>
      </c>
      <c r="T175">
        <v>1</v>
      </c>
      <c r="U175">
        <v>0.9</v>
      </c>
      <c r="V175">
        <v>1</v>
      </c>
      <c r="W175">
        <v>1</v>
      </c>
      <c r="X175">
        <v>0.9</v>
      </c>
      <c r="Y175">
        <v>0.9</v>
      </c>
      <c r="Z175">
        <v>0.9</v>
      </c>
      <c r="AA175">
        <v>0.9</v>
      </c>
    </row>
    <row r="176" spans="1:28" x14ac:dyDescent="0.25">
      <c r="A176" s="334" t="s">
        <v>1765</v>
      </c>
      <c r="B176">
        <v>46.6</v>
      </c>
      <c r="C176">
        <v>42.2</v>
      </c>
      <c r="D176">
        <v>48</v>
      </c>
      <c r="E176">
        <v>48.1</v>
      </c>
      <c r="F176">
        <v>53.8</v>
      </c>
      <c r="G176">
        <v>73</v>
      </c>
      <c r="H176">
        <v>82.7</v>
      </c>
      <c r="I176">
        <v>93</v>
      </c>
      <c r="J176">
        <v>112.1</v>
      </c>
      <c r="K176">
        <v>108.9</v>
      </c>
      <c r="L176">
        <v>113.7</v>
      </c>
      <c r="M176">
        <v>108.9</v>
      </c>
      <c r="N176">
        <v>115.5</v>
      </c>
      <c r="O176">
        <v>107.9</v>
      </c>
      <c r="P176">
        <v>117.7</v>
      </c>
      <c r="Q176">
        <v>120</v>
      </c>
      <c r="R176">
        <v>124.4</v>
      </c>
      <c r="S176">
        <v>136.1</v>
      </c>
      <c r="T176">
        <v>140.6</v>
      </c>
      <c r="U176">
        <v>139.4</v>
      </c>
      <c r="V176">
        <v>149.5</v>
      </c>
      <c r="W176">
        <v>154.30000000000001</v>
      </c>
      <c r="X176">
        <v>155.9</v>
      </c>
      <c r="Y176">
        <v>159</v>
      </c>
      <c r="Z176">
        <v>166.7</v>
      </c>
      <c r="AA176">
        <v>173.2</v>
      </c>
      <c r="AB176" s="103"/>
    </row>
    <row r="177" spans="1:28" ht="24" x14ac:dyDescent="0.25">
      <c r="A177" s="31" t="s">
        <v>1766</v>
      </c>
      <c r="B177">
        <v>0.3</v>
      </c>
      <c r="C177">
        <v>0.6</v>
      </c>
      <c r="D177">
        <v>1.8</v>
      </c>
      <c r="E177">
        <v>5.9</v>
      </c>
      <c r="F177">
        <v>13.6</v>
      </c>
      <c r="G177">
        <v>30.9</v>
      </c>
      <c r="H177">
        <v>42.9</v>
      </c>
      <c r="I177">
        <v>54.5</v>
      </c>
      <c r="J177">
        <v>61.7</v>
      </c>
      <c r="K177">
        <v>69.900000000000006</v>
      </c>
      <c r="L177">
        <v>77.2</v>
      </c>
      <c r="M177">
        <v>83.7</v>
      </c>
      <c r="N177">
        <v>88.6</v>
      </c>
      <c r="O177">
        <v>92.1</v>
      </c>
      <c r="P177">
        <v>95.7</v>
      </c>
      <c r="Q177">
        <v>99.7</v>
      </c>
      <c r="R177">
        <v>106.6</v>
      </c>
      <c r="S177">
        <v>114.3</v>
      </c>
      <c r="T177">
        <v>123.1</v>
      </c>
      <c r="U177">
        <v>132.5</v>
      </c>
      <c r="V177">
        <v>141.19999999999999</v>
      </c>
      <c r="W177">
        <v>145.30000000000001</v>
      </c>
      <c r="X177">
        <v>150.19999999999999</v>
      </c>
      <c r="Y177">
        <v>154.6</v>
      </c>
      <c r="Z177">
        <v>161.30000000000001</v>
      </c>
      <c r="AA177" s="60">
        <v>168.5</v>
      </c>
      <c r="AB177" s="103"/>
    </row>
    <row r="178" spans="1:28" x14ac:dyDescent="0.25">
      <c r="A178" s="21" t="s">
        <v>1767</v>
      </c>
      <c r="B178">
        <v>46.1</v>
      </c>
      <c r="C178">
        <v>41.4</v>
      </c>
      <c r="D178">
        <v>46</v>
      </c>
      <c r="E178">
        <v>41.9</v>
      </c>
      <c r="F178">
        <v>39.9</v>
      </c>
      <c r="G178">
        <v>41.7</v>
      </c>
      <c r="H178">
        <v>39.4</v>
      </c>
      <c r="I178">
        <v>38.1</v>
      </c>
      <c r="J178">
        <v>49.9</v>
      </c>
      <c r="K178">
        <v>38.5</v>
      </c>
      <c r="L178">
        <v>36.200000000000003</v>
      </c>
      <c r="M178">
        <v>25</v>
      </c>
      <c r="N178">
        <v>26.7</v>
      </c>
      <c r="O178">
        <v>15.6</v>
      </c>
      <c r="P178">
        <v>21.8</v>
      </c>
      <c r="Q178">
        <v>20</v>
      </c>
      <c r="R178">
        <v>17.5</v>
      </c>
      <c r="S178">
        <v>21.5</v>
      </c>
      <c r="T178">
        <v>17.2</v>
      </c>
      <c r="U178">
        <v>6.8</v>
      </c>
      <c r="V178">
        <v>8</v>
      </c>
      <c r="W178">
        <v>8.8000000000000007</v>
      </c>
      <c r="X178">
        <v>5.5</v>
      </c>
      <c r="Y178">
        <v>4.0999999999999996</v>
      </c>
      <c r="Z178">
        <v>5</v>
      </c>
      <c r="AA178" s="60">
        <v>4.3</v>
      </c>
    </row>
    <row r="179" spans="1:28" x14ac:dyDescent="0.25">
      <c r="A179" s="21" t="s">
        <v>1764</v>
      </c>
      <c r="B179">
        <v>0.2</v>
      </c>
      <c r="C179">
        <v>0.2</v>
      </c>
      <c r="D179">
        <v>0.2</v>
      </c>
      <c r="E179">
        <v>0.3</v>
      </c>
      <c r="F179">
        <v>0.3</v>
      </c>
      <c r="G179">
        <v>0.4</v>
      </c>
      <c r="H179">
        <v>0.4</v>
      </c>
      <c r="I179">
        <v>0.4</v>
      </c>
      <c r="J179">
        <v>0.5</v>
      </c>
      <c r="K179">
        <v>0.5</v>
      </c>
      <c r="L179">
        <v>0.3</v>
      </c>
      <c r="M179">
        <v>0.2</v>
      </c>
      <c r="N179">
        <v>0.2</v>
      </c>
      <c r="O179">
        <v>0.2</v>
      </c>
      <c r="P179">
        <v>0.2</v>
      </c>
      <c r="Q179">
        <v>0.2</v>
      </c>
      <c r="R179">
        <v>0.2</v>
      </c>
      <c r="S179">
        <v>0.2</v>
      </c>
      <c r="T179">
        <v>0.2</v>
      </c>
      <c r="U179">
        <v>0.2</v>
      </c>
      <c r="V179">
        <v>0.2</v>
      </c>
      <c r="W179">
        <v>0.2</v>
      </c>
      <c r="X179">
        <v>0.2</v>
      </c>
      <c r="Y179">
        <v>0.2</v>
      </c>
      <c r="Z179">
        <v>0.3</v>
      </c>
      <c r="AA179" s="60">
        <v>0.3</v>
      </c>
    </row>
    <row r="180" spans="1:28" ht="24" x14ac:dyDescent="0.25">
      <c r="A180" s="21" t="s">
        <v>1744</v>
      </c>
      <c r="B180">
        <v>0</v>
      </c>
      <c r="C180">
        <v>0</v>
      </c>
      <c r="D180">
        <v>0</v>
      </c>
      <c r="E180">
        <v>0</v>
      </c>
      <c r="F180">
        <v>0</v>
      </c>
      <c r="G180">
        <v>0</v>
      </c>
      <c r="H180">
        <v>0</v>
      </c>
      <c r="I180">
        <v>0</v>
      </c>
      <c r="J180">
        <v>0</v>
      </c>
      <c r="K180">
        <v>0</v>
      </c>
      <c r="L180">
        <v>0</v>
      </c>
      <c r="M180">
        <v>0</v>
      </c>
      <c r="N180">
        <v>0</v>
      </c>
      <c r="O180">
        <v>0</v>
      </c>
      <c r="P180">
        <v>0</v>
      </c>
      <c r="Q180">
        <v>0</v>
      </c>
      <c r="R180" t="s">
        <v>1786</v>
      </c>
      <c r="S180" t="s">
        <v>1786</v>
      </c>
      <c r="T180" t="s">
        <v>1786</v>
      </c>
      <c r="U180" t="s">
        <v>1786</v>
      </c>
      <c r="V180" t="s">
        <v>1786</v>
      </c>
      <c r="W180" t="s">
        <v>1786</v>
      </c>
      <c r="X180" t="s">
        <v>1786</v>
      </c>
      <c r="Y180">
        <v>0.1</v>
      </c>
      <c r="Z180">
        <v>0.1</v>
      </c>
      <c r="AA180">
        <v>0.1</v>
      </c>
    </row>
    <row r="181" spans="1:28" x14ac:dyDescent="0.25">
      <c r="A181" s="334" t="s">
        <v>1768</v>
      </c>
      <c r="B181">
        <v>24.3</v>
      </c>
      <c r="C181">
        <v>20.9</v>
      </c>
      <c r="D181">
        <v>19.5</v>
      </c>
      <c r="E181">
        <v>19.5</v>
      </c>
      <c r="F181">
        <v>18</v>
      </c>
      <c r="G181">
        <v>18.600000000000001</v>
      </c>
      <c r="H181">
        <v>19.899999999999999</v>
      </c>
      <c r="I181">
        <v>18.3</v>
      </c>
      <c r="J181">
        <v>17</v>
      </c>
      <c r="K181">
        <v>16.899999999999999</v>
      </c>
      <c r="L181">
        <v>15.9</v>
      </c>
      <c r="M181">
        <v>8.1999999999999993</v>
      </c>
      <c r="N181">
        <v>10.199999999999999</v>
      </c>
      <c r="O181">
        <v>8.1999999999999993</v>
      </c>
      <c r="P181">
        <v>6.8</v>
      </c>
      <c r="Q181">
        <v>6.7</v>
      </c>
      <c r="R181">
        <v>6.4</v>
      </c>
      <c r="S181">
        <v>7.8</v>
      </c>
      <c r="T181">
        <v>6.1</v>
      </c>
      <c r="U181">
        <v>3.9</v>
      </c>
      <c r="V181">
        <v>4.5999999999999996</v>
      </c>
      <c r="W181">
        <v>6.9</v>
      </c>
      <c r="X181">
        <v>6</v>
      </c>
      <c r="Y181">
        <v>5.8</v>
      </c>
      <c r="Z181">
        <v>5.8</v>
      </c>
      <c r="AA181">
        <v>5.2</v>
      </c>
    </row>
    <row r="182" spans="1:28" x14ac:dyDescent="0.25">
      <c r="A182" s="21" t="s">
        <v>1764</v>
      </c>
      <c r="B182">
        <v>2.8</v>
      </c>
      <c r="C182">
        <v>2.8</v>
      </c>
      <c r="D182">
        <v>2.8</v>
      </c>
      <c r="E182">
        <v>3.5</v>
      </c>
      <c r="F182">
        <v>3.9</v>
      </c>
      <c r="G182">
        <v>4.9000000000000004</v>
      </c>
      <c r="H182">
        <v>5.4</v>
      </c>
      <c r="I182">
        <v>5.7</v>
      </c>
      <c r="J182">
        <v>7</v>
      </c>
      <c r="K182">
        <v>7.1</v>
      </c>
      <c r="L182">
        <v>6</v>
      </c>
      <c r="M182">
        <v>4.2</v>
      </c>
      <c r="N182">
        <v>4.0999999999999996</v>
      </c>
      <c r="O182">
        <v>3.8</v>
      </c>
      <c r="P182">
        <v>3.5</v>
      </c>
      <c r="Q182">
        <v>3.2</v>
      </c>
      <c r="R182">
        <v>3.4</v>
      </c>
      <c r="S182">
        <v>3.3</v>
      </c>
      <c r="T182">
        <v>3</v>
      </c>
      <c r="U182">
        <v>2.1</v>
      </c>
      <c r="V182">
        <v>2.7</v>
      </c>
      <c r="W182">
        <v>3.4</v>
      </c>
      <c r="X182">
        <v>3</v>
      </c>
      <c r="Y182">
        <v>2.8</v>
      </c>
      <c r="Z182">
        <v>3.2</v>
      </c>
      <c r="AA182">
        <v>3.2</v>
      </c>
    </row>
    <row r="183" spans="1:28" x14ac:dyDescent="0.25">
      <c r="A183" s="21" t="s">
        <v>1735</v>
      </c>
      <c r="B183">
        <v>21.5</v>
      </c>
      <c r="C183">
        <v>18.100000000000001</v>
      </c>
      <c r="D183">
        <v>16.7</v>
      </c>
      <c r="E183">
        <v>16</v>
      </c>
      <c r="F183">
        <v>14.1</v>
      </c>
      <c r="G183">
        <v>13.8</v>
      </c>
      <c r="H183">
        <v>14.5</v>
      </c>
      <c r="I183">
        <v>12.6</v>
      </c>
      <c r="J183">
        <v>10</v>
      </c>
      <c r="K183">
        <v>9.8000000000000007</v>
      </c>
      <c r="L183">
        <v>9.9</v>
      </c>
      <c r="M183">
        <v>4</v>
      </c>
      <c r="N183">
        <v>6.1</v>
      </c>
      <c r="O183">
        <v>4.4000000000000004</v>
      </c>
      <c r="P183">
        <v>3.3</v>
      </c>
      <c r="Q183">
        <v>3.4</v>
      </c>
      <c r="R183">
        <v>2.9</v>
      </c>
      <c r="S183">
        <v>4.5</v>
      </c>
      <c r="T183">
        <v>3.2</v>
      </c>
      <c r="U183">
        <v>1.9</v>
      </c>
      <c r="V183">
        <v>1.9</v>
      </c>
      <c r="W183">
        <v>3.5</v>
      </c>
      <c r="X183">
        <v>2.9</v>
      </c>
      <c r="Y183">
        <v>3</v>
      </c>
      <c r="Z183">
        <v>2.5</v>
      </c>
      <c r="AA183">
        <v>2</v>
      </c>
    </row>
    <row r="184" spans="1:28" ht="24" x14ac:dyDescent="0.25">
      <c r="A184" s="21" t="s">
        <v>1769</v>
      </c>
      <c r="B184">
        <v>0</v>
      </c>
      <c r="C184">
        <v>0</v>
      </c>
      <c r="D184">
        <v>0</v>
      </c>
      <c r="E184">
        <v>0</v>
      </c>
      <c r="F184" t="s">
        <v>1786</v>
      </c>
      <c r="G184" t="s">
        <v>1786</v>
      </c>
      <c r="H184" t="s">
        <v>1786</v>
      </c>
      <c r="I184" t="s">
        <v>1786</v>
      </c>
      <c r="J184" t="s">
        <v>1786</v>
      </c>
      <c r="K184" t="s">
        <v>1786</v>
      </c>
      <c r="L184" t="s">
        <v>1786</v>
      </c>
      <c r="M184" t="s">
        <v>1786</v>
      </c>
      <c r="N184" t="s">
        <v>1786</v>
      </c>
      <c r="O184" t="s">
        <v>1786</v>
      </c>
      <c r="P184" t="s">
        <v>1786</v>
      </c>
      <c r="Q184" t="s">
        <v>1788</v>
      </c>
      <c r="R184" t="s">
        <v>1786</v>
      </c>
      <c r="S184" t="s">
        <v>1786</v>
      </c>
      <c r="T184" t="s">
        <v>1786</v>
      </c>
      <c r="U184" t="s">
        <v>1786</v>
      </c>
      <c r="V184" t="s">
        <v>1786</v>
      </c>
      <c r="W184" t="s">
        <v>1788</v>
      </c>
      <c r="X184" t="s">
        <v>1788</v>
      </c>
      <c r="Y184" t="s">
        <v>1788</v>
      </c>
      <c r="Z184" t="s">
        <v>1788</v>
      </c>
      <c r="AA184" t="s">
        <v>1788</v>
      </c>
    </row>
    <row r="185" spans="1:28" x14ac:dyDescent="0.25">
      <c r="A185" s="31" t="s">
        <v>1770</v>
      </c>
      <c r="B185">
        <v>28.8</v>
      </c>
      <c r="C185">
        <v>27.6</v>
      </c>
      <c r="D185">
        <v>27.8</v>
      </c>
      <c r="E185">
        <v>27.3</v>
      </c>
      <c r="F185">
        <v>26</v>
      </c>
      <c r="G185">
        <v>24.8</v>
      </c>
      <c r="H185">
        <v>24.3</v>
      </c>
      <c r="I185">
        <v>22.6</v>
      </c>
      <c r="J185">
        <v>19.899999999999999</v>
      </c>
      <c r="K185">
        <v>19.600000000000001</v>
      </c>
      <c r="L185">
        <v>16.600000000000001</v>
      </c>
      <c r="M185">
        <v>15.4</v>
      </c>
      <c r="N185">
        <v>14.3</v>
      </c>
      <c r="O185">
        <v>13.8</v>
      </c>
      <c r="P185">
        <v>12.4</v>
      </c>
      <c r="Q185">
        <v>11.7</v>
      </c>
      <c r="R185">
        <v>10.4</v>
      </c>
      <c r="S185">
        <v>9.1999999999999993</v>
      </c>
      <c r="T185">
        <v>8.3000000000000007</v>
      </c>
      <c r="U185">
        <v>7.9</v>
      </c>
      <c r="V185">
        <v>8.4</v>
      </c>
      <c r="W185">
        <v>9.1999999999999993</v>
      </c>
      <c r="X185">
        <v>6.8</v>
      </c>
      <c r="Y185">
        <v>6.4</v>
      </c>
      <c r="Z185">
        <v>6.6</v>
      </c>
      <c r="AA185">
        <v>5.8</v>
      </c>
      <c r="AB185" s="103"/>
    </row>
    <row r="186" spans="1:28" ht="24" x14ac:dyDescent="0.25">
      <c r="A186" s="21" t="s">
        <v>1771</v>
      </c>
      <c r="B186">
        <v>23.1</v>
      </c>
      <c r="C186">
        <v>22.1</v>
      </c>
      <c r="D186">
        <v>22.1</v>
      </c>
      <c r="E186">
        <v>21.4</v>
      </c>
      <c r="F186">
        <v>20.2</v>
      </c>
      <c r="G186">
        <v>18.600000000000001</v>
      </c>
      <c r="H186">
        <v>17</v>
      </c>
      <c r="I186">
        <v>15.6</v>
      </c>
      <c r="J186">
        <v>13.3</v>
      </c>
      <c r="K186">
        <v>13.6</v>
      </c>
      <c r="L186">
        <v>12.7</v>
      </c>
      <c r="M186">
        <v>12</v>
      </c>
      <c r="N186">
        <v>10.9</v>
      </c>
      <c r="O186">
        <v>9.9</v>
      </c>
      <c r="P186">
        <v>9.1</v>
      </c>
      <c r="Q186">
        <v>8.3000000000000007</v>
      </c>
      <c r="R186">
        <v>6.9</v>
      </c>
      <c r="S186">
        <v>6.2</v>
      </c>
      <c r="T186">
        <v>6.1</v>
      </c>
      <c r="U186">
        <v>6</v>
      </c>
      <c r="V186">
        <v>5.9</v>
      </c>
      <c r="W186">
        <v>6</v>
      </c>
      <c r="X186">
        <v>4.8</v>
      </c>
      <c r="Y186">
        <v>4.5999999999999996</v>
      </c>
      <c r="Z186">
        <v>4.8</v>
      </c>
      <c r="AA186">
        <v>4.2</v>
      </c>
    </row>
    <row r="187" spans="1:28" ht="24" x14ac:dyDescent="0.25">
      <c r="A187" s="21" t="s">
        <v>1744</v>
      </c>
      <c r="B187">
        <v>5.2</v>
      </c>
      <c r="C187">
        <v>4.9000000000000004</v>
      </c>
      <c r="D187">
        <v>5.2</v>
      </c>
      <c r="E187">
        <v>5.3</v>
      </c>
      <c r="F187">
        <v>5.2</v>
      </c>
      <c r="G187">
        <v>5.4</v>
      </c>
      <c r="H187">
        <v>6.3</v>
      </c>
      <c r="I187">
        <v>6</v>
      </c>
      <c r="J187">
        <v>5.4</v>
      </c>
      <c r="K187">
        <v>4.8</v>
      </c>
      <c r="L187">
        <v>2.9</v>
      </c>
      <c r="M187">
        <v>2.7</v>
      </c>
      <c r="N187">
        <v>2.8</v>
      </c>
      <c r="O187">
        <v>3.3</v>
      </c>
      <c r="P187">
        <v>2.7</v>
      </c>
      <c r="Q187">
        <v>2.7</v>
      </c>
      <c r="R187">
        <v>2.8</v>
      </c>
      <c r="S187">
        <v>2.5</v>
      </c>
      <c r="T187">
        <v>1.8</v>
      </c>
      <c r="U187">
        <v>1.6</v>
      </c>
      <c r="V187">
        <v>2.1</v>
      </c>
      <c r="W187">
        <v>2.8</v>
      </c>
      <c r="X187">
        <v>1.6</v>
      </c>
      <c r="Y187">
        <v>1.5</v>
      </c>
      <c r="Z187">
        <v>1</v>
      </c>
      <c r="AA187">
        <v>0.9</v>
      </c>
    </row>
    <row r="188" spans="1:28" x14ac:dyDescent="0.25">
      <c r="A188" s="21" t="s">
        <v>1764</v>
      </c>
      <c r="B188">
        <v>0.5</v>
      </c>
      <c r="C188">
        <v>0.5</v>
      </c>
      <c r="D188">
        <v>0.5</v>
      </c>
      <c r="E188">
        <v>0.6</v>
      </c>
      <c r="F188">
        <v>0.7</v>
      </c>
      <c r="G188">
        <v>0.9</v>
      </c>
      <c r="H188">
        <v>1</v>
      </c>
      <c r="I188">
        <v>1</v>
      </c>
      <c r="J188">
        <v>1.2</v>
      </c>
      <c r="K188">
        <v>1.3</v>
      </c>
      <c r="L188">
        <v>1</v>
      </c>
      <c r="M188">
        <v>0.7</v>
      </c>
      <c r="N188">
        <v>0.6</v>
      </c>
      <c r="O188">
        <v>0.7</v>
      </c>
      <c r="P188">
        <v>0.7</v>
      </c>
      <c r="Q188">
        <v>0.7</v>
      </c>
      <c r="R188">
        <v>0.7</v>
      </c>
      <c r="S188">
        <v>0.5</v>
      </c>
      <c r="T188">
        <v>0.4</v>
      </c>
      <c r="U188">
        <v>0.3</v>
      </c>
      <c r="V188">
        <v>0.4</v>
      </c>
      <c r="W188">
        <v>0.4</v>
      </c>
      <c r="X188">
        <v>0.4</v>
      </c>
      <c r="Y188">
        <v>0.4</v>
      </c>
      <c r="Z188">
        <v>0.7</v>
      </c>
      <c r="AA188">
        <v>0.7</v>
      </c>
    </row>
    <row r="189" spans="1:28" x14ac:dyDescent="0.25">
      <c r="A189" s="31" t="s">
        <v>1772</v>
      </c>
      <c r="B189" t="s">
        <v>1786</v>
      </c>
      <c r="C189" t="s">
        <v>1786</v>
      </c>
      <c r="D189" t="s">
        <v>1786</v>
      </c>
      <c r="E189">
        <v>0.1</v>
      </c>
      <c r="F189">
        <v>0.1</v>
      </c>
      <c r="G189">
        <v>0.1</v>
      </c>
      <c r="H189">
        <v>0.1</v>
      </c>
      <c r="I189">
        <v>0.1</v>
      </c>
      <c r="J189">
        <v>0.1</v>
      </c>
      <c r="K189">
        <v>0.1</v>
      </c>
      <c r="L189">
        <v>0.2</v>
      </c>
      <c r="M189">
        <v>0.2</v>
      </c>
      <c r="N189">
        <v>0.6</v>
      </c>
      <c r="O189">
        <v>0.5</v>
      </c>
      <c r="P189">
        <v>0.5</v>
      </c>
      <c r="Q189">
        <v>0.5</v>
      </c>
      <c r="R189">
        <v>0.7</v>
      </c>
      <c r="S189">
        <v>0.6</v>
      </c>
      <c r="T189">
        <v>0.6</v>
      </c>
      <c r="U189">
        <v>0.5</v>
      </c>
      <c r="V189">
        <v>0.5</v>
      </c>
      <c r="W189">
        <v>0.7</v>
      </c>
      <c r="X189">
        <v>0.6</v>
      </c>
      <c r="Y189">
        <v>0.6</v>
      </c>
      <c r="Z189">
        <v>0.5</v>
      </c>
      <c r="AA189">
        <v>0.6</v>
      </c>
    </row>
    <row r="190" spans="1:28" x14ac:dyDescent="0.25">
      <c r="A190" s="22" t="s">
        <v>1764</v>
      </c>
      <c r="B190" t="s">
        <v>1786</v>
      </c>
      <c r="C190" t="s">
        <v>1786</v>
      </c>
      <c r="D190" t="s">
        <v>1786</v>
      </c>
      <c r="E190">
        <v>0.1</v>
      </c>
      <c r="F190">
        <v>0.1</v>
      </c>
      <c r="G190">
        <v>0.1</v>
      </c>
      <c r="H190">
        <v>0.1</v>
      </c>
      <c r="I190">
        <v>0.1</v>
      </c>
      <c r="J190">
        <v>0.1</v>
      </c>
      <c r="K190">
        <v>0.1</v>
      </c>
      <c r="L190">
        <v>0.2</v>
      </c>
      <c r="M190">
        <v>0.2</v>
      </c>
      <c r="N190">
        <v>0.6</v>
      </c>
      <c r="O190">
        <v>0.5</v>
      </c>
      <c r="P190">
        <v>0.5</v>
      </c>
      <c r="Q190">
        <v>0.5</v>
      </c>
      <c r="R190">
        <v>0.7</v>
      </c>
      <c r="S190">
        <v>0.6</v>
      </c>
      <c r="T190">
        <v>0.6</v>
      </c>
      <c r="U190">
        <v>0.5</v>
      </c>
      <c r="V190">
        <v>0.5</v>
      </c>
      <c r="W190">
        <v>0.7</v>
      </c>
      <c r="X190">
        <v>0.6</v>
      </c>
      <c r="Y190">
        <v>0.6</v>
      </c>
      <c r="Z190">
        <v>0.5</v>
      </c>
      <c r="AA190">
        <v>0.6</v>
      </c>
    </row>
    <row r="191" spans="1:28" x14ac:dyDescent="0.25">
      <c r="A191" s="23" t="s">
        <v>1773</v>
      </c>
      <c r="B191">
        <v>6363.1</v>
      </c>
      <c r="C191">
        <v>6308.3</v>
      </c>
      <c r="D191">
        <v>6420</v>
      </c>
      <c r="E191">
        <v>6530.5</v>
      </c>
      <c r="F191">
        <v>6621.6</v>
      </c>
      <c r="G191">
        <v>6709</v>
      </c>
      <c r="H191">
        <v>6903.1</v>
      </c>
      <c r="I191">
        <v>6962</v>
      </c>
      <c r="J191">
        <v>7017.5</v>
      </c>
      <c r="K191">
        <v>7056.8</v>
      </c>
      <c r="L191">
        <v>7213.9</v>
      </c>
      <c r="M191">
        <v>7095.2</v>
      </c>
      <c r="N191">
        <v>7131</v>
      </c>
      <c r="O191">
        <v>7171.5</v>
      </c>
      <c r="P191">
        <v>7304.6</v>
      </c>
      <c r="Q191">
        <v>7313.3</v>
      </c>
      <c r="R191">
        <v>7246.5</v>
      </c>
      <c r="S191">
        <v>7349.1</v>
      </c>
      <c r="T191">
        <v>7145.3</v>
      </c>
      <c r="U191">
        <v>6700.1</v>
      </c>
      <c r="V191">
        <v>6925.5</v>
      </c>
      <c r="W191">
        <v>6776.7</v>
      </c>
      <c r="X191">
        <v>6538.3</v>
      </c>
      <c r="Y191">
        <v>6680.1</v>
      </c>
      <c r="Z191">
        <v>6739.7</v>
      </c>
      <c r="AA191">
        <v>6586.7</v>
      </c>
    </row>
    <row r="192" spans="1:28" x14ac:dyDescent="0.25">
      <c r="A192" s="107" t="s">
        <v>1774</v>
      </c>
      <c r="B192">
        <v>10.6</v>
      </c>
      <c r="C192">
        <v>11.4</v>
      </c>
      <c r="D192">
        <v>8.4</v>
      </c>
      <c r="E192">
        <v>7.4</v>
      </c>
      <c r="F192">
        <v>16.100000000000001</v>
      </c>
      <c r="G192">
        <v>7.4</v>
      </c>
      <c r="H192">
        <v>13.2</v>
      </c>
      <c r="I192">
        <v>7.1</v>
      </c>
      <c r="J192">
        <v>9.6999999999999993</v>
      </c>
      <c r="K192">
        <v>15.1</v>
      </c>
      <c r="L192">
        <v>20.8</v>
      </c>
      <c r="M192">
        <v>14.2</v>
      </c>
      <c r="N192">
        <v>26.3</v>
      </c>
      <c r="O192">
        <v>18.2</v>
      </c>
      <c r="P192">
        <v>25.8</v>
      </c>
      <c r="Q192">
        <v>23</v>
      </c>
      <c r="R192">
        <v>22</v>
      </c>
      <c r="S192">
        <v>28</v>
      </c>
      <c r="T192">
        <v>19.899999999999999</v>
      </c>
      <c r="U192">
        <v>18.8</v>
      </c>
      <c r="V192">
        <v>12.5</v>
      </c>
      <c r="W192">
        <v>19.899999999999999</v>
      </c>
      <c r="X192">
        <v>26.1</v>
      </c>
      <c r="Y192">
        <v>19.2</v>
      </c>
      <c r="Z192">
        <v>19.7</v>
      </c>
      <c r="AA192">
        <v>19.7</v>
      </c>
    </row>
    <row r="193" spans="1:28" x14ac:dyDescent="0.25">
      <c r="A193" s="31" t="s">
        <v>1775</v>
      </c>
      <c r="B193">
        <v>-830.2</v>
      </c>
      <c r="C193">
        <v>-840.3</v>
      </c>
      <c r="D193">
        <v>-819.7</v>
      </c>
      <c r="E193">
        <v>-799.3</v>
      </c>
      <c r="F193">
        <v>-836.1</v>
      </c>
      <c r="G193">
        <v>-793.1</v>
      </c>
      <c r="H193">
        <v>-813.1</v>
      </c>
      <c r="I193">
        <v>-790.7</v>
      </c>
      <c r="J193">
        <v>-777.6</v>
      </c>
      <c r="K193">
        <v>-775.5</v>
      </c>
      <c r="L193">
        <v>-773.2</v>
      </c>
      <c r="M193">
        <v>-735.8</v>
      </c>
      <c r="N193">
        <v>-731.7</v>
      </c>
      <c r="O193">
        <v>-731.7</v>
      </c>
      <c r="P193">
        <v>-724.5</v>
      </c>
      <c r="Q193">
        <v>-754</v>
      </c>
      <c r="R193">
        <v>-763.2</v>
      </c>
      <c r="S193">
        <v>-726.5</v>
      </c>
      <c r="T193">
        <v>-704.8</v>
      </c>
      <c r="U193">
        <v>-710.3</v>
      </c>
      <c r="V193">
        <v>-729.7</v>
      </c>
      <c r="W193">
        <v>-769.1</v>
      </c>
      <c r="X193">
        <v>-779.8</v>
      </c>
      <c r="Y193">
        <v>-782.2</v>
      </c>
      <c r="Z193">
        <v>-781.1</v>
      </c>
      <c r="AA193">
        <v>-778.7</v>
      </c>
    </row>
    <row r="194" spans="1:28" x14ac:dyDescent="0.25">
      <c r="A194" s="20" t="s">
        <v>1776</v>
      </c>
      <c r="B194">
        <v>-819.6</v>
      </c>
      <c r="C194">
        <v>-828.8</v>
      </c>
      <c r="D194">
        <v>-811.3</v>
      </c>
      <c r="E194">
        <v>-791.9</v>
      </c>
      <c r="F194">
        <v>-820</v>
      </c>
      <c r="G194">
        <v>-785.7</v>
      </c>
      <c r="H194">
        <v>-799.9</v>
      </c>
      <c r="I194">
        <v>-783.6</v>
      </c>
      <c r="J194">
        <v>-767.9</v>
      </c>
      <c r="K194">
        <v>-760.5</v>
      </c>
      <c r="L194">
        <v>-752.4</v>
      </c>
      <c r="M194">
        <v>-721.6</v>
      </c>
      <c r="N194">
        <v>-705.4</v>
      </c>
      <c r="O194">
        <v>-713.5</v>
      </c>
      <c r="P194">
        <v>-698.7</v>
      </c>
      <c r="Q194">
        <v>-731</v>
      </c>
      <c r="R194">
        <v>-741.2</v>
      </c>
      <c r="S194">
        <v>-698.5</v>
      </c>
      <c r="T194">
        <v>-685</v>
      </c>
      <c r="U194">
        <v>-691.5</v>
      </c>
      <c r="V194">
        <v>-717.2</v>
      </c>
      <c r="W194">
        <v>-749.2</v>
      </c>
      <c r="X194">
        <v>-753.8</v>
      </c>
      <c r="Y194">
        <v>-763</v>
      </c>
      <c r="Z194">
        <v>-761.4</v>
      </c>
      <c r="AA194">
        <v>-758.9</v>
      </c>
    </row>
    <row r="195" spans="1:28" x14ac:dyDescent="0.25">
      <c r="A195" s="23" t="s">
        <v>1777</v>
      </c>
      <c r="B195">
        <v>5543.5</v>
      </c>
      <c r="C195">
        <v>5479.4</v>
      </c>
      <c r="D195">
        <v>5608.7</v>
      </c>
      <c r="E195">
        <v>5738.7</v>
      </c>
      <c r="F195">
        <v>5801.6</v>
      </c>
      <c r="G195">
        <v>5923.3</v>
      </c>
      <c r="H195">
        <v>6103.2</v>
      </c>
      <c r="I195">
        <v>6178.4</v>
      </c>
      <c r="J195">
        <v>6249.6</v>
      </c>
      <c r="K195">
        <v>6296.3</v>
      </c>
      <c r="L195">
        <v>6461.5</v>
      </c>
      <c r="M195">
        <v>6373.6</v>
      </c>
      <c r="N195">
        <v>6425.6</v>
      </c>
      <c r="O195">
        <v>6458</v>
      </c>
      <c r="P195">
        <v>6606</v>
      </c>
      <c r="Q195">
        <v>6582.3</v>
      </c>
      <c r="R195">
        <v>6505.2</v>
      </c>
      <c r="S195">
        <v>6650.6</v>
      </c>
      <c r="T195">
        <v>6460.4</v>
      </c>
      <c r="U195">
        <v>6008.6</v>
      </c>
      <c r="V195">
        <v>6208.3</v>
      </c>
      <c r="W195">
        <v>6027.6</v>
      </c>
      <c r="X195">
        <v>5784.5</v>
      </c>
      <c r="Y195">
        <v>5917.1</v>
      </c>
      <c r="Z195">
        <v>5978.3</v>
      </c>
      <c r="AA195">
        <v>5827.7</v>
      </c>
    </row>
    <row r="196" spans="1:28" ht="49.5" customHeight="1" x14ac:dyDescent="0.25">
      <c r="A196" s="362" t="s">
        <v>1778</v>
      </c>
      <c r="B196" s="362"/>
      <c r="C196" s="362"/>
      <c r="D196" s="362"/>
      <c r="E196" s="362"/>
      <c r="F196" s="362"/>
      <c r="G196" s="362"/>
      <c r="H196" s="362"/>
      <c r="I196" s="362"/>
      <c r="J196" s="362"/>
    </row>
    <row r="201" spans="1:28" x14ac:dyDescent="0.25">
      <c r="AB201" s="2"/>
    </row>
    <row r="202" spans="1:28" x14ac:dyDescent="0.25">
      <c r="AB202" s="2"/>
    </row>
    <row r="204" spans="1:28" x14ac:dyDescent="0.25">
      <c r="AA204" s="63"/>
    </row>
  </sheetData>
  <mergeCells count="1">
    <mergeCell ref="A196:J19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V534"/>
  <sheetViews>
    <sheetView topLeftCell="A505" workbookViewId="0">
      <selection activeCell="E529" sqref="E529"/>
    </sheetView>
  </sheetViews>
  <sheetFormatPr defaultRowHeight="15" x14ac:dyDescent="0.25"/>
  <cols>
    <col min="1" max="1" width="35.140625" customWidth="1"/>
    <col min="2" max="2" width="11.42578125" customWidth="1"/>
    <col min="3" max="38" width="11.5703125" customWidth="1"/>
    <col min="39" max="48" width="11.5703125" bestFit="1" customWidth="1"/>
  </cols>
  <sheetData>
    <row r="1" spans="1:48" x14ac:dyDescent="0.25">
      <c r="A1" s="55" t="s">
        <v>1707</v>
      </c>
      <c r="B1" s="55" t="s">
        <v>1708</v>
      </c>
      <c r="C1" s="55" t="s">
        <v>1063</v>
      </c>
      <c r="D1">
        <v>2006</v>
      </c>
      <c r="E1">
        <v>2007</v>
      </c>
      <c r="F1">
        <v>2008</v>
      </c>
      <c r="G1">
        <v>2009</v>
      </c>
      <c r="H1">
        <v>2010</v>
      </c>
      <c r="I1">
        <v>2011</v>
      </c>
      <c r="J1">
        <v>2012</v>
      </c>
      <c r="K1">
        <v>2013</v>
      </c>
      <c r="L1">
        <v>2014</v>
      </c>
      <c r="M1">
        <v>2015</v>
      </c>
      <c r="N1" s="68">
        <v>2016</v>
      </c>
      <c r="O1" s="68">
        <v>2017</v>
      </c>
      <c r="P1" s="68">
        <v>2018</v>
      </c>
      <c r="Q1" s="68">
        <v>2019</v>
      </c>
      <c r="R1" s="68">
        <v>2020</v>
      </c>
      <c r="S1" s="68">
        <v>2021</v>
      </c>
      <c r="T1" s="68">
        <v>2022</v>
      </c>
      <c r="U1" s="68">
        <v>2023</v>
      </c>
      <c r="V1" s="68">
        <v>2024</v>
      </c>
      <c r="W1" s="68">
        <v>2025</v>
      </c>
      <c r="X1" s="68">
        <v>2026</v>
      </c>
      <c r="Y1" s="68">
        <v>2027</v>
      </c>
      <c r="Z1" s="68">
        <v>2028</v>
      </c>
      <c r="AA1" s="68">
        <v>2029</v>
      </c>
      <c r="AB1" s="68">
        <v>2030</v>
      </c>
      <c r="AC1" s="68">
        <v>2031</v>
      </c>
      <c r="AD1" s="68">
        <v>2032</v>
      </c>
      <c r="AE1" s="68">
        <v>2033</v>
      </c>
      <c r="AF1" s="68">
        <v>2034</v>
      </c>
      <c r="AG1" s="68">
        <v>2035</v>
      </c>
      <c r="AH1" s="68">
        <v>2036</v>
      </c>
      <c r="AI1" s="68">
        <v>2037</v>
      </c>
      <c r="AJ1" s="68">
        <v>2038</v>
      </c>
      <c r="AK1" s="68">
        <v>2039</v>
      </c>
      <c r="AL1" s="68">
        <v>2040</v>
      </c>
      <c r="AM1" s="68">
        <v>2041</v>
      </c>
      <c r="AN1" s="68">
        <v>2042</v>
      </c>
      <c r="AO1" s="68">
        <v>2043</v>
      </c>
      <c r="AP1" s="68">
        <v>2044</v>
      </c>
      <c r="AQ1" s="68">
        <v>2045</v>
      </c>
      <c r="AR1" s="68">
        <v>2046</v>
      </c>
      <c r="AS1" s="68">
        <v>2047</v>
      </c>
      <c r="AT1" s="68">
        <v>2048</v>
      </c>
      <c r="AU1" s="68">
        <v>2049</v>
      </c>
      <c r="AV1" s="68">
        <v>2050</v>
      </c>
    </row>
    <row r="2" spans="1:48" x14ac:dyDescent="0.25">
      <c r="A2" s="354" t="s">
        <v>1688</v>
      </c>
      <c r="B2" t="s">
        <v>1709</v>
      </c>
      <c r="C2" t="s">
        <v>1051</v>
      </c>
      <c r="D2">
        <f t="shared" ref="D2:M11" si="0">IFERROR(INDEX($B$177:$AA$209,MATCH($A2,$A$177:$A$209,0),MATCH(D$1,$B$175:$AA$175,0)),0)</f>
        <v>0</v>
      </c>
      <c r="E2">
        <f t="shared" si="0"/>
        <v>0</v>
      </c>
      <c r="F2">
        <f t="shared" si="0"/>
        <v>0</v>
      </c>
      <c r="G2">
        <f t="shared" si="0"/>
        <v>0</v>
      </c>
      <c r="H2">
        <f t="shared" si="0"/>
        <v>0</v>
      </c>
      <c r="I2">
        <f t="shared" si="0"/>
        <v>0</v>
      </c>
      <c r="J2">
        <f t="shared" si="0"/>
        <v>0</v>
      </c>
      <c r="K2">
        <f t="shared" si="0"/>
        <v>0</v>
      </c>
      <c r="L2">
        <f t="shared" si="0"/>
        <v>0</v>
      </c>
      <c r="M2">
        <f t="shared" si="0"/>
        <v>0</v>
      </c>
      <c r="N2">
        <f t="shared" ref="N2:AV2" si="1">IFERROR(IF($M2-$D2&gt;=0,($M2-$D2)/COUNT($E$1:$M$1)+M2,$F355*$E355^N$1),0)</f>
        <v>0</v>
      </c>
      <c r="O2">
        <f t="shared" si="1"/>
        <v>0</v>
      </c>
      <c r="P2">
        <f t="shared" si="1"/>
        <v>0</v>
      </c>
      <c r="Q2">
        <f t="shared" si="1"/>
        <v>0</v>
      </c>
      <c r="R2">
        <f t="shared" si="1"/>
        <v>0</v>
      </c>
      <c r="S2">
        <f t="shared" si="1"/>
        <v>0</v>
      </c>
      <c r="T2">
        <f t="shared" si="1"/>
        <v>0</v>
      </c>
      <c r="U2">
        <f t="shared" si="1"/>
        <v>0</v>
      </c>
      <c r="V2">
        <f t="shared" si="1"/>
        <v>0</v>
      </c>
      <c r="W2">
        <f t="shared" si="1"/>
        <v>0</v>
      </c>
      <c r="X2">
        <f t="shared" si="1"/>
        <v>0</v>
      </c>
      <c r="Y2">
        <f t="shared" si="1"/>
        <v>0</v>
      </c>
      <c r="Z2">
        <f t="shared" si="1"/>
        <v>0</v>
      </c>
      <c r="AA2">
        <f t="shared" si="1"/>
        <v>0</v>
      </c>
      <c r="AB2">
        <f t="shared" si="1"/>
        <v>0</v>
      </c>
      <c r="AC2">
        <f t="shared" si="1"/>
        <v>0</v>
      </c>
      <c r="AD2">
        <f t="shared" si="1"/>
        <v>0</v>
      </c>
      <c r="AE2">
        <f t="shared" si="1"/>
        <v>0</v>
      </c>
      <c r="AF2">
        <f t="shared" si="1"/>
        <v>0</v>
      </c>
      <c r="AG2">
        <f t="shared" si="1"/>
        <v>0</v>
      </c>
      <c r="AH2">
        <f t="shared" si="1"/>
        <v>0</v>
      </c>
      <c r="AI2">
        <f t="shared" si="1"/>
        <v>0</v>
      </c>
      <c r="AJ2">
        <f t="shared" si="1"/>
        <v>0</v>
      </c>
      <c r="AK2">
        <f t="shared" si="1"/>
        <v>0</v>
      </c>
      <c r="AL2">
        <f t="shared" si="1"/>
        <v>0</v>
      </c>
      <c r="AM2">
        <f t="shared" si="1"/>
        <v>0</v>
      </c>
      <c r="AN2">
        <f t="shared" si="1"/>
        <v>0</v>
      </c>
      <c r="AO2">
        <f t="shared" si="1"/>
        <v>0</v>
      </c>
      <c r="AP2">
        <f t="shared" si="1"/>
        <v>0</v>
      </c>
      <c r="AQ2">
        <f t="shared" si="1"/>
        <v>0</v>
      </c>
      <c r="AR2">
        <f t="shared" si="1"/>
        <v>0</v>
      </c>
      <c r="AS2">
        <f t="shared" si="1"/>
        <v>0</v>
      </c>
      <c r="AT2">
        <f t="shared" si="1"/>
        <v>0</v>
      </c>
      <c r="AU2">
        <f t="shared" si="1"/>
        <v>0</v>
      </c>
      <c r="AV2">
        <f t="shared" si="1"/>
        <v>0</v>
      </c>
    </row>
    <row r="3" spans="1:48" x14ac:dyDescent="0.25">
      <c r="A3" s="354" t="s">
        <v>1689</v>
      </c>
      <c r="B3" t="s">
        <v>273</v>
      </c>
      <c r="C3" t="s">
        <v>1051</v>
      </c>
      <c r="D3">
        <f t="shared" si="0"/>
        <v>0</v>
      </c>
      <c r="E3">
        <f t="shared" si="0"/>
        <v>0</v>
      </c>
      <c r="F3">
        <f t="shared" si="0"/>
        <v>0</v>
      </c>
      <c r="G3">
        <f t="shared" si="0"/>
        <v>0</v>
      </c>
      <c r="H3">
        <f t="shared" si="0"/>
        <v>0</v>
      </c>
      <c r="I3">
        <f t="shared" si="0"/>
        <v>0</v>
      </c>
      <c r="J3">
        <f t="shared" si="0"/>
        <v>0</v>
      </c>
      <c r="K3">
        <f t="shared" si="0"/>
        <v>0</v>
      </c>
      <c r="L3">
        <f t="shared" si="0"/>
        <v>0</v>
      </c>
      <c r="M3">
        <f t="shared" si="0"/>
        <v>0</v>
      </c>
      <c r="N3">
        <f t="shared" ref="N3:AV3" si="2">IFERROR(IF($M3-$D3&gt;=0,($M3-$D3)/COUNT($E$1:$M$1)+M3,$F356*$E356^N$1),0)</f>
        <v>0</v>
      </c>
      <c r="O3">
        <f t="shared" si="2"/>
        <v>0</v>
      </c>
      <c r="P3">
        <f t="shared" si="2"/>
        <v>0</v>
      </c>
      <c r="Q3">
        <f t="shared" si="2"/>
        <v>0</v>
      </c>
      <c r="R3">
        <f t="shared" si="2"/>
        <v>0</v>
      </c>
      <c r="S3">
        <f t="shared" si="2"/>
        <v>0</v>
      </c>
      <c r="T3">
        <f t="shared" si="2"/>
        <v>0</v>
      </c>
      <c r="U3">
        <f t="shared" si="2"/>
        <v>0</v>
      </c>
      <c r="V3">
        <f t="shared" si="2"/>
        <v>0</v>
      </c>
      <c r="W3">
        <f t="shared" si="2"/>
        <v>0</v>
      </c>
      <c r="X3">
        <f t="shared" si="2"/>
        <v>0</v>
      </c>
      <c r="Y3">
        <f t="shared" si="2"/>
        <v>0</v>
      </c>
      <c r="Z3">
        <f t="shared" si="2"/>
        <v>0</v>
      </c>
      <c r="AA3">
        <f t="shared" si="2"/>
        <v>0</v>
      </c>
      <c r="AB3">
        <f t="shared" si="2"/>
        <v>0</v>
      </c>
      <c r="AC3">
        <f t="shared" si="2"/>
        <v>0</v>
      </c>
      <c r="AD3">
        <f t="shared" si="2"/>
        <v>0</v>
      </c>
      <c r="AE3">
        <f t="shared" si="2"/>
        <v>0</v>
      </c>
      <c r="AF3">
        <f t="shared" si="2"/>
        <v>0</v>
      </c>
      <c r="AG3">
        <f t="shared" si="2"/>
        <v>0</v>
      </c>
      <c r="AH3">
        <f t="shared" si="2"/>
        <v>0</v>
      </c>
      <c r="AI3">
        <f t="shared" si="2"/>
        <v>0</v>
      </c>
      <c r="AJ3">
        <f t="shared" si="2"/>
        <v>0</v>
      </c>
      <c r="AK3">
        <f t="shared" si="2"/>
        <v>0</v>
      </c>
      <c r="AL3">
        <f t="shared" si="2"/>
        <v>0</v>
      </c>
      <c r="AM3">
        <f t="shared" si="2"/>
        <v>0</v>
      </c>
      <c r="AN3">
        <f t="shared" si="2"/>
        <v>0</v>
      </c>
      <c r="AO3">
        <f t="shared" si="2"/>
        <v>0</v>
      </c>
      <c r="AP3">
        <f t="shared" si="2"/>
        <v>0</v>
      </c>
      <c r="AQ3">
        <f t="shared" si="2"/>
        <v>0</v>
      </c>
      <c r="AR3">
        <f t="shared" si="2"/>
        <v>0</v>
      </c>
      <c r="AS3">
        <f t="shared" si="2"/>
        <v>0</v>
      </c>
      <c r="AT3">
        <f t="shared" si="2"/>
        <v>0</v>
      </c>
      <c r="AU3">
        <f t="shared" si="2"/>
        <v>0</v>
      </c>
      <c r="AV3">
        <f t="shared" si="2"/>
        <v>0</v>
      </c>
    </row>
    <row r="4" spans="1:48" x14ac:dyDescent="0.25">
      <c r="A4" s="355" t="s">
        <v>1978</v>
      </c>
      <c r="B4" t="s">
        <v>469</v>
      </c>
      <c r="C4" t="s">
        <v>1051</v>
      </c>
      <c r="D4">
        <f t="shared" si="0"/>
        <v>207</v>
      </c>
      <c r="E4">
        <f t="shared" si="0"/>
        <v>196</v>
      </c>
      <c r="F4">
        <f t="shared" si="0"/>
        <v>175</v>
      </c>
      <c r="G4">
        <f t="shared" si="0"/>
        <v>145</v>
      </c>
      <c r="H4">
        <f t="shared" si="0"/>
        <v>181</v>
      </c>
      <c r="I4">
        <f t="shared" si="0"/>
        <v>170</v>
      </c>
      <c r="J4">
        <f t="shared" si="0"/>
        <v>158</v>
      </c>
      <c r="K4">
        <f t="shared" si="0"/>
        <v>169</v>
      </c>
      <c r="L4">
        <f t="shared" si="0"/>
        <v>173</v>
      </c>
      <c r="M4">
        <f t="shared" si="0"/>
        <v>180</v>
      </c>
      <c r="N4" s="2">
        <f t="shared" ref="N4:AV4" si="3">IFERROR(IF($M4-$D4&gt;=0,($M4-$D4)/COUNT($E$1:$M$1)+M4,$F357*$E357^N$1),0)</f>
        <v>162.74210197167912</v>
      </c>
      <c r="O4" s="2">
        <f t="shared" si="3"/>
        <v>160.67308647762198</v>
      </c>
      <c r="P4" s="2">
        <f t="shared" si="3"/>
        <v>158.63037533297893</v>
      </c>
      <c r="Q4" s="2">
        <f t="shared" si="3"/>
        <v>156.61363411840898</v>
      </c>
      <c r="R4" s="2">
        <f t="shared" si="3"/>
        <v>154.62253266619854</v>
      </c>
      <c r="S4" s="2">
        <f t="shared" si="3"/>
        <v>152.65674500620881</v>
      </c>
      <c r="T4" s="2">
        <f t="shared" si="3"/>
        <v>150.71594931250968</v>
      </c>
      <c r="U4" s="2">
        <f t="shared" si="3"/>
        <v>148.79982785069288</v>
      </c>
      <c r="V4" s="2">
        <f t="shared" si="3"/>
        <v>146.90806692585429</v>
      </c>
      <c r="W4" s="2">
        <f t="shared" si="3"/>
        <v>145.04035683123803</v>
      </c>
      <c r="X4" s="2">
        <f t="shared" si="3"/>
        <v>143.19639179753315</v>
      </c>
      <c r="Y4" s="2">
        <f t="shared" si="3"/>
        <v>141.37586994281529</v>
      </c>
      <c r="Z4" s="2">
        <f t="shared" si="3"/>
        <v>139.57849322312416</v>
      </c>
      <c r="AA4" s="2">
        <f t="shared" si="3"/>
        <v>137.8039673836702</v>
      </c>
      <c r="AB4" s="2">
        <f t="shared" si="3"/>
        <v>136.05200191066081</v>
      </c>
      <c r="AC4" s="2">
        <f t="shared" si="3"/>
        <v>134.3223099837393</v>
      </c>
      <c r="AD4" s="2">
        <f t="shared" si="3"/>
        <v>132.61460842902872</v>
      </c>
      <c r="AE4" s="2">
        <f t="shared" si="3"/>
        <v>130.92861767277239</v>
      </c>
      <c r="AF4" s="2">
        <f t="shared" si="3"/>
        <v>129.26406169556378</v>
      </c>
      <c r="AG4" s="2">
        <f t="shared" si="3"/>
        <v>127.62066798715871</v>
      </c>
      <c r="AH4" s="2">
        <f t="shared" si="3"/>
        <v>125.99816750186136</v>
      </c>
      <c r="AI4" s="2">
        <f t="shared" si="3"/>
        <v>124.39629461447836</v>
      </c>
      <c r="AJ4" s="2">
        <f t="shared" si="3"/>
        <v>122.81478707683181</v>
      </c>
      <c r="AK4" s="2">
        <f t="shared" si="3"/>
        <v>121.25338597482616</v>
      </c>
      <c r="AL4" s="2">
        <f t="shared" si="3"/>
        <v>119.71183568606028</v>
      </c>
      <c r="AM4" s="2">
        <f t="shared" si="3"/>
        <v>118.18988383797873</v>
      </c>
      <c r="AN4" s="2">
        <f t="shared" si="3"/>
        <v>116.68728126655471</v>
      </c>
      <c r="AO4" s="2">
        <f t="shared" si="3"/>
        <v>115.203781975499</v>
      </c>
      <c r="AP4" s="2">
        <f t="shared" si="3"/>
        <v>113.73914309598662</v>
      </c>
      <c r="AQ4" s="2">
        <f t="shared" si="3"/>
        <v>112.29312484689623</v>
      </c>
      <c r="AR4" s="2">
        <f t="shared" si="3"/>
        <v>110.86549049555452</v>
      </c>
      <c r="AS4" s="2">
        <f t="shared" si="3"/>
        <v>109.45600631898009</v>
      </c>
      <c r="AT4" s="2">
        <f t="shared" si="3"/>
        <v>108.06444156561959</v>
      </c>
      <c r="AU4" s="2">
        <f t="shared" si="3"/>
        <v>106.69056841757086</v>
      </c>
      <c r="AV4" s="2">
        <f t="shared" si="3"/>
        <v>105.33416195328583</v>
      </c>
    </row>
    <row r="5" spans="1:48" x14ac:dyDescent="0.25">
      <c r="A5" s="354" t="s">
        <v>1975</v>
      </c>
      <c r="B5" t="s">
        <v>469</v>
      </c>
      <c r="C5" t="s">
        <v>1051</v>
      </c>
      <c r="D5">
        <f t="shared" si="0"/>
        <v>1505</v>
      </c>
      <c r="E5">
        <f t="shared" si="0"/>
        <v>1552</v>
      </c>
      <c r="F5">
        <f t="shared" si="0"/>
        <v>1599</v>
      </c>
      <c r="G5">
        <f t="shared" si="0"/>
        <v>1469</v>
      </c>
      <c r="H5">
        <f t="shared" si="0"/>
        <v>1663</v>
      </c>
      <c r="I5">
        <f t="shared" si="0"/>
        <v>1735</v>
      </c>
      <c r="J5">
        <f t="shared" si="0"/>
        <v>1903</v>
      </c>
      <c r="K5">
        <f t="shared" si="0"/>
        <v>1785</v>
      </c>
      <c r="L5">
        <f t="shared" si="0"/>
        <v>1914</v>
      </c>
      <c r="M5">
        <f t="shared" si="0"/>
        <v>1960</v>
      </c>
      <c r="N5" s="2">
        <f t="shared" ref="N5:AV5" si="4">IFERROR(IF($M5-$D5&gt;=0,($M5-$D5)/COUNT($E$1:$M$1)+M5,$F358*$E358^N$1),0)</f>
        <v>2010.5555555555557</v>
      </c>
      <c r="O5" s="2">
        <f t="shared" si="4"/>
        <v>2061.1111111111113</v>
      </c>
      <c r="P5" s="2">
        <f t="shared" si="4"/>
        <v>2111.666666666667</v>
      </c>
      <c r="Q5" s="2">
        <f t="shared" si="4"/>
        <v>2162.2222222222226</v>
      </c>
      <c r="R5" s="2">
        <f t="shared" si="4"/>
        <v>2212.7777777777783</v>
      </c>
      <c r="S5" s="2">
        <f t="shared" si="4"/>
        <v>2263.3333333333339</v>
      </c>
      <c r="T5" s="2">
        <f t="shared" si="4"/>
        <v>2313.8888888888896</v>
      </c>
      <c r="U5" s="2">
        <f t="shared" si="4"/>
        <v>2364.4444444444453</v>
      </c>
      <c r="V5" s="2">
        <f t="shared" si="4"/>
        <v>2415.0000000000009</v>
      </c>
      <c r="W5" s="2">
        <f t="shared" si="4"/>
        <v>2465.5555555555566</v>
      </c>
      <c r="X5" s="2">
        <f t="shared" si="4"/>
        <v>2516.1111111111122</v>
      </c>
      <c r="Y5" s="2">
        <f t="shared" si="4"/>
        <v>2566.6666666666679</v>
      </c>
      <c r="Z5" s="2">
        <f t="shared" si="4"/>
        <v>2617.2222222222235</v>
      </c>
      <c r="AA5" s="2">
        <f t="shared" si="4"/>
        <v>2667.7777777777792</v>
      </c>
      <c r="AB5" s="2">
        <f t="shared" si="4"/>
        <v>2718.3333333333348</v>
      </c>
      <c r="AC5" s="2">
        <f t="shared" si="4"/>
        <v>2768.8888888888905</v>
      </c>
      <c r="AD5" s="2">
        <f t="shared" si="4"/>
        <v>2819.4444444444462</v>
      </c>
      <c r="AE5" s="2">
        <f t="shared" si="4"/>
        <v>2870.0000000000018</v>
      </c>
      <c r="AF5" s="2">
        <f t="shared" si="4"/>
        <v>2920.5555555555575</v>
      </c>
      <c r="AG5" s="2">
        <f t="shared" si="4"/>
        <v>2971.1111111111131</v>
      </c>
      <c r="AH5" s="2">
        <f t="shared" si="4"/>
        <v>3021.6666666666688</v>
      </c>
      <c r="AI5" s="2">
        <f t="shared" si="4"/>
        <v>3072.2222222222244</v>
      </c>
      <c r="AJ5" s="2">
        <f t="shared" si="4"/>
        <v>3122.7777777777801</v>
      </c>
      <c r="AK5" s="2">
        <f t="shared" si="4"/>
        <v>3173.3333333333358</v>
      </c>
      <c r="AL5" s="2">
        <f t="shared" si="4"/>
        <v>3223.8888888888914</v>
      </c>
      <c r="AM5" s="2">
        <f t="shared" si="4"/>
        <v>3274.4444444444471</v>
      </c>
      <c r="AN5" s="2">
        <f t="shared" si="4"/>
        <v>3325.0000000000027</v>
      </c>
      <c r="AO5" s="2">
        <f t="shared" si="4"/>
        <v>3375.5555555555584</v>
      </c>
      <c r="AP5" s="2">
        <f t="shared" si="4"/>
        <v>3426.111111111114</v>
      </c>
      <c r="AQ5" s="2">
        <f t="shared" si="4"/>
        <v>3476.6666666666697</v>
      </c>
      <c r="AR5" s="2">
        <f t="shared" si="4"/>
        <v>3527.2222222222254</v>
      </c>
      <c r="AS5" s="2">
        <f t="shared" si="4"/>
        <v>3577.777777777781</v>
      </c>
      <c r="AT5" s="2">
        <f t="shared" si="4"/>
        <v>3628.3333333333367</v>
      </c>
      <c r="AU5" s="2">
        <f t="shared" si="4"/>
        <v>3678.8888888888923</v>
      </c>
      <c r="AV5" s="2">
        <f t="shared" si="4"/>
        <v>3729.444444444448</v>
      </c>
    </row>
    <row r="6" spans="1:48" x14ac:dyDescent="0.25">
      <c r="A6" s="354" t="s">
        <v>1692</v>
      </c>
      <c r="B6" t="s">
        <v>1710</v>
      </c>
      <c r="C6" t="s">
        <v>1051</v>
      </c>
      <c r="D6">
        <f t="shared" si="0"/>
        <v>15243</v>
      </c>
      <c r="E6">
        <f t="shared" si="0"/>
        <v>14721</v>
      </c>
      <c r="F6">
        <f t="shared" si="0"/>
        <v>14505</v>
      </c>
      <c r="G6">
        <f t="shared" si="0"/>
        <v>11411</v>
      </c>
      <c r="H6">
        <f t="shared" si="0"/>
        <v>13381</v>
      </c>
      <c r="I6">
        <f t="shared" si="0"/>
        <v>13982</v>
      </c>
      <c r="J6">
        <f t="shared" si="0"/>
        <v>13785</v>
      </c>
      <c r="K6">
        <f t="shared" si="0"/>
        <v>14028</v>
      </c>
      <c r="L6">
        <f t="shared" si="0"/>
        <v>14210</v>
      </c>
      <c r="M6">
        <f t="shared" si="0"/>
        <v>13342</v>
      </c>
      <c r="N6" s="2">
        <f t="shared" ref="N6:AV6" si="5">IFERROR(IF($M6-$D6&gt;=0,($M6-$D6)/COUNT($E$1:$M$1)+M6,$F359*$E359^N$1),0)</f>
        <v>13369.079948935907</v>
      </c>
      <c r="O6" s="2">
        <f t="shared" si="5"/>
        <v>13288.108562053816</v>
      </c>
      <c r="P6" s="2">
        <f t="shared" si="5"/>
        <v>13207.627587789395</v>
      </c>
      <c r="Q6" s="2">
        <f t="shared" si="5"/>
        <v>13127.634055901617</v>
      </c>
      <c r="R6" s="2">
        <f t="shared" si="5"/>
        <v>13048.125014139061</v>
      </c>
      <c r="S6" s="2">
        <f t="shared" si="5"/>
        <v>12969.097528130957</v>
      </c>
      <c r="T6" s="2">
        <f t="shared" si="5"/>
        <v>12890.548681278902</v>
      </c>
      <c r="U6" s="2">
        <f t="shared" si="5"/>
        <v>12812.475574649203</v>
      </c>
      <c r="V6" s="2">
        <f t="shared" si="5"/>
        <v>12734.875326865898</v>
      </c>
      <c r="W6" s="2">
        <f t="shared" si="5"/>
        <v>12657.745074004411</v>
      </c>
      <c r="X6" s="2">
        <f t="shared" si="5"/>
        <v>12581.081969485867</v>
      </c>
      <c r="Y6" s="2">
        <f t="shared" si="5"/>
        <v>12504.88318397201</v>
      </c>
      <c r="Z6" s="2">
        <f t="shared" si="5"/>
        <v>12429.145905260819</v>
      </c>
      <c r="AA6" s="2">
        <f t="shared" si="5"/>
        <v>12353.867338182696</v>
      </c>
      <c r="AB6" s="2">
        <f t="shared" si="5"/>
        <v>12279.044704497295</v>
      </c>
      <c r="AC6" s="2">
        <f t="shared" si="5"/>
        <v>12204.675242791032</v>
      </c>
      <c r="AD6" s="2">
        <f t="shared" si="5"/>
        <v>12130.756208375136</v>
      </c>
      <c r="AE6" s="2">
        <f t="shared" si="5"/>
        <v>12057.284873184353</v>
      </c>
      <c r="AF6" s="2">
        <f t="shared" si="5"/>
        <v>11984.25852567628</v>
      </c>
      <c r="AG6" s="2">
        <f t="shared" si="5"/>
        <v>11911.67447073129</v>
      </c>
      <c r="AH6" s="2">
        <f t="shared" si="5"/>
        <v>11839.530029553058</v>
      </c>
      <c r="AI6" s="2">
        <f t="shared" si="5"/>
        <v>11767.822539569697</v>
      </c>
      <c r="AJ6" s="2">
        <f t="shared" si="5"/>
        <v>11696.549354335501</v>
      </c>
      <c r="AK6" s="2">
        <f t="shared" si="5"/>
        <v>11625.707843433265</v>
      </c>
      <c r="AL6" s="2">
        <f t="shared" si="5"/>
        <v>11555.295392377224</v>
      </c>
      <c r="AM6" s="2">
        <f t="shared" si="5"/>
        <v>11485.309402516532</v>
      </c>
      <c r="AN6" s="2">
        <f t="shared" si="5"/>
        <v>11415.747290939387</v>
      </c>
      <c r="AO6" s="2">
        <f t="shared" si="5"/>
        <v>11346.606490377684</v>
      </c>
      <c r="AP6" s="2">
        <f t="shared" si="5"/>
        <v>11277.884449112282</v>
      </c>
      <c r="AQ6" s="2">
        <f t="shared" si="5"/>
        <v>11209.578630878823</v>
      </c>
      <c r="AR6" s="2">
        <f t="shared" si="5"/>
        <v>11141.68651477413</v>
      </c>
      <c r="AS6" s="2">
        <f t="shared" si="5"/>
        <v>11074.205595163159</v>
      </c>
      <c r="AT6" s="2">
        <f t="shared" si="5"/>
        <v>11007.133381586556</v>
      </c>
      <c r="AU6" s="2">
        <f t="shared" si="5"/>
        <v>10940.467398668701</v>
      </c>
      <c r="AV6" s="2">
        <f t="shared" si="5"/>
        <v>10874.205186026385</v>
      </c>
    </row>
    <row r="7" spans="1:48" x14ac:dyDescent="0.25">
      <c r="A7" s="354" t="s">
        <v>1693</v>
      </c>
      <c r="B7" t="s">
        <v>1710</v>
      </c>
      <c r="C7" t="s">
        <v>1051</v>
      </c>
      <c r="D7">
        <f t="shared" si="0"/>
        <v>0</v>
      </c>
      <c r="E7">
        <f t="shared" si="0"/>
        <v>0</v>
      </c>
      <c r="F7">
        <f t="shared" si="0"/>
        <v>0</v>
      </c>
      <c r="G7">
        <f t="shared" si="0"/>
        <v>0</v>
      </c>
      <c r="H7">
        <f t="shared" si="0"/>
        <v>0</v>
      </c>
      <c r="I7">
        <f t="shared" si="0"/>
        <v>0</v>
      </c>
      <c r="J7">
        <f t="shared" si="0"/>
        <v>0</v>
      </c>
      <c r="K7">
        <f t="shared" si="0"/>
        <v>0</v>
      </c>
      <c r="L7">
        <f t="shared" si="0"/>
        <v>0</v>
      </c>
      <c r="M7">
        <f t="shared" si="0"/>
        <v>0</v>
      </c>
      <c r="N7" s="2">
        <f t="shared" ref="N7:AV7" si="6">IFERROR(IF($M7-$D7&gt;=0,($M7-$D7)/COUNT($E$1:$M$1)+M7,$F360*$E360^N$1),0)</f>
        <v>0</v>
      </c>
      <c r="O7" s="2">
        <f t="shared" si="6"/>
        <v>0</v>
      </c>
      <c r="P7" s="2">
        <f t="shared" si="6"/>
        <v>0</v>
      </c>
      <c r="Q7" s="2">
        <f t="shared" si="6"/>
        <v>0</v>
      </c>
      <c r="R7" s="2">
        <f t="shared" si="6"/>
        <v>0</v>
      </c>
      <c r="S7" s="2">
        <f t="shared" si="6"/>
        <v>0</v>
      </c>
      <c r="T7" s="2">
        <f t="shared" si="6"/>
        <v>0</v>
      </c>
      <c r="U7" s="2">
        <f t="shared" si="6"/>
        <v>0</v>
      </c>
      <c r="V7" s="2">
        <f t="shared" si="6"/>
        <v>0</v>
      </c>
      <c r="W7" s="2">
        <f t="shared" si="6"/>
        <v>0</v>
      </c>
      <c r="X7" s="2">
        <f t="shared" si="6"/>
        <v>0</v>
      </c>
      <c r="Y7" s="2">
        <f t="shared" si="6"/>
        <v>0</v>
      </c>
      <c r="Z7" s="2">
        <f t="shared" si="6"/>
        <v>0</v>
      </c>
      <c r="AA7" s="2">
        <f t="shared" si="6"/>
        <v>0</v>
      </c>
      <c r="AB7" s="2">
        <f t="shared" si="6"/>
        <v>0</v>
      </c>
      <c r="AC7" s="2">
        <f t="shared" si="6"/>
        <v>0</v>
      </c>
      <c r="AD7" s="2">
        <f t="shared" si="6"/>
        <v>0</v>
      </c>
      <c r="AE7" s="2">
        <f t="shared" si="6"/>
        <v>0</v>
      </c>
      <c r="AF7" s="2">
        <f t="shared" si="6"/>
        <v>0</v>
      </c>
      <c r="AG7" s="2">
        <f t="shared" si="6"/>
        <v>0</v>
      </c>
      <c r="AH7" s="2">
        <f t="shared" si="6"/>
        <v>0</v>
      </c>
      <c r="AI7" s="2">
        <f t="shared" si="6"/>
        <v>0</v>
      </c>
      <c r="AJ7" s="2">
        <f t="shared" si="6"/>
        <v>0</v>
      </c>
      <c r="AK7" s="2">
        <f t="shared" si="6"/>
        <v>0</v>
      </c>
      <c r="AL7" s="2">
        <f t="shared" si="6"/>
        <v>0</v>
      </c>
      <c r="AM7" s="2">
        <f t="shared" si="6"/>
        <v>0</v>
      </c>
      <c r="AN7" s="2">
        <f t="shared" si="6"/>
        <v>0</v>
      </c>
      <c r="AO7" s="2">
        <f t="shared" si="6"/>
        <v>0</v>
      </c>
      <c r="AP7" s="2">
        <f t="shared" si="6"/>
        <v>0</v>
      </c>
      <c r="AQ7" s="2">
        <f t="shared" si="6"/>
        <v>0</v>
      </c>
      <c r="AR7" s="2">
        <f t="shared" si="6"/>
        <v>0</v>
      </c>
      <c r="AS7" s="2">
        <f t="shared" si="6"/>
        <v>0</v>
      </c>
      <c r="AT7" s="2">
        <f t="shared" si="6"/>
        <v>0</v>
      </c>
      <c r="AU7" s="2">
        <f t="shared" si="6"/>
        <v>0</v>
      </c>
      <c r="AV7" s="2">
        <f t="shared" si="6"/>
        <v>0</v>
      </c>
    </row>
    <row r="8" spans="1:48" x14ac:dyDescent="0.25">
      <c r="A8" s="354" t="s">
        <v>1694</v>
      </c>
      <c r="B8" t="s">
        <v>273</v>
      </c>
      <c r="C8" t="s">
        <v>1051</v>
      </c>
      <c r="D8">
        <f t="shared" si="0"/>
        <v>8781</v>
      </c>
      <c r="E8">
        <f t="shared" si="0"/>
        <v>9074</v>
      </c>
      <c r="F8">
        <f t="shared" si="0"/>
        <v>8414</v>
      </c>
      <c r="G8">
        <f t="shared" si="0"/>
        <v>8454</v>
      </c>
      <c r="H8">
        <f t="shared" si="0"/>
        <v>9188</v>
      </c>
      <c r="I8">
        <f t="shared" si="0"/>
        <v>9292</v>
      </c>
      <c r="J8">
        <f t="shared" si="0"/>
        <v>9377</v>
      </c>
      <c r="K8">
        <f t="shared" si="0"/>
        <v>9962</v>
      </c>
      <c r="L8">
        <f t="shared" si="0"/>
        <v>9619</v>
      </c>
      <c r="M8">
        <f t="shared" si="0"/>
        <v>10799</v>
      </c>
      <c r="N8" s="2">
        <f t="shared" ref="N8:AV8" si="7">IFERROR(IF($M8-$D8&gt;=0,($M8-$D8)/COUNT($E$1:$M$1)+M8,$F361*$E361^N$1),0)</f>
        <v>11023.222222222223</v>
      </c>
      <c r="O8" s="2">
        <f t="shared" si="7"/>
        <v>11247.444444444445</v>
      </c>
      <c r="P8" s="2">
        <f t="shared" si="7"/>
        <v>11471.666666666668</v>
      </c>
      <c r="Q8" s="2">
        <f t="shared" si="7"/>
        <v>11695.888888888891</v>
      </c>
      <c r="R8" s="2">
        <f t="shared" si="7"/>
        <v>11920.111111111113</v>
      </c>
      <c r="S8" s="2">
        <f t="shared" si="7"/>
        <v>12144.333333333336</v>
      </c>
      <c r="T8" s="2">
        <f t="shared" si="7"/>
        <v>12368.555555555558</v>
      </c>
      <c r="U8" s="2">
        <f t="shared" si="7"/>
        <v>12592.777777777781</v>
      </c>
      <c r="V8" s="2">
        <f t="shared" si="7"/>
        <v>12817.000000000004</v>
      </c>
      <c r="W8" s="2">
        <f t="shared" si="7"/>
        <v>13041.222222222226</v>
      </c>
      <c r="X8" s="2">
        <f t="shared" si="7"/>
        <v>13265.444444444449</v>
      </c>
      <c r="Y8" s="2">
        <f t="shared" si="7"/>
        <v>13489.666666666672</v>
      </c>
      <c r="Z8" s="2">
        <f t="shared" si="7"/>
        <v>13713.888888888894</v>
      </c>
      <c r="AA8" s="2">
        <f t="shared" si="7"/>
        <v>13938.111111111117</v>
      </c>
      <c r="AB8" s="2">
        <f t="shared" si="7"/>
        <v>14162.333333333339</v>
      </c>
      <c r="AC8" s="2">
        <f t="shared" si="7"/>
        <v>14386.555555555562</v>
      </c>
      <c r="AD8" s="2">
        <f t="shared" si="7"/>
        <v>14610.777777777785</v>
      </c>
      <c r="AE8" s="2">
        <f t="shared" si="7"/>
        <v>14835.000000000007</v>
      </c>
      <c r="AF8" s="2">
        <f t="shared" si="7"/>
        <v>15059.22222222223</v>
      </c>
      <c r="AG8" s="2">
        <f t="shared" si="7"/>
        <v>15283.444444444453</v>
      </c>
      <c r="AH8" s="2">
        <f t="shared" si="7"/>
        <v>15507.666666666675</v>
      </c>
      <c r="AI8" s="2">
        <f t="shared" si="7"/>
        <v>15731.888888888898</v>
      </c>
      <c r="AJ8" s="2">
        <f t="shared" si="7"/>
        <v>15956.11111111112</v>
      </c>
      <c r="AK8" s="2">
        <f t="shared" si="7"/>
        <v>16180.333333333343</v>
      </c>
      <c r="AL8" s="2">
        <f t="shared" si="7"/>
        <v>16404.555555555566</v>
      </c>
      <c r="AM8" s="2">
        <f t="shared" si="7"/>
        <v>16628.777777777788</v>
      </c>
      <c r="AN8" s="2">
        <f t="shared" si="7"/>
        <v>16853.000000000011</v>
      </c>
      <c r="AO8" s="2">
        <f t="shared" si="7"/>
        <v>17077.222222222234</v>
      </c>
      <c r="AP8" s="2">
        <f t="shared" si="7"/>
        <v>17301.444444444456</v>
      </c>
      <c r="AQ8" s="2">
        <f t="shared" si="7"/>
        <v>17525.666666666679</v>
      </c>
      <c r="AR8" s="2">
        <f t="shared" si="7"/>
        <v>17749.888888888901</v>
      </c>
      <c r="AS8" s="2">
        <f t="shared" si="7"/>
        <v>17974.111111111124</v>
      </c>
      <c r="AT8" s="2">
        <f t="shared" si="7"/>
        <v>18198.333333333347</v>
      </c>
      <c r="AU8" s="2">
        <f t="shared" si="7"/>
        <v>18422.555555555569</v>
      </c>
      <c r="AV8" s="2">
        <f t="shared" si="7"/>
        <v>18646.777777777792</v>
      </c>
    </row>
    <row r="9" spans="1:48" x14ac:dyDescent="0.25">
      <c r="A9" s="355" t="s">
        <v>1977</v>
      </c>
      <c r="B9" t="s">
        <v>469</v>
      </c>
      <c r="C9" t="s">
        <v>1051</v>
      </c>
      <c r="D9">
        <f t="shared" si="0"/>
        <v>3519</v>
      </c>
      <c r="E9">
        <f t="shared" si="0"/>
        <v>4944</v>
      </c>
      <c r="F9">
        <f t="shared" si="0"/>
        <v>4065</v>
      </c>
      <c r="G9">
        <f t="shared" si="0"/>
        <v>3427</v>
      </c>
      <c r="H9">
        <f t="shared" si="0"/>
        <v>4730</v>
      </c>
      <c r="I9">
        <f t="shared" si="0"/>
        <v>4030</v>
      </c>
      <c r="J9">
        <f t="shared" si="0"/>
        <v>4407</v>
      </c>
      <c r="K9">
        <f t="shared" si="0"/>
        <v>4014</v>
      </c>
      <c r="L9">
        <f t="shared" si="0"/>
        <v>1380</v>
      </c>
      <c r="M9">
        <f t="shared" si="0"/>
        <v>1128</v>
      </c>
      <c r="N9" s="2">
        <f t="shared" ref="N9:AV9" si="8">IFERROR(IF($M9-$D9&gt;=0,($M9-$D9)/COUNT($E$1:$M$1)+M9,$F362*$E362^N$1),0)</f>
        <v>1740.1992380503323</v>
      </c>
      <c r="O9" s="2">
        <f t="shared" si="8"/>
        <v>1554.2980192625712</v>
      </c>
      <c r="P9" s="2">
        <f t="shared" si="8"/>
        <v>1388.2561719715436</v>
      </c>
      <c r="Q9" s="2">
        <f t="shared" si="8"/>
        <v>1239.952168202248</v>
      </c>
      <c r="R9" s="2">
        <f t="shared" si="8"/>
        <v>1107.4911176126732</v>
      </c>
      <c r="S9" s="2">
        <f t="shared" si="8"/>
        <v>989.18055635103144</v>
      </c>
      <c r="T9" s="2">
        <f t="shared" si="8"/>
        <v>883.50882233002517</v>
      </c>
      <c r="U9" s="2">
        <f t="shared" si="8"/>
        <v>789.12574061755015</v>
      </c>
      <c r="V9" s="2">
        <f t="shared" si="8"/>
        <v>704.82537215976629</v>
      </c>
      <c r="W9" s="2">
        <f t="shared" si="8"/>
        <v>629.53060541579418</v>
      </c>
      <c r="X9" s="2">
        <f t="shared" si="8"/>
        <v>562.27939403030337</v>
      </c>
      <c r="Y9" s="2">
        <f t="shared" si="8"/>
        <v>502.21246470180415</v>
      </c>
      <c r="Z9" s="2">
        <f t="shared" si="8"/>
        <v>448.56233818923829</v>
      </c>
      <c r="AA9" s="2">
        <f t="shared" si="8"/>
        <v>400.6435231775198</v>
      </c>
      <c r="AB9" s="2">
        <f t="shared" si="8"/>
        <v>357.84375770838375</v>
      </c>
      <c r="AC9" s="2">
        <f t="shared" si="8"/>
        <v>319.61618626770667</v>
      </c>
      <c r="AD9" s="2">
        <f t="shared" si="8"/>
        <v>285.47237257541252</v>
      </c>
      <c r="AE9" s="2">
        <f t="shared" si="8"/>
        <v>254.97605880190417</v>
      </c>
      <c r="AF9" s="2">
        <f t="shared" si="8"/>
        <v>227.73759147210581</v>
      </c>
      <c r="AG9" s="2">
        <f t="shared" si="8"/>
        <v>203.40894283651255</v>
      </c>
      <c r="AH9" s="2">
        <f t="shared" si="8"/>
        <v>181.67926409696588</v>
      </c>
      <c r="AI9" s="2">
        <f t="shared" si="8"/>
        <v>162.27091367041965</v>
      </c>
      <c r="AJ9" s="2">
        <f t="shared" si="8"/>
        <v>144.93590974355197</v>
      </c>
      <c r="AK9" s="2">
        <f t="shared" si="8"/>
        <v>129.45276179227125</v>
      </c>
      <c r="AL9" s="2">
        <f t="shared" si="8"/>
        <v>115.62364058222687</v>
      </c>
      <c r="AM9" s="2">
        <f t="shared" si="8"/>
        <v>103.27185049122789</v>
      </c>
      <c r="AN9" s="2">
        <f t="shared" si="8"/>
        <v>92.239571857261822</v>
      </c>
      <c r="AO9" s="2">
        <f t="shared" si="8"/>
        <v>82.385844505939815</v>
      </c>
      <c r="AP9" s="2">
        <f t="shared" si="8"/>
        <v>73.584766692762315</v>
      </c>
      <c r="AQ9" s="2">
        <f t="shared" si="8"/>
        <v>65.723886447967075</v>
      </c>
      <c r="AR9" s="2">
        <f t="shared" si="8"/>
        <v>58.702764770064064</v>
      </c>
      <c r="AS9" s="2">
        <f t="shared" si="8"/>
        <v>52.431692309882628</v>
      </c>
      <c r="AT9" s="2">
        <f t="shared" si="8"/>
        <v>46.830543148116284</v>
      </c>
      <c r="AU9" s="2">
        <f t="shared" si="8"/>
        <v>41.827751021002463</v>
      </c>
      <c r="AV9" s="2">
        <f t="shared" si="8"/>
        <v>37.359394913303447</v>
      </c>
    </row>
    <row r="10" spans="1:48" x14ac:dyDescent="0.25">
      <c r="A10" s="354" t="s">
        <v>1696</v>
      </c>
      <c r="B10" t="s">
        <v>273</v>
      </c>
      <c r="C10" t="s">
        <v>1051</v>
      </c>
      <c r="D10">
        <f t="shared" si="0"/>
        <v>2902</v>
      </c>
      <c r="E10">
        <f t="shared" si="0"/>
        <v>2937</v>
      </c>
      <c r="F10">
        <f t="shared" si="0"/>
        <v>2960</v>
      </c>
      <c r="G10">
        <f t="shared" si="0"/>
        <v>2569</v>
      </c>
      <c r="H10">
        <f t="shared" si="0"/>
        <v>2697</v>
      </c>
      <c r="I10">
        <f t="shared" si="0"/>
        <v>2712</v>
      </c>
      <c r="J10">
        <f t="shared" si="0"/>
        <v>2763</v>
      </c>
      <c r="K10">
        <f t="shared" si="0"/>
        <v>2804</v>
      </c>
      <c r="L10">
        <f t="shared" si="0"/>
        <v>2827</v>
      </c>
      <c r="M10">
        <f t="shared" si="0"/>
        <v>2789</v>
      </c>
      <c r="N10" s="2">
        <f t="shared" ref="N10:AV10" si="9">IFERROR(IF($M10-$D10&gt;=0,($M10-$D10)/COUNT($E$1:$M$1)+M10,$F363*$E363^N$1),0)</f>
        <v>2731.8460438397533</v>
      </c>
      <c r="O10" s="2">
        <f t="shared" si="9"/>
        <v>2720.7520772157445</v>
      </c>
      <c r="P10" s="2">
        <f t="shared" si="9"/>
        <v>2709.703162945887</v>
      </c>
      <c r="Q10" s="2">
        <f t="shared" si="9"/>
        <v>2698.6991180735631</v>
      </c>
      <c r="R10" s="2">
        <f t="shared" si="9"/>
        <v>2687.7397603851373</v>
      </c>
      <c r="S10" s="2">
        <f t="shared" si="9"/>
        <v>2676.8249084069403</v>
      </c>
      <c r="T10" s="2">
        <f t="shared" si="9"/>
        <v>2665.9543814022622</v>
      </c>
      <c r="U10" s="2">
        <f t="shared" si="9"/>
        <v>2655.1279993683629</v>
      </c>
      <c r="V10" s="2">
        <f t="shared" si="9"/>
        <v>2644.3455830334865</v>
      </c>
      <c r="W10" s="2">
        <f t="shared" si="9"/>
        <v>2633.6069538539</v>
      </c>
      <c r="X10" s="2">
        <f t="shared" si="9"/>
        <v>2622.9119340109269</v>
      </c>
      <c r="Y10" s="2">
        <f t="shared" si="9"/>
        <v>2612.2603464080125</v>
      </c>
      <c r="Z10" s="2">
        <f t="shared" si="9"/>
        <v>2601.6520146677885</v>
      </c>
      <c r="AA10" s="2">
        <f t="shared" si="9"/>
        <v>2591.0867631291453</v>
      </c>
      <c r="AB10" s="2">
        <f t="shared" si="9"/>
        <v>2580.5644168443382</v>
      </c>
      <c r="AC10" s="2">
        <f t="shared" si="9"/>
        <v>2570.0848015760721</v>
      </c>
      <c r="AD10" s="2">
        <f t="shared" si="9"/>
        <v>2559.6477437946305</v>
      </c>
      <c r="AE10" s="2">
        <f t="shared" si="9"/>
        <v>2549.2530706749972</v>
      </c>
      <c r="AF10" s="2">
        <f t="shared" si="9"/>
        <v>2538.9006100939946</v>
      </c>
      <c r="AG10" s="2">
        <f t="shared" si="9"/>
        <v>2528.5901906274303</v>
      </c>
      <c r="AH10" s="2">
        <f t="shared" si="9"/>
        <v>2518.3216415472684</v>
      </c>
      <c r="AI10" s="2">
        <f t="shared" si="9"/>
        <v>2508.0947928187884</v>
      </c>
      <c r="AJ10" s="2">
        <f t="shared" si="9"/>
        <v>2497.9094750977824</v>
      </c>
      <c r="AK10" s="2">
        <f t="shared" si="9"/>
        <v>2487.7655197277427</v>
      </c>
      <c r="AL10" s="2">
        <f t="shared" si="9"/>
        <v>2477.6627587370731</v>
      </c>
      <c r="AM10" s="2">
        <f t="shared" si="9"/>
        <v>2467.6010248363059</v>
      </c>
      <c r="AN10" s="2">
        <f t="shared" si="9"/>
        <v>2457.5801514153331</v>
      </c>
      <c r="AO10" s="2">
        <f t="shared" si="9"/>
        <v>2447.5999725406446</v>
      </c>
      <c r="AP10" s="2">
        <f t="shared" si="9"/>
        <v>2437.6603229525863</v>
      </c>
      <c r="AQ10" s="2">
        <f t="shared" si="9"/>
        <v>2427.7610380626161</v>
      </c>
      <c r="AR10" s="2">
        <f t="shared" si="9"/>
        <v>2417.9019539505853</v>
      </c>
      <c r="AS10" s="2">
        <f t="shared" si="9"/>
        <v>2408.0829073620189</v>
      </c>
      <c r="AT10" s="2">
        <f t="shared" si="9"/>
        <v>2398.3037357054168</v>
      </c>
      <c r="AU10" s="2">
        <f t="shared" si="9"/>
        <v>2388.5642770495565</v>
      </c>
      <c r="AV10" s="2">
        <f t="shared" si="9"/>
        <v>2378.8643701208184</v>
      </c>
    </row>
    <row r="11" spans="1:48" x14ac:dyDescent="0.25">
      <c r="A11" s="354" t="s">
        <v>1697</v>
      </c>
      <c r="B11" t="s">
        <v>272</v>
      </c>
      <c r="C11" t="s">
        <v>1051</v>
      </c>
      <c r="D11">
        <f t="shared" si="0"/>
        <v>27187</v>
      </c>
      <c r="E11">
        <f t="shared" si="0"/>
        <v>27627</v>
      </c>
      <c r="F11">
        <f t="shared" si="0"/>
        <v>24352</v>
      </c>
      <c r="G11">
        <f t="shared" si="0"/>
        <v>23403</v>
      </c>
      <c r="H11">
        <f t="shared" si="0"/>
        <v>27262</v>
      </c>
      <c r="I11">
        <f t="shared" si="0"/>
        <v>26338</v>
      </c>
      <c r="J11">
        <f t="shared" si="0"/>
        <v>26501</v>
      </c>
      <c r="K11">
        <f t="shared" si="0"/>
        <v>26395</v>
      </c>
      <c r="L11">
        <f t="shared" si="0"/>
        <v>26496</v>
      </c>
      <c r="M11">
        <f t="shared" si="0"/>
        <v>28062</v>
      </c>
      <c r="N11" s="2">
        <f t="shared" ref="N11:AV11" si="10">IFERROR(IF($M11-$D11&gt;=0,($M11-$D11)/COUNT($E$1:$M$1)+M11,$F364*$E364^N$1),0)</f>
        <v>28159.222222222223</v>
      </c>
      <c r="O11" s="2">
        <f t="shared" si="10"/>
        <v>28256.444444444445</v>
      </c>
      <c r="P11" s="2">
        <f t="shared" si="10"/>
        <v>28353.666666666668</v>
      </c>
      <c r="Q11" s="2">
        <f t="shared" si="10"/>
        <v>28450.888888888891</v>
      </c>
      <c r="R11" s="2">
        <f t="shared" si="10"/>
        <v>28548.111111111113</v>
      </c>
      <c r="S11" s="2">
        <f t="shared" si="10"/>
        <v>28645.333333333336</v>
      </c>
      <c r="T11" s="2">
        <f t="shared" si="10"/>
        <v>28742.555555555558</v>
      </c>
      <c r="U11" s="2">
        <f t="shared" si="10"/>
        <v>28839.777777777781</v>
      </c>
      <c r="V11" s="2">
        <f t="shared" si="10"/>
        <v>28937.000000000004</v>
      </c>
      <c r="W11" s="2">
        <f t="shared" si="10"/>
        <v>29034.222222222226</v>
      </c>
      <c r="X11" s="2">
        <f t="shared" si="10"/>
        <v>29131.444444444449</v>
      </c>
      <c r="Y11" s="2">
        <f t="shared" si="10"/>
        <v>29228.666666666672</v>
      </c>
      <c r="Z11" s="2">
        <f t="shared" si="10"/>
        <v>29325.888888888894</v>
      </c>
      <c r="AA11" s="2">
        <f t="shared" si="10"/>
        <v>29423.111111111117</v>
      </c>
      <c r="AB11" s="2">
        <f t="shared" si="10"/>
        <v>29520.333333333339</v>
      </c>
      <c r="AC11" s="2">
        <f t="shared" si="10"/>
        <v>29617.555555555562</v>
      </c>
      <c r="AD11" s="2">
        <f t="shared" si="10"/>
        <v>29714.777777777785</v>
      </c>
      <c r="AE11" s="2">
        <f t="shared" si="10"/>
        <v>29812.000000000007</v>
      </c>
      <c r="AF11" s="2">
        <f t="shared" si="10"/>
        <v>29909.22222222223</v>
      </c>
      <c r="AG11" s="2">
        <f t="shared" si="10"/>
        <v>30006.444444444453</v>
      </c>
      <c r="AH11" s="2">
        <f t="shared" si="10"/>
        <v>30103.666666666675</v>
      </c>
      <c r="AI11" s="2">
        <f t="shared" si="10"/>
        <v>30200.888888888898</v>
      </c>
      <c r="AJ11" s="2">
        <f t="shared" si="10"/>
        <v>30298.11111111112</v>
      </c>
      <c r="AK11" s="2">
        <f t="shared" si="10"/>
        <v>30395.333333333343</v>
      </c>
      <c r="AL11" s="2">
        <f t="shared" si="10"/>
        <v>30492.555555555566</v>
      </c>
      <c r="AM11" s="2">
        <f t="shared" si="10"/>
        <v>30589.777777777788</v>
      </c>
      <c r="AN11" s="2">
        <f t="shared" si="10"/>
        <v>30687.000000000011</v>
      </c>
      <c r="AO11" s="2">
        <f t="shared" si="10"/>
        <v>30784.222222222234</v>
      </c>
      <c r="AP11" s="2">
        <f t="shared" si="10"/>
        <v>30881.444444444456</v>
      </c>
      <c r="AQ11" s="2">
        <f t="shared" si="10"/>
        <v>30978.666666666679</v>
      </c>
      <c r="AR11" s="2">
        <f t="shared" si="10"/>
        <v>31075.888888888901</v>
      </c>
      <c r="AS11" s="2">
        <f t="shared" si="10"/>
        <v>31173.111111111124</v>
      </c>
      <c r="AT11" s="2">
        <f t="shared" si="10"/>
        <v>31270.333333333347</v>
      </c>
      <c r="AU11" s="2">
        <f t="shared" si="10"/>
        <v>31367.555555555569</v>
      </c>
      <c r="AV11" s="2">
        <f t="shared" si="10"/>
        <v>31464.777777777792</v>
      </c>
    </row>
    <row r="12" spans="1:48" x14ac:dyDescent="0.25">
      <c r="A12" s="354" t="s">
        <v>1698</v>
      </c>
      <c r="B12" t="s">
        <v>469</v>
      </c>
      <c r="C12" t="s">
        <v>1051</v>
      </c>
      <c r="D12">
        <f t="shared" ref="D12:M25" si="11">IFERROR(INDEX($B$177:$AA$209,MATCH($A12,$A$177:$A$209,0),MATCH(D$1,$B$175:$AA$175,0)),0)</f>
        <v>1758</v>
      </c>
      <c r="E12">
        <f t="shared" si="11"/>
        <v>1922</v>
      </c>
      <c r="F12">
        <f t="shared" si="11"/>
        <v>1834</v>
      </c>
      <c r="G12">
        <f t="shared" si="11"/>
        <v>1795</v>
      </c>
      <c r="H12">
        <f t="shared" si="11"/>
        <v>4425</v>
      </c>
      <c r="I12">
        <f t="shared" si="11"/>
        <v>4083</v>
      </c>
      <c r="J12">
        <f t="shared" si="11"/>
        <v>4019</v>
      </c>
      <c r="K12">
        <f t="shared" si="11"/>
        <v>4188</v>
      </c>
      <c r="L12">
        <f t="shared" si="11"/>
        <v>4471</v>
      </c>
      <c r="M12">
        <f t="shared" si="11"/>
        <v>4296</v>
      </c>
      <c r="N12" s="2">
        <f t="shared" ref="N12:AV12" si="12">IFERROR(IF($M12-$D12&gt;=0,($M12-$D12)/COUNT($E$1:$M$1)+M12,$F365*$E365^N$1),0)</f>
        <v>4578</v>
      </c>
      <c r="O12" s="2">
        <f t="shared" si="12"/>
        <v>4860</v>
      </c>
      <c r="P12" s="2">
        <f t="shared" si="12"/>
        <v>5142</v>
      </c>
      <c r="Q12" s="2">
        <f t="shared" si="12"/>
        <v>5424</v>
      </c>
      <c r="R12" s="2">
        <f t="shared" si="12"/>
        <v>5706</v>
      </c>
      <c r="S12" s="2">
        <f t="shared" si="12"/>
        <v>5988</v>
      </c>
      <c r="T12" s="2">
        <f t="shared" si="12"/>
        <v>6270</v>
      </c>
      <c r="U12" s="2">
        <f t="shared" si="12"/>
        <v>6552</v>
      </c>
      <c r="V12" s="2">
        <f t="shared" si="12"/>
        <v>6834</v>
      </c>
      <c r="W12" s="2">
        <f t="shared" si="12"/>
        <v>7116</v>
      </c>
      <c r="X12" s="2">
        <f t="shared" si="12"/>
        <v>7398</v>
      </c>
      <c r="Y12" s="2">
        <f t="shared" si="12"/>
        <v>7680</v>
      </c>
      <c r="Z12" s="2">
        <f t="shared" si="12"/>
        <v>7962</v>
      </c>
      <c r="AA12" s="2">
        <f t="shared" si="12"/>
        <v>8244</v>
      </c>
      <c r="AB12" s="2">
        <f t="shared" si="12"/>
        <v>8526</v>
      </c>
      <c r="AC12" s="2">
        <f t="shared" si="12"/>
        <v>8808</v>
      </c>
      <c r="AD12" s="2">
        <f t="shared" si="12"/>
        <v>9090</v>
      </c>
      <c r="AE12" s="2">
        <f t="shared" si="12"/>
        <v>9372</v>
      </c>
      <c r="AF12" s="2">
        <f t="shared" si="12"/>
        <v>9654</v>
      </c>
      <c r="AG12" s="2">
        <f t="shared" si="12"/>
        <v>9936</v>
      </c>
      <c r="AH12" s="2">
        <f t="shared" si="12"/>
        <v>10218</v>
      </c>
      <c r="AI12" s="2">
        <f t="shared" si="12"/>
        <v>10500</v>
      </c>
      <c r="AJ12" s="2">
        <f t="shared" si="12"/>
        <v>10782</v>
      </c>
      <c r="AK12" s="2">
        <f t="shared" si="12"/>
        <v>11064</v>
      </c>
      <c r="AL12" s="2">
        <f t="shared" si="12"/>
        <v>11346</v>
      </c>
      <c r="AM12" s="2">
        <f t="shared" si="12"/>
        <v>11628</v>
      </c>
      <c r="AN12" s="2">
        <f t="shared" si="12"/>
        <v>11910</v>
      </c>
      <c r="AO12" s="2">
        <f t="shared" si="12"/>
        <v>12192</v>
      </c>
      <c r="AP12" s="2">
        <f t="shared" si="12"/>
        <v>12474</v>
      </c>
      <c r="AQ12" s="2">
        <f t="shared" si="12"/>
        <v>12756</v>
      </c>
      <c r="AR12" s="2">
        <f t="shared" si="12"/>
        <v>13038</v>
      </c>
      <c r="AS12" s="2">
        <f t="shared" si="12"/>
        <v>13320</v>
      </c>
      <c r="AT12" s="2">
        <f t="shared" si="12"/>
        <v>13602</v>
      </c>
      <c r="AU12" s="2">
        <f t="shared" si="12"/>
        <v>13884</v>
      </c>
      <c r="AV12" s="2">
        <f t="shared" si="12"/>
        <v>14166</v>
      </c>
    </row>
    <row r="13" spans="1:48" x14ac:dyDescent="0.25">
      <c r="A13" s="354" t="s">
        <v>1699</v>
      </c>
      <c r="B13" t="s">
        <v>469</v>
      </c>
      <c r="C13" t="s">
        <v>1051</v>
      </c>
      <c r="D13">
        <f t="shared" si="11"/>
        <v>1836</v>
      </c>
      <c r="E13">
        <f t="shared" si="11"/>
        <v>1930</v>
      </c>
      <c r="F13">
        <f t="shared" si="11"/>
        <v>1809</v>
      </c>
      <c r="G13">
        <f t="shared" si="11"/>
        <v>1648</v>
      </c>
      <c r="H13">
        <f t="shared" si="11"/>
        <v>1769</v>
      </c>
      <c r="I13">
        <f t="shared" si="11"/>
        <v>1729</v>
      </c>
      <c r="J13">
        <f t="shared" si="11"/>
        <v>1528</v>
      </c>
      <c r="K13">
        <f t="shared" si="11"/>
        <v>1715</v>
      </c>
      <c r="L13">
        <f t="shared" si="11"/>
        <v>1688</v>
      </c>
      <c r="M13">
        <f t="shared" si="11"/>
        <v>1635</v>
      </c>
      <c r="N13" s="2">
        <f t="shared" ref="N13:AV13" si="13">IFERROR(IF($M13-$D13&gt;=0,($M13-$D13)/COUNT($E$1:$M$1)+M13,$F366*$E366^N$1),0)</f>
        <v>1587.4600129274534</v>
      </c>
      <c r="O13" s="2">
        <f t="shared" si="13"/>
        <v>1563.6094251569864</v>
      </c>
      <c r="P13" s="2">
        <f t="shared" si="13"/>
        <v>1540.1171774595696</v>
      </c>
      <c r="Q13" s="2">
        <f t="shared" si="13"/>
        <v>1516.9778860010949</v>
      </c>
      <c r="R13" s="2">
        <f t="shared" si="13"/>
        <v>1494.186247836172</v>
      </c>
      <c r="S13" s="2">
        <f t="shared" si="13"/>
        <v>1471.7370396928297</v>
      </c>
      <c r="T13" s="2">
        <f t="shared" si="13"/>
        <v>1449.6251167754715</v>
      </c>
      <c r="U13" s="2">
        <f t="shared" si="13"/>
        <v>1427.8454115858162</v>
      </c>
      <c r="V13" s="2">
        <f t="shared" si="13"/>
        <v>1406.3929327615558</v>
      </c>
      <c r="W13" s="2">
        <f t="shared" si="13"/>
        <v>1385.2627639324612</v>
      </c>
      <c r="X13" s="2">
        <f t="shared" si="13"/>
        <v>1364.4500625936716</v>
      </c>
      <c r="Y13" s="2">
        <f t="shared" si="13"/>
        <v>1343.9500589959141</v>
      </c>
      <c r="Z13" s="2">
        <f t="shared" si="13"/>
        <v>1323.7580550523974</v>
      </c>
      <c r="AA13" s="2">
        <f t="shared" si="13"/>
        <v>1303.8694232621285</v>
      </c>
      <c r="AB13" s="2">
        <f t="shared" si="13"/>
        <v>1284.2796056494046</v>
      </c>
      <c r="AC13" s="2">
        <f t="shared" si="13"/>
        <v>1264.9841127192394</v>
      </c>
      <c r="AD13" s="2">
        <f t="shared" si="13"/>
        <v>1245.9785224284842</v>
      </c>
      <c r="AE13" s="2">
        <f t="shared" si="13"/>
        <v>1227.2584791724055</v>
      </c>
      <c r="AF13" s="2">
        <f t="shared" si="13"/>
        <v>1208.8196927864908</v>
      </c>
      <c r="AG13" s="2">
        <f t="shared" si="13"/>
        <v>1190.6579375632489</v>
      </c>
      <c r="AH13" s="2">
        <f t="shared" si="13"/>
        <v>1172.7690512837853</v>
      </c>
      <c r="AI13" s="2">
        <f t="shared" si="13"/>
        <v>1155.1489342639243</v>
      </c>
      <c r="AJ13" s="2">
        <f t="shared" si="13"/>
        <v>1137.7935484146674</v>
      </c>
      <c r="AK13" s="2">
        <f t="shared" si="13"/>
        <v>1120.6989163167596</v>
      </c>
      <c r="AL13" s="2">
        <f t="shared" si="13"/>
        <v>1103.8611203091689</v>
      </c>
      <c r="AM13" s="2">
        <f t="shared" si="13"/>
        <v>1087.2763015912544</v>
      </c>
      <c r="AN13" s="2">
        <f t="shared" si="13"/>
        <v>1070.9406593384276</v>
      </c>
      <c r="AO13" s="2">
        <f t="shared" si="13"/>
        <v>1054.850449831097</v>
      </c>
      <c r="AP13" s="2">
        <f t="shared" si="13"/>
        <v>1039.0019855967021</v>
      </c>
      <c r="AQ13" s="2">
        <f t="shared" si="13"/>
        <v>1023.3916345646375</v>
      </c>
      <c r="AR13" s="2">
        <f t="shared" si="13"/>
        <v>1008.0158192338731</v>
      </c>
      <c r="AS13" s="2">
        <f t="shared" si="13"/>
        <v>992.87101585308073</v>
      </c>
      <c r="AT13" s="2">
        <f t="shared" si="13"/>
        <v>977.95375361307833</v>
      </c>
      <c r="AU13" s="2">
        <f t="shared" si="13"/>
        <v>963.26061385140804</v>
      </c>
      <c r="AV13" s="2">
        <f t="shared" si="13"/>
        <v>948.78822926886392</v>
      </c>
    </row>
    <row r="14" spans="1:48" x14ac:dyDescent="0.25">
      <c r="A14" s="354" t="s">
        <v>1700</v>
      </c>
      <c r="B14" t="s">
        <v>469</v>
      </c>
      <c r="C14" t="s">
        <v>1051</v>
      </c>
      <c r="D14">
        <f t="shared" si="11"/>
        <v>1030</v>
      </c>
      <c r="E14">
        <f t="shared" si="11"/>
        <v>1025</v>
      </c>
      <c r="F14">
        <f t="shared" si="11"/>
        <v>1159</v>
      </c>
      <c r="G14">
        <f t="shared" si="11"/>
        <v>943</v>
      </c>
      <c r="H14">
        <f t="shared" si="11"/>
        <v>1182</v>
      </c>
      <c r="I14">
        <f t="shared" si="11"/>
        <v>1286</v>
      </c>
      <c r="J14">
        <f t="shared" si="11"/>
        <v>1486</v>
      </c>
      <c r="K14">
        <f t="shared" si="11"/>
        <v>1429</v>
      </c>
      <c r="L14">
        <f t="shared" si="11"/>
        <v>956</v>
      </c>
      <c r="M14">
        <f t="shared" si="11"/>
        <v>933</v>
      </c>
      <c r="N14" s="2">
        <f t="shared" ref="N14:AV14" si="14">IFERROR(IF($M14-$D14&gt;=0,($M14-$D14)/COUNT($E$1:$M$1)+M14,$F367*$E367^N$1),0)</f>
        <v>1170.3652435150302</v>
      </c>
      <c r="O14" s="2">
        <f t="shared" si="14"/>
        <v>1178.3203995083081</v>
      </c>
      <c r="P14" s="2">
        <f t="shared" si="14"/>
        <v>1186.3296279436959</v>
      </c>
      <c r="Q14" s="2">
        <f t="shared" si="14"/>
        <v>1194.3932963600573</v>
      </c>
      <c r="R14" s="2">
        <f t="shared" si="14"/>
        <v>1202.5117747944755</v>
      </c>
      <c r="S14" s="2">
        <f t="shared" si="14"/>
        <v>1210.685435799234</v>
      </c>
      <c r="T14" s="2">
        <f t="shared" si="14"/>
        <v>1218.9146544589119</v>
      </c>
      <c r="U14" s="2">
        <f t="shared" si="14"/>
        <v>1227.1998084075976</v>
      </c>
      <c r="V14" s="2">
        <f t="shared" si="14"/>
        <v>1235.5412778462171</v>
      </c>
      <c r="W14" s="2">
        <f t="shared" si="14"/>
        <v>1243.939445559982</v>
      </c>
      <c r="X14" s="2">
        <f t="shared" si="14"/>
        <v>1252.3946969359547</v>
      </c>
      <c r="Y14" s="2">
        <f t="shared" si="14"/>
        <v>1260.9074199807342</v>
      </c>
      <c r="Z14" s="2">
        <f t="shared" si="14"/>
        <v>1269.478005338261</v>
      </c>
      <c r="AA14" s="2">
        <f t="shared" si="14"/>
        <v>1278.1068463077434</v>
      </c>
      <c r="AB14" s="2">
        <f t="shared" si="14"/>
        <v>1286.7943388617073</v>
      </c>
      <c r="AC14" s="2">
        <f t="shared" si="14"/>
        <v>1295.5408816641636</v>
      </c>
      <c r="AD14" s="2">
        <f t="shared" si="14"/>
        <v>1304.3468760889075</v>
      </c>
      <c r="AE14" s="2">
        <f t="shared" si="14"/>
        <v>1313.2127262379329</v>
      </c>
      <c r="AF14" s="2">
        <f t="shared" si="14"/>
        <v>1322.1388389599792</v>
      </c>
      <c r="AG14" s="2">
        <f t="shared" si="14"/>
        <v>1331.1256238692001</v>
      </c>
      <c r="AH14" s="2">
        <f t="shared" si="14"/>
        <v>1340.1734933639618</v>
      </c>
      <c r="AI14" s="2">
        <f t="shared" si="14"/>
        <v>1349.2828626457649</v>
      </c>
      <c r="AJ14" s="2">
        <f t="shared" si="14"/>
        <v>1358.4541497383027</v>
      </c>
      <c r="AK14" s="2">
        <f t="shared" si="14"/>
        <v>1367.6877755066371</v>
      </c>
      <c r="AL14" s="2">
        <f t="shared" si="14"/>
        <v>1376.9841636765191</v>
      </c>
      <c r="AM14" s="2">
        <f t="shared" si="14"/>
        <v>1386.3437408538289</v>
      </c>
      <c r="AN14" s="2">
        <f t="shared" si="14"/>
        <v>1395.7669365441534</v>
      </c>
      <c r="AO14" s="2">
        <f t="shared" si="14"/>
        <v>1405.2541831724968</v>
      </c>
      <c r="AP14" s="2">
        <f t="shared" si="14"/>
        <v>1414.8059161031238</v>
      </c>
      <c r="AQ14" s="2">
        <f t="shared" si="14"/>
        <v>1424.4225736595367</v>
      </c>
      <c r="AR14" s="2">
        <f t="shared" si="14"/>
        <v>1434.1045971445951</v>
      </c>
      <c r="AS14" s="2">
        <f t="shared" si="14"/>
        <v>1443.8524308607589</v>
      </c>
      <c r="AT14" s="2">
        <f t="shared" si="14"/>
        <v>1453.6665221304838</v>
      </c>
      <c r="AU14" s="2">
        <f t="shared" si="14"/>
        <v>1463.5473213167465</v>
      </c>
      <c r="AV14" s="2">
        <f t="shared" si="14"/>
        <v>1473.4952818437109</v>
      </c>
    </row>
    <row r="15" spans="1:48" x14ac:dyDescent="0.25">
      <c r="A15" s="354" t="s">
        <v>1701</v>
      </c>
      <c r="B15" t="s">
        <v>273</v>
      </c>
      <c r="C15" t="s">
        <v>1051</v>
      </c>
      <c r="D15">
        <f t="shared" si="11"/>
        <v>1160</v>
      </c>
      <c r="E15">
        <f t="shared" si="11"/>
        <v>1203</v>
      </c>
      <c r="F15">
        <f t="shared" si="11"/>
        <v>1132</v>
      </c>
      <c r="G15">
        <f t="shared" si="11"/>
        <v>977</v>
      </c>
      <c r="H15">
        <f t="shared" si="11"/>
        <v>1087</v>
      </c>
      <c r="I15">
        <f t="shared" si="11"/>
        <v>1171</v>
      </c>
      <c r="J15">
        <f t="shared" si="11"/>
        <v>1118</v>
      </c>
      <c r="K15">
        <f t="shared" si="11"/>
        <v>1149</v>
      </c>
      <c r="L15">
        <f t="shared" si="11"/>
        <v>1038</v>
      </c>
      <c r="M15">
        <f t="shared" si="11"/>
        <v>999</v>
      </c>
      <c r="N15" s="2">
        <f t="shared" ref="N15:AV15" si="15">IFERROR(IF($M15-$D15&gt;=0,($M15-$D15)/COUNT($E$1:$M$1)+M15,$F368*$E368^N$1),0)</f>
        <v>1036.0287177705784</v>
      </c>
      <c r="O15" s="2">
        <f t="shared" si="15"/>
        <v>1024.6386724981469</v>
      </c>
      <c r="P15" s="2">
        <f t="shared" si="15"/>
        <v>1013.373848784812</v>
      </c>
      <c r="Q15" s="2">
        <f t="shared" si="15"/>
        <v>1002.2328699513342</v>
      </c>
      <c r="R15" s="2">
        <f t="shared" si="15"/>
        <v>991.21437445361346</v>
      </c>
      <c r="S15" s="2">
        <f t="shared" si="15"/>
        <v>980.31701571629378</v>
      </c>
      <c r="T15" s="2">
        <f t="shared" si="15"/>
        <v>969.53946196819788</v>
      </c>
      <c r="U15" s="2">
        <f t="shared" si="15"/>
        <v>958.88039607957069</v>
      </c>
      <c r="V15" s="2">
        <f t="shared" si="15"/>
        <v>948.33851540111277</v>
      </c>
      <c r="W15" s="2">
        <f t="shared" si="15"/>
        <v>937.9125316047822</v>
      </c>
      <c r="X15" s="2">
        <f t="shared" si="15"/>
        <v>927.60117052634871</v>
      </c>
      <c r="Y15" s="2">
        <f t="shared" si="15"/>
        <v>917.40317200967502</v>
      </c>
      <c r="Z15" s="2">
        <f t="shared" si="15"/>
        <v>907.31728975271608</v>
      </c>
      <c r="AA15" s="2">
        <f t="shared" si="15"/>
        <v>897.34229115520441</v>
      </c>
      <c r="AB15" s="2">
        <f t="shared" si="15"/>
        <v>887.4769571680165</v>
      </c>
      <c r="AC15" s="2">
        <f t="shared" si="15"/>
        <v>877.72008214418929</v>
      </c>
      <c r="AD15" s="2">
        <f t="shared" si="15"/>
        <v>868.07047369158022</v>
      </c>
      <c r="AE15" s="2">
        <f t="shared" si="15"/>
        <v>858.52695252714329</v>
      </c>
      <c r="AF15" s="2">
        <f t="shared" si="15"/>
        <v>849.08835233280763</v>
      </c>
      <c r="AG15" s="2">
        <f t="shared" si="15"/>
        <v>839.75351961294234</v>
      </c>
      <c r="AH15" s="2">
        <f t="shared" si="15"/>
        <v>830.52131355338679</v>
      </c>
      <c r="AI15" s="2">
        <f t="shared" si="15"/>
        <v>821.39060588203131</v>
      </c>
      <c r="AJ15" s="2">
        <f t="shared" si="15"/>
        <v>812.36028073093098</v>
      </c>
      <c r="AK15" s="2">
        <f t="shared" si="15"/>
        <v>803.42923449993327</v>
      </c>
      <c r="AL15" s="2">
        <f t="shared" si="15"/>
        <v>794.59637572180861</v>
      </c>
      <c r="AM15" s="2">
        <f t="shared" si="15"/>
        <v>785.86062492886037</v>
      </c>
      <c r="AN15" s="2">
        <f t="shared" si="15"/>
        <v>777.22091452100381</v>
      </c>
      <c r="AO15" s="2">
        <f t="shared" si="15"/>
        <v>768.67618863529231</v>
      </c>
      <c r="AP15" s="2">
        <f t="shared" si="15"/>
        <v>760.22540301688161</v>
      </c>
      <c r="AQ15" s="2">
        <f t="shared" si="15"/>
        <v>751.86752489141065</v>
      </c>
      <c r="AR15" s="2">
        <f t="shared" si="15"/>
        <v>743.60153283878435</v>
      </c>
      <c r="AS15" s="2">
        <f t="shared" si="15"/>
        <v>735.42641666834754</v>
      </c>
      <c r="AT15" s="2">
        <f t="shared" si="15"/>
        <v>727.34117729542754</v>
      </c>
      <c r="AU15" s="2">
        <f t="shared" si="15"/>
        <v>719.3448266192363</v>
      </c>
      <c r="AV15" s="2">
        <f t="shared" si="15"/>
        <v>711.43638740211338</v>
      </c>
    </row>
    <row r="16" spans="1:48" x14ac:dyDescent="0.25">
      <c r="A16" s="354" t="s">
        <v>1702</v>
      </c>
      <c r="B16" t="s">
        <v>469</v>
      </c>
      <c r="C16" t="s">
        <v>1051</v>
      </c>
      <c r="D16">
        <f t="shared" si="11"/>
        <v>560</v>
      </c>
      <c r="E16">
        <f t="shared" si="11"/>
        <v>562</v>
      </c>
      <c r="F16">
        <f t="shared" si="11"/>
        <v>547</v>
      </c>
      <c r="G16">
        <f t="shared" si="11"/>
        <v>525</v>
      </c>
      <c r="H16">
        <f t="shared" si="11"/>
        <v>542</v>
      </c>
      <c r="I16">
        <f t="shared" si="11"/>
        <v>538</v>
      </c>
      <c r="J16">
        <f t="shared" si="11"/>
        <v>527</v>
      </c>
      <c r="K16">
        <f t="shared" si="11"/>
        <v>546</v>
      </c>
      <c r="L16">
        <f t="shared" si="11"/>
        <v>459</v>
      </c>
      <c r="M16">
        <f t="shared" si="11"/>
        <v>473</v>
      </c>
      <c r="N16" s="2">
        <f t="shared" ref="N16:AV16" si="16">IFERROR(IF($M16-$D16&gt;=0,($M16-$D16)/COUNT($E$1:$M$1)+M16,$F369*$E369^N$1),0)</f>
        <v>477.60056570320302</v>
      </c>
      <c r="O16" s="2">
        <f t="shared" si="16"/>
        <v>469.16060352470362</v>
      </c>
      <c r="P16" s="2">
        <f t="shared" si="16"/>
        <v>460.86978891153348</v>
      </c>
      <c r="Q16" s="2">
        <f t="shared" si="16"/>
        <v>452.72548618881945</v>
      </c>
      <c r="R16" s="2">
        <f t="shared" si="16"/>
        <v>444.72510625825862</v>
      </c>
      <c r="S16" s="2">
        <f t="shared" si="16"/>
        <v>436.8661057750362</v>
      </c>
      <c r="T16" s="2">
        <f t="shared" si="16"/>
        <v>429.14598633928802</v>
      </c>
      <c r="U16" s="2">
        <f t="shared" si="16"/>
        <v>421.56229370185247</v>
      </c>
      <c r="V16" s="2">
        <f t="shared" si="16"/>
        <v>414.11261698405696</v>
      </c>
      <c r="W16" s="2">
        <f t="shared" si="16"/>
        <v>406.79458791129247</v>
      </c>
      <c r="X16" s="2">
        <f t="shared" si="16"/>
        <v>399.60588006013143</v>
      </c>
      <c r="Y16" s="2">
        <f t="shared" si="16"/>
        <v>392.54420811875144</v>
      </c>
      <c r="Z16" s="2">
        <f t="shared" si="16"/>
        <v>385.60732716042764</v>
      </c>
      <c r="AA16" s="2">
        <f t="shared" si="16"/>
        <v>378.79303192986322</v>
      </c>
      <c r="AB16" s="2">
        <f t="shared" si="16"/>
        <v>372.09915614213253</v>
      </c>
      <c r="AC16" s="2">
        <f t="shared" si="16"/>
        <v>365.52357179401264</v>
      </c>
      <c r="AD16" s="2">
        <f t="shared" si="16"/>
        <v>359.06418848748484</v>
      </c>
      <c r="AE16" s="2">
        <f t="shared" si="16"/>
        <v>352.71895276519052</v>
      </c>
      <c r="AF16" s="2">
        <f t="shared" si="16"/>
        <v>346.48584745763088</v>
      </c>
      <c r="AG16" s="2">
        <f t="shared" si="16"/>
        <v>340.36289104190297</v>
      </c>
      <c r="AH16" s="2">
        <f t="shared" si="16"/>
        <v>334.34813701176739</v>
      </c>
      <c r="AI16" s="2">
        <f t="shared" si="16"/>
        <v>328.4396732588483</v>
      </c>
      <c r="AJ16" s="2">
        <f t="shared" si="16"/>
        <v>322.63562146476818</v>
      </c>
      <c r="AK16" s="2">
        <f t="shared" si="16"/>
        <v>316.93413650402482</v>
      </c>
      <c r="AL16" s="2">
        <f t="shared" si="16"/>
        <v>311.33340585742081</v>
      </c>
      <c r="AM16" s="2">
        <f t="shared" si="16"/>
        <v>305.83164903585759</v>
      </c>
      <c r="AN16" s="2">
        <f t="shared" si="16"/>
        <v>300.42711701431313</v>
      </c>
      <c r="AO16" s="2">
        <f t="shared" si="16"/>
        <v>295.11809167582112</v>
      </c>
      <c r="AP16" s="2">
        <f t="shared" si="16"/>
        <v>289.90288526527701</v>
      </c>
      <c r="AQ16" s="2">
        <f t="shared" si="16"/>
        <v>284.77983985289512</v>
      </c>
      <c r="AR16" s="2">
        <f t="shared" si="16"/>
        <v>279.747326807148</v>
      </c>
      <c r="AS16" s="2">
        <f t="shared" si="16"/>
        <v>274.80374627701974</v>
      </c>
      <c r="AT16" s="2">
        <f t="shared" si="16"/>
        <v>269.94752668340783</v>
      </c>
      <c r="AU16" s="2">
        <f t="shared" si="16"/>
        <v>265.1771242195145</v>
      </c>
      <c r="AV16" s="2">
        <f t="shared" si="16"/>
        <v>260.49102236006496</v>
      </c>
    </row>
    <row r="17" spans="1:48" x14ac:dyDescent="0.25">
      <c r="A17" s="354" t="s">
        <v>1703</v>
      </c>
      <c r="B17" t="s">
        <v>459</v>
      </c>
      <c r="C17" t="s">
        <v>1051</v>
      </c>
      <c r="D17">
        <f t="shared" si="11"/>
        <v>0</v>
      </c>
      <c r="E17">
        <f t="shared" si="11"/>
        <v>0</v>
      </c>
      <c r="F17">
        <f t="shared" si="11"/>
        <v>0</v>
      </c>
      <c r="G17">
        <f t="shared" si="11"/>
        <v>0</v>
      </c>
      <c r="H17">
        <f t="shared" si="11"/>
        <v>0</v>
      </c>
      <c r="I17">
        <f t="shared" si="11"/>
        <v>0</v>
      </c>
      <c r="J17">
        <f t="shared" si="11"/>
        <v>0</v>
      </c>
      <c r="K17">
        <f t="shared" si="11"/>
        <v>0</v>
      </c>
      <c r="L17">
        <f t="shared" si="11"/>
        <v>0</v>
      </c>
      <c r="M17">
        <f t="shared" si="11"/>
        <v>0</v>
      </c>
      <c r="N17" s="2">
        <f t="shared" ref="N17:AV17" si="17">IFERROR(IF($M17-$D17&gt;=0,($M17-$D17)/COUNT($E$1:$M$1)+M17,$F370*$E370^N$1),0)</f>
        <v>0</v>
      </c>
      <c r="O17" s="2">
        <f t="shared" si="17"/>
        <v>0</v>
      </c>
      <c r="P17" s="2">
        <f t="shared" si="17"/>
        <v>0</v>
      </c>
      <c r="Q17" s="2">
        <f t="shared" si="17"/>
        <v>0</v>
      </c>
      <c r="R17" s="2">
        <f t="shared" si="17"/>
        <v>0</v>
      </c>
      <c r="S17" s="2">
        <f t="shared" si="17"/>
        <v>0</v>
      </c>
      <c r="T17" s="2">
        <f t="shared" si="17"/>
        <v>0</v>
      </c>
      <c r="U17" s="2">
        <f t="shared" si="17"/>
        <v>0</v>
      </c>
      <c r="V17" s="2">
        <f t="shared" si="17"/>
        <v>0</v>
      </c>
      <c r="W17" s="2">
        <f t="shared" si="17"/>
        <v>0</v>
      </c>
      <c r="X17" s="2">
        <f t="shared" si="17"/>
        <v>0</v>
      </c>
      <c r="Y17" s="2">
        <f t="shared" si="17"/>
        <v>0</v>
      </c>
      <c r="Z17" s="2">
        <f t="shared" si="17"/>
        <v>0</v>
      </c>
      <c r="AA17" s="2">
        <f t="shared" si="17"/>
        <v>0</v>
      </c>
      <c r="AB17" s="2">
        <f t="shared" si="17"/>
        <v>0</v>
      </c>
      <c r="AC17" s="2">
        <f t="shared" si="17"/>
        <v>0</v>
      </c>
      <c r="AD17" s="2">
        <f t="shared" si="17"/>
        <v>0</v>
      </c>
      <c r="AE17" s="2">
        <f t="shared" si="17"/>
        <v>0</v>
      </c>
      <c r="AF17" s="2">
        <f t="shared" si="17"/>
        <v>0</v>
      </c>
      <c r="AG17" s="2">
        <f t="shared" si="17"/>
        <v>0</v>
      </c>
      <c r="AH17" s="2">
        <f t="shared" si="17"/>
        <v>0</v>
      </c>
      <c r="AI17" s="2">
        <f t="shared" si="17"/>
        <v>0</v>
      </c>
      <c r="AJ17" s="2">
        <f t="shared" si="17"/>
        <v>0</v>
      </c>
      <c r="AK17" s="2">
        <f t="shared" si="17"/>
        <v>0</v>
      </c>
      <c r="AL17" s="2">
        <f t="shared" si="17"/>
        <v>0</v>
      </c>
      <c r="AM17" s="2">
        <f t="shared" si="17"/>
        <v>0</v>
      </c>
      <c r="AN17" s="2">
        <f t="shared" si="17"/>
        <v>0</v>
      </c>
      <c r="AO17" s="2">
        <f t="shared" si="17"/>
        <v>0</v>
      </c>
      <c r="AP17" s="2">
        <f t="shared" si="17"/>
        <v>0</v>
      </c>
      <c r="AQ17" s="2">
        <f t="shared" si="17"/>
        <v>0</v>
      </c>
      <c r="AR17" s="2">
        <f t="shared" si="17"/>
        <v>0</v>
      </c>
      <c r="AS17" s="2">
        <f t="shared" si="17"/>
        <v>0</v>
      </c>
      <c r="AT17" s="2">
        <f t="shared" si="17"/>
        <v>0</v>
      </c>
      <c r="AU17" s="2">
        <f t="shared" si="17"/>
        <v>0</v>
      </c>
      <c r="AV17" s="2">
        <f t="shared" si="17"/>
        <v>0</v>
      </c>
    </row>
    <row r="18" spans="1:48" x14ac:dyDescent="0.25">
      <c r="A18" s="354" t="s">
        <v>1704</v>
      </c>
      <c r="B18" t="s">
        <v>463</v>
      </c>
      <c r="C18" t="s">
        <v>1051</v>
      </c>
      <c r="D18">
        <f t="shared" si="11"/>
        <v>0</v>
      </c>
      <c r="E18">
        <f t="shared" si="11"/>
        <v>0</v>
      </c>
      <c r="F18">
        <f t="shared" si="11"/>
        <v>0</v>
      </c>
      <c r="G18">
        <f t="shared" si="11"/>
        <v>0</v>
      </c>
      <c r="H18">
        <f t="shared" si="11"/>
        <v>0</v>
      </c>
      <c r="I18">
        <f t="shared" si="11"/>
        <v>0</v>
      </c>
      <c r="J18">
        <f t="shared" si="11"/>
        <v>0</v>
      </c>
      <c r="K18">
        <f t="shared" si="11"/>
        <v>0</v>
      </c>
      <c r="L18">
        <f t="shared" si="11"/>
        <v>0</v>
      </c>
      <c r="M18">
        <f t="shared" si="11"/>
        <v>0</v>
      </c>
      <c r="N18" s="2">
        <f t="shared" ref="N18:AV18" si="18">IFERROR(IF($M18-$D18&gt;=0,($M18-$D18)/COUNT($E$1:$M$1)+M18,$F371*$E371^N$1),0)</f>
        <v>0</v>
      </c>
      <c r="O18" s="2">
        <f t="shared" si="18"/>
        <v>0</v>
      </c>
      <c r="P18" s="2">
        <f t="shared" si="18"/>
        <v>0</v>
      </c>
      <c r="Q18" s="2">
        <f t="shared" si="18"/>
        <v>0</v>
      </c>
      <c r="R18" s="2">
        <f t="shared" si="18"/>
        <v>0</v>
      </c>
      <c r="S18" s="2">
        <f t="shared" si="18"/>
        <v>0</v>
      </c>
      <c r="T18" s="2">
        <f t="shared" si="18"/>
        <v>0</v>
      </c>
      <c r="U18" s="2">
        <f t="shared" si="18"/>
        <v>0</v>
      </c>
      <c r="V18" s="2">
        <f t="shared" si="18"/>
        <v>0</v>
      </c>
      <c r="W18" s="2">
        <f t="shared" si="18"/>
        <v>0</v>
      </c>
      <c r="X18" s="2">
        <f t="shared" si="18"/>
        <v>0</v>
      </c>
      <c r="Y18" s="2">
        <f t="shared" si="18"/>
        <v>0</v>
      </c>
      <c r="Z18" s="2">
        <f t="shared" si="18"/>
        <v>0</v>
      </c>
      <c r="AA18" s="2">
        <f t="shared" si="18"/>
        <v>0</v>
      </c>
      <c r="AB18" s="2">
        <f t="shared" si="18"/>
        <v>0</v>
      </c>
      <c r="AC18" s="2">
        <f t="shared" si="18"/>
        <v>0</v>
      </c>
      <c r="AD18" s="2">
        <f t="shared" si="18"/>
        <v>0</v>
      </c>
      <c r="AE18" s="2">
        <f t="shared" si="18"/>
        <v>0</v>
      </c>
      <c r="AF18" s="2">
        <f t="shared" si="18"/>
        <v>0</v>
      </c>
      <c r="AG18" s="2">
        <f t="shared" si="18"/>
        <v>0</v>
      </c>
      <c r="AH18" s="2">
        <f t="shared" si="18"/>
        <v>0</v>
      </c>
      <c r="AI18" s="2">
        <f t="shared" si="18"/>
        <v>0</v>
      </c>
      <c r="AJ18" s="2">
        <f t="shared" si="18"/>
        <v>0</v>
      </c>
      <c r="AK18" s="2">
        <f t="shared" si="18"/>
        <v>0</v>
      </c>
      <c r="AL18" s="2">
        <f t="shared" si="18"/>
        <v>0</v>
      </c>
      <c r="AM18" s="2">
        <f t="shared" si="18"/>
        <v>0</v>
      </c>
      <c r="AN18" s="2">
        <f t="shared" si="18"/>
        <v>0</v>
      </c>
      <c r="AO18" s="2">
        <f t="shared" si="18"/>
        <v>0</v>
      </c>
      <c r="AP18" s="2">
        <f t="shared" si="18"/>
        <v>0</v>
      </c>
      <c r="AQ18" s="2">
        <f t="shared" si="18"/>
        <v>0</v>
      </c>
      <c r="AR18" s="2">
        <f t="shared" si="18"/>
        <v>0</v>
      </c>
      <c r="AS18" s="2">
        <f t="shared" si="18"/>
        <v>0</v>
      </c>
      <c r="AT18" s="2">
        <f t="shared" si="18"/>
        <v>0</v>
      </c>
      <c r="AU18" s="2">
        <f t="shared" si="18"/>
        <v>0</v>
      </c>
      <c r="AV18" s="2">
        <f t="shared" si="18"/>
        <v>0</v>
      </c>
    </row>
    <row r="19" spans="1:48" x14ac:dyDescent="0.25">
      <c r="A19" s="354" t="s">
        <v>1705</v>
      </c>
      <c r="B19" t="s">
        <v>463</v>
      </c>
      <c r="C19" t="s">
        <v>1051</v>
      </c>
      <c r="D19">
        <f t="shared" si="11"/>
        <v>0</v>
      </c>
      <c r="E19">
        <f t="shared" si="11"/>
        <v>0</v>
      </c>
      <c r="F19">
        <f t="shared" si="11"/>
        <v>0</v>
      </c>
      <c r="G19">
        <f t="shared" si="11"/>
        <v>0</v>
      </c>
      <c r="H19">
        <f t="shared" si="11"/>
        <v>0</v>
      </c>
      <c r="I19">
        <f t="shared" si="11"/>
        <v>0</v>
      </c>
      <c r="J19">
        <f t="shared" si="11"/>
        <v>0</v>
      </c>
      <c r="K19">
        <f t="shared" si="11"/>
        <v>0</v>
      </c>
      <c r="L19">
        <f t="shared" si="11"/>
        <v>0</v>
      </c>
      <c r="M19">
        <f t="shared" si="11"/>
        <v>0</v>
      </c>
      <c r="N19" s="2">
        <f t="shared" ref="N19:AV19" si="19">IFERROR(IF($M19-$D19&gt;=0,($M19-$D19)/COUNT($E$1:$M$1)+M19,$F372*$E372^N$1),0)</f>
        <v>0</v>
      </c>
      <c r="O19" s="2">
        <f t="shared" si="19"/>
        <v>0</v>
      </c>
      <c r="P19" s="2">
        <f t="shared" si="19"/>
        <v>0</v>
      </c>
      <c r="Q19" s="2">
        <f t="shared" si="19"/>
        <v>0</v>
      </c>
      <c r="R19" s="2">
        <f t="shared" si="19"/>
        <v>0</v>
      </c>
      <c r="S19" s="2">
        <f t="shared" si="19"/>
        <v>0</v>
      </c>
      <c r="T19" s="2">
        <f t="shared" si="19"/>
        <v>0</v>
      </c>
      <c r="U19" s="2">
        <f t="shared" si="19"/>
        <v>0</v>
      </c>
      <c r="V19" s="2">
        <f t="shared" si="19"/>
        <v>0</v>
      </c>
      <c r="W19" s="2">
        <f t="shared" si="19"/>
        <v>0</v>
      </c>
      <c r="X19" s="2">
        <f t="shared" si="19"/>
        <v>0</v>
      </c>
      <c r="Y19" s="2">
        <f t="shared" si="19"/>
        <v>0</v>
      </c>
      <c r="Z19" s="2">
        <f t="shared" si="19"/>
        <v>0</v>
      </c>
      <c r="AA19" s="2">
        <f t="shared" si="19"/>
        <v>0</v>
      </c>
      <c r="AB19" s="2">
        <f t="shared" si="19"/>
        <v>0</v>
      </c>
      <c r="AC19" s="2">
        <f t="shared" si="19"/>
        <v>0</v>
      </c>
      <c r="AD19" s="2">
        <f t="shared" si="19"/>
        <v>0</v>
      </c>
      <c r="AE19" s="2">
        <f t="shared" si="19"/>
        <v>0</v>
      </c>
      <c r="AF19" s="2">
        <f t="shared" si="19"/>
        <v>0</v>
      </c>
      <c r="AG19" s="2">
        <f t="shared" si="19"/>
        <v>0</v>
      </c>
      <c r="AH19" s="2">
        <f t="shared" si="19"/>
        <v>0</v>
      </c>
      <c r="AI19" s="2">
        <f t="shared" si="19"/>
        <v>0</v>
      </c>
      <c r="AJ19" s="2">
        <f t="shared" si="19"/>
        <v>0</v>
      </c>
      <c r="AK19" s="2">
        <f t="shared" si="19"/>
        <v>0</v>
      </c>
      <c r="AL19" s="2">
        <f t="shared" si="19"/>
        <v>0</v>
      </c>
      <c r="AM19" s="2">
        <f t="shared" si="19"/>
        <v>0</v>
      </c>
      <c r="AN19" s="2">
        <f t="shared" si="19"/>
        <v>0</v>
      </c>
      <c r="AO19" s="2">
        <f t="shared" si="19"/>
        <v>0</v>
      </c>
      <c r="AP19" s="2">
        <f t="shared" si="19"/>
        <v>0</v>
      </c>
      <c r="AQ19" s="2">
        <f t="shared" si="19"/>
        <v>0</v>
      </c>
      <c r="AR19" s="2">
        <f t="shared" si="19"/>
        <v>0</v>
      </c>
      <c r="AS19" s="2">
        <f t="shared" si="19"/>
        <v>0</v>
      </c>
      <c r="AT19" s="2">
        <f t="shared" si="19"/>
        <v>0</v>
      </c>
      <c r="AU19" s="2">
        <f t="shared" si="19"/>
        <v>0</v>
      </c>
      <c r="AV19" s="2">
        <f t="shared" si="19"/>
        <v>0</v>
      </c>
    </row>
    <row r="20" spans="1:48" x14ac:dyDescent="0.25">
      <c r="A20" s="356" t="s">
        <v>1985</v>
      </c>
      <c r="B20" t="s">
        <v>469</v>
      </c>
      <c r="C20" t="s">
        <v>1051</v>
      </c>
      <c r="D20">
        <f t="shared" si="11"/>
        <v>0</v>
      </c>
      <c r="E20">
        <f t="shared" si="11"/>
        <v>0</v>
      </c>
      <c r="F20">
        <f t="shared" si="11"/>
        <v>0</v>
      </c>
      <c r="G20">
        <f t="shared" si="11"/>
        <v>0</v>
      </c>
      <c r="H20">
        <f t="shared" si="11"/>
        <v>0</v>
      </c>
      <c r="I20">
        <f t="shared" si="11"/>
        <v>0</v>
      </c>
      <c r="J20">
        <f t="shared" si="11"/>
        <v>0</v>
      </c>
      <c r="K20">
        <f t="shared" si="11"/>
        <v>0</v>
      </c>
      <c r="L20">
        <f t="shared" si="11"/>
        <v>0</v>
      </c>
      <c r="M20">
        <f t="shared" si="11"/>
        <v>0</v>
      </c>
      <c r="N20" s="2">
        <f t="shared" ref="N20:AV20" si="20">IFERROR(IF($M20-$D20&gt;=0,($M20-$D20)/COUNT($E$1:$M$1)+M20,$F373*$E373^N$1),0)</f>
        <v>0</v>
      </c>
      <c r="O20" s="2">
        <f t="shared" si="20"/>
        <v>0</v>
      </c>
      <c r="P20" s="2">
        <f t="shared" si="20"/>
        <v>0</v>
      </c>
      <c r="Q20" s="2">
        <f t="shared" si="20"/>
        <v>0</v>
      </c>
      <c r="R20" s="2">
        <f t="shared" si="20"/>
        <v>0</v>
      </c>
      <c r="S20" s="2">
        <f t="shared" si="20"/>
        <v>0</v>
      </c>
      <c r="T20" s="2">
        <f t="shared" si="20"/>
        <v>0</v>
      </c>
      <c r="U20" s="2">
        <f t="shared" si="20"/>
        <v>0</v>
      </c>
      <c r="V20" s="2">
        <f t="shared" si="20"/>
        <v>0</v>
      </c>
      <c r="W20" s="2">
        <f t="shared" si="20"/>
        <v>0</v>
      </c>
      <c r="X20" s="2">
        <f t="shared" si="20"/>
        <v>0</v>
      </c>
      <c r="Y20" s="2">
        <f t="shared" si="20"/>
        <v>0</v>
      </c>
      <c r="Z20" s="2">
        <f t="shared" si="20"/>
        <v>0</v>
      </c>
      <c r="AA20" s="2">
        <f t="shared" si="20"/>
        <v>0</v>
      </c>
      <c r="AB20" s="2">
        <f t="shared" si="20"/>
        <v>0</v>
      </c>
      <c r="AC20" s="2">
        <f t="shared" si="20"/>
        <v>0</v>
      </c>
      <c r="AD20" s="2">
        <f t="shared" si="20"/>
        <v>0</v>
      </c>
      <c r="AE20" s="2">
        <f t="shared" si="20"/>
        <v>0</v>
      </c>
      <c r="AF20" s="2">
        <f t="shared" si="20"/>
        <v>0</v>
      </c>
      <c r="AG20" s="2">
        <f t="shared" si="20"/>
        <v>0</v>
      </c>
      <c r="AH20" s="2">
        <f t="shared" si="20"/>
        <v>0</v>
      </c>
      <c r="AI20" s="2">
        <f t="shared" si="20"/>
        <v>0</v>
      </c>
      <c r="AJ20" s="2">
        <f t="shared" si="20"/>
        <v>0</v>
      </c>
      <c r="AK20" s="2">
        <f t="shared" si="20"/>
        <v>0</v>
      </c>
      <c r="AL20" s="2">
        <f t="shared" si="20"/>
        <v>0</v>
      </c>
      <c r="AM20" s="2">
        <f t="shared" si="20"/>
        <v>0</v>
      </c>
      <c r="AN20" s="2">
        <f t="shared" si="20"/>
        <v>0</v>
      </c>
      <c r="AO20" s="2">
        <f t="shared" si="20"/>
        <v>0</v>
      </c>
      <c r="AP20" s="2">
        <f t="shared" si="20"/>
        <v>0</v>
      </c>
      <c r="AQ20" s="2">
        <f t="shared" si="20"/>
        <v>0</v>
      </c>
      <c r="AR20" s="2">
        <f t="shared" si="20"/>
        <v>0</v>
      </c>
      <c r="AS20" s="2">
        <f t="shared" si="20"/>
        <v>0</v>
      </c>
      <c r="AT20" s="2">
        <f t="shared" si="20"/>
        <v>0</v>
      </c>
      <c r="AU20" s="2">
        <f t="shared" si="20"/>
        <v>0</v>
      </c>
      <c r="AV20" s="2">
        <f t="shared" si="20"/>
        <v>0</v>
      </c>
    </row>
    <row r="21" spans="1:48" x14ac:dyDescent="0.25">
      <c r="A21" s="359" t="s">
        <v>1971</v>
      </c>
      <c r="B21" t="s">
        <v>1710</v>
      </c>
      <c r="C21" t="s">
        <v>1051</v>
      </c>
      <c r="D21">
        <f t="shared" si="11"/>
        <v>7284</v>
      </c>
      <c r="E21">
        <f t="shared" si="11"/>
        <v>7365</v>
      </c>
      <c r="F21">
        <f t="shared" si="11"/>
        <v>5885</v>
      </c>
      <c r="G21">
        <f t="shared" si="11"/>
        <v>7583</v>
      </c>
      <c r="H21">
        <f t="shared" si="11"/>
        <v>9560</v>
      </c>
      <c r="I21">
        <f t="shared" si="11"/>
        <v>9335</v>
      </c>
      <c r="J21">
        <f t="shared" si="11"/>
        <v>8022</v>
      </c>
      <c r="K21">
        <f t="shared" si="11"/>
        <v>10414</v>
      </c>
      <c r="L21">
        <f t="shared" si="11"/>
        <v>11811</v>
      </c>
      <c r="M21">
        <f t="shared" si="11"/>
        <v>11236</v>
      </c>
      <c r="N21" s="2">
        <f t="shared" ref="N21:AV21" si="21">IFERROR(IF($M21-$D21&gt;=0,($M21-$D21)/COUNT($E$1:$M$1)+M21,$F374*$E374^N$1),0)</f>
        <v>11675.111111111111</v>
      </c>
      <c r="O21" s="2">
        <f t="shared" si="21"/>
        <v>12114.222222222223</v>
      </c>
      <c r="P21" s="2">
        <f t="shared" si="21"/>
        <v>12553.333333333334</v>
      </c>
      <c r="Q21" s="2">
        <f t="shared" si="21"/>
        <v>12992.444444444445</v>
      </c>
      <c r="R21" s="2">
        <f t="shared" si="21"/>
        <v>13431.555555555557</v>
      </c>
      <c r="S21" s="2">
        <f t="shared" si="21"/>
        <v>13870.666666666668</v>
      </c>
      <c r="T21" s="2">
        <f t="shared" si="21"/>
        <v>14309.777777777779</v>
      </c>
      <c r="U21" s="2">
        <f t="shared" si="21"/>
        <v>14748.888888888891</v>
      </c>
      <c r="V21" s="2">
        <f t="shared" si="21"/>
        <v>15188.000000000002</v>
      </c>
      <c r="W21" s="2">
        <f t="shared" si="21"/>
        <v>15627.111111111113</v>
      </c>
      <c r="X21" s="2">
        <f t="shared" si="21"/>
        <v>16066.222222222224</v>
      </c>
      <c r="Y21" s="2">
        <f t="shared" si="21"/>
        <v>16505.333333333336</v>
      </c>
      <c r="Z21" s="2">
        <f t="shared" si="21"/>
        <v>16944.444444444445</v>
      </c>
      <c r="AA21" s="2">
        <f t="shared" si="21"/>
        <v>17383.555555555555</v>
      </c>
      <c r="AB21" s="2">
        <f t="shared" si="21"/>
        <v>17822.666666666664</v>
      </c>
      <c r="AC21" s="2">
        <f t="shared" si="21"/>
        <v>18261.777777777774</v>
      </c>
      <c r="AD21" s="2">
        <f t="shared" si="21"/>
        <v>18700.888888888883</v>
      </c>
      <c r="AE21" s="2">
        <f t="shared" si="21"/>
        <v>19139.999999999993</v>
      </c>
      <c r="AF21" s="2">
        <f t="shared" si="21"/>
        <v>19579.111111111102</v>
      </c>
      <c r="AG21" s="2">
        <f t="shared" si="21"/>
        <v>20018.222222222212</v>
      </c>
      <c r="AH21" s="2">
        <f t="shared" si="21"/>
        <v>20457.333333333321</v>
      </c>
      <c r="AI21" s="2">
        <f t="shared" si="21"/>
        <v>20896.444444444431</v>
      </c>
      <c r="AJ21" s="2">
        <f t="shared" si="21"/>
        <v>21335.55555555554</v>
      </c>
      <c r="AK21" s="2">
        <f t="shared" si="21"/>
        <v>21774.66666666665</v>
      </c>
      <c r="AL21" s="2">
        <f t="shared" si="21"/>
        <v>22213.777777777759</v>
      </c>
      <c r="AM21" s="2">
        <f t="shared" si="21"/>
        <v>22652.888888888869</v>
      </c>
      <c r="AN21" s="2">
        <f t="shared" si="21"/>
        <v>23091.999999999978</v>
      </c>
      <c r="AO21" s="2">
        <f t="shared" si="21"/>
        <v>23531.111111111088</v>
      </c>
      <c r="AP21" s="2">
        <f t="shared" si="21"/>
        <v>23970.222222222197</v>
      </c>
      <c r="AQ21" s="2">
        <f t="shared" si="21"/>
        <v>24409.333333333307</v>
      </c>
      <c r="AR21" s="2">
        <f t="shared" si="21"/>
        <v>24848.444444444416</v>
      </c>
      <c r="AS21" s="2">
        <f t="shared" si="21"/>
        <v>25287.555555555526</v>
      </c>
      <c r="AT21" s="2">
        <f t="shared" si="21"/>
        <v>25726.666666666635</v>
      </c>
      <c r="AU21" s="2">
        <f t="shared" si="21"/>
        <v>26165.777777777745</v>
      </c>
      <c r="AV21" s="2">
        <f t="shared" si="21"/>
        <v>26604.888888888854</v>
      </c>
    </row>
    <row r="22" spans="1:48" x14ac:dyDescent="0.25">
      <c r="A22" s="354" t="s">
        <v>1972</v>
      </c>
      <c r="B22" t="s">
        <v>469</v>
      </c>
      <c r="C22" t="s">
        <v>1051</v>
      </c>
      <c r="D22">
        <f t="shared" si="11"/>
        <v>3656</v>
      </c>
      <c r="E22">
        <f t="shared" si="11"/>
        <v>3757</v>
      </c>
      <c r="F22">
        <f t="shared" si="11"/>
        <v>3613</v>
      </c>
      <c r="G22">
        <f t="shared" si="11"/>
        <v>3555</v>
      </c>
      <c r="H22">
        <f t="shared" si="11"/>
        <v>3778</v>
      </c>
      <c r="I22">
        <f t="shared" si="11"/>
        <v>4097</v>
      </c>
      <c r="J22">
        <f t="shared" si="11"/>
        <v>4267</v>
      </c>
      <c r="K22">
        <f t="shared" si="11"/>
        <v>4504</v>
      </c>
      <c r="L22">
        <f t="shared" si="11"/>
        <v>4781</v>
      </c>
      <c r="M22">
        <f t="shared" si="11"/>
        <v>5032</v>
      </c>
      <c r="N22" s="2">
        <f t="shared" ref="N22:AV22" si="22">IFERROR(IF($M22-$D22&gt;=0,($M22-$D22)/COUNT($E$1:$M$1)+M22,$F375*$E375^N$1),0)</f>
        <v>5184.8888888888887</v>
      </c>
      <c r="O22" s="2">
        <f t="shared" si="22"/>
        <v>5337.7777777777774</v>
      </c>
      <c r="P22" s="2">
        <f t="shared" si="22"/>
        <v>5490.6666666666661</v>
      </c>
      <c r="Q22" s="2">
        <f t="shared" si="22"/>
        <v>5643.5555555555547</v>
      </c>
      <c r="R22" s="2">
        <f t="shared" si="22"/>
        <v>5796.4444444444434</v>
      </c>
      <c r="S22" s="2">
        <f t="shared" si="22"/>
        <v>5949.3333333333321</v>
      </c>
      <c r="T22" s="2">
        <f t="shared" si="22"/>
        <v>6102.2222222222208</v>
      </c>
      <c r="U22" s="2">
        <f t="shared" si="22"/>
        <v>6255.1111111111095</v>
      </c>
      <c r="V22" s="2">
        <f t="shared" si="22"/>
        <v>6407.9999999999982</v>
      </c>
      <c r="W22" s="2">
        <f t="shared" si="22"/>
        <v>6560.8888888888869</v>
      </c>
      <c r="X22" s="2">
        <f t="shared" si="22"/>
        <v>6713.7777777777756</v>
      </c>
      <c r="Y22" s="2">
        <f t="shared" si="22"/>
        <v>6866.6666666666642</v>
      </c>
      <c r="Z22" s="2">
        <f t="shared" si="22"/>
        <v>7019.5555555555529</v>
      </c>
      <c r="AA22" s="2">
        <f t="shared" si="22"/>
        <v>7172.4444444444416</v>
      </c>
      <c r="AB22" s="2">
        <f t="shared" si="22"/>
        <v>7325.3333333333303</v>
      </c>
      <c r="AC22" s="2">
        <f t="shared" si="22"/>
        <v>7478.222222222219</v>
      </c>
      <c r="AD22" s="2">
        <f t="shared" si="22"/>
        <v>7631.1111111111077</v>
      </c>
      <c r="AE22" s="2">
        <f t="shared" si="22"/>
        <v>7783.9999999999964</v>
      </c>
      <c r="AF22" s="2">
        <f t="shared" si="22"/>
        <v>7936.888888888885</v>
      </c>
      <c r="AG22" s="2">
        <f t="shared" si="22"/>
        <v>8089.7777777777737</v>
      </c>
      <c r="AH22" s="2">
        <f t="shared" si="22"/>
        <v>8242.6666666666624</v>
      </c>
      <c r="AI22" s="2">
        <f t="shared" si="22"/>
        <v>8395.5555555555511</v>
      </c>
      <c r="AJ22" s="2">
        <f t="shared" si="22"/>
        <v>8548.4444444444398</v>
      </c>
      <c r="AK22" s="2">
        <f t="shared" si="22"/>
        <v>8701.3333333333285</v>
      </c>
      <c r="AL22" s="2">
        <f t="shared" si="22"/>
        <v>8854.2222222222172</v>
      </c>
      <c r="AM22" s="2">
        <f t="shared" si="22"/>
        <v>9007.1111111111059</v>
      </c>
      <c r="AN22" s="2">
        <f t="shared" si="22"/>
        <v>9159.9999999999945</v>
      </c>
      <c r="AO22" s="2">
        <f t="shared" si="22"/>
        <v>9312.8888888888832</v>
      </c>
      <c r="AP22" s="2">
        <f t="shared" si="22"/>
        <v>9465.7777777777719</v>
      </c>
      <c r="AQ22" s="2">
        <f t="shared" si="22"/>
        <v>9618.6666666666606</v>
      </c>
      <c r="AR22" s="2">
        <f t="shared" si="22"/>
        <v>9771.5555555555493</v>
      </c>
      <c r="AS22" s="2">
        <f t="shared" si="22"/>
        <v>9924.444444444438</v>
      </c>
      <c r="AT22" s="2">
        <f t="shared" si="22"/>
        <v>10077.333333333327</v>
      </c>
      <c r="AU22" s="2">
        <f t="shared" si="22"/>
        <v>10230.222222222215</v>
      </c>
      <c r="AV22" s="2">
        <f t="shared" si="22"/>
        <v>10383.111111111104</v>
      </c>
    </row>
    <row r="23" spans="1:48" s="105" customFormat="1" x14ac:dyDescent="0.25">
      <c r="A23" s="357" t="s">
        <v>1973</v>
      </c>
      <c r="B23" s="105" t="s">
        <v>1988</v>
      </c>
      <c r="C23" s="105" t="s">
        <v>1051</v>
      </c>
      <c r="D23" s="105">
        <f t="shared" si="11"/>
        <v>12528</v>
      </c>
      <c r="E23" s="105">
        <f t="shared" si="11"/>
        <v>12733</v>
      </c>
      <c r="F23" s="105">
        <f t="shared" si="11"/>
        <v>11892</v>
      </c>
      <c r="G23" s="105">
        <f t="shared" si="11"/>
        <v>11318</v>
      </c>
      <c r="H23" s="105">
        <f t="shared" si="11"/>
        <v>11047</v>
      </c>
      <c r="I23" s="105">
        <f t="shared" si="11"/>
        <v>10564</v>
      </c>
      <c r="J23" s="105">
        <f t="shared" si="11"/>
        <v>10379</v>
      </c>
      <c r="K23" s="105">
        <f t="shared" si="11"/>
        <v>10398</v>
      </c>
      <c r="L23" s="105">
        <f t="shared" si="11"/>
        <v>10608</v>
      </c>
      <c r="M23" s="105">
        <f t="shared" si="11"/>
        <v>10676</v>
      </c>
      <c r="N23" s="358">
        <f t="shared" ref="N23:AV23" si="23">IFERROR(IF($M23-$D23&gt;=0,($M23-$D23)/COUNT($E$1:$M$1)+M23,$F376*$E376^N$1),0)</f>
        <v>9888.6032089648306</v>
      </c>
      <c r="O23" s="358">
        <f t="shared" si="23"/>
        <v>9669.6998181992094</v>
      </c>
      <c r="P23" s="358">
        <f t="shared" si="23"/>
        <v>9455.6422781039055</v>
      </c>
      <c r="Q23" s="358">
        <f t="shared" si="23"/>
        <v>9246.323316385713</v>
      </c>
      <c r="R23" s="358">
        <f t="shared" si="23"/>
        <v>9041.6380354314624</v>
      </c>
      <c r="S23" s="358">
        <f t="shared" si="23"/>
        <v>8841.4838597398939</v>
      </c>
      <c r="T23" s="358">
        <f t="shared" si="23"/>
        <v>8645.7604845171991</v>
      </c>
      <c r="U23" s="358">
        <f t="shared" si="23"/>
        <v>8454.3698254105147</v>
      </c>
      <c r="V23" s="358">
        <f t="shared" si="23"/>
        <v>8267.2159693541689</v>
      </c>
      <c r="W23" s="358">
        <f t="shared" si="23"/>
        <v>8084.2051265040218</v>
      </c>
      <c r="X23" s="358">
        <f t="shared" si="23"/>
        <v>7905.2455832358492</v>
      </c>
      <c r="Y23" s="358">
        <f t="shared" si="23"/>
        <v>7730.2476561841822</v>
      </c>
      <c r="Z23" s="358">
        <f t="shared" si="23"/>
        <v>7559.1236472986193</v>
      </c>
      <c r="AA23" s="358">
        <f t="shared" si="23"/>
        <v>7391.7877998950007</v>
      </c>
      <c r="AB23" s="358">
        <f t="shared" si="23"/>
        <v>7228.1562556795316</v>
      </c>
      <c r="AC23" s="358">
        <f t="shared" si="23"/>
        <v>7068.1470127242137</v>
      </c>
      <c r="AD23" s="358">
        <f t="shared" si="23"/>
        <v>6911.6798843726046</v>
      </c>
      <c r="AE23" s="358">
        <f t="shared" si="23"/>
        <v>6758.6764590552602</v>
      </c>
      <c r="AF23" s="358">
        <f t="shared" si="23"/>
        <v>6609.0600609947442</v>
      </c>
      <c r="AG23" s="358">
        <f t="shared" si="23"/>
        <v>6462.75571178051</v>
      </c>
      <c r="AH23" s="358">
        <f t="shared" si="23"/>
        <v>6319.6900927943925</v>
      </c>
      <c r="AI23" s="358">
        <f t="shared" si="23"/>
        <v>6179.7915084678998</v>
      </c>
      <c r="AJ23" s="358">
        <f t="shared" si="23"/>
        <v>6042.9898503528466</v>
      </c>
      <c r="AK23" s="358">
        <f t="shared" si="23"/>
        <v>5909.2165619873867</v>
      </c>
      <c r="AL23" s="358">
        <f t="shared" si="23"/>
        <v>5778.4046045397763</v>
      </c>
      <c r="AM23" s="358">
        <f t="shared" si="23"/>
        <v>5650.4884232127024</v>
      </c>
      <c r="AN23" s="358">
        <f t="shared" si="23"/>
        <v>5525.4039143912942</v>
      </c>
      <c r="AO23" s="358">
        <f t="shared" si="23"/>
        <v>5403.0883935184038</v>
      </c>
      <c r="AP23" s="358">
        <f t="shared" si="23"/>
        <v>5283.4805636809906</v>
      </c>
      <c r="AQ23" s="358">
        <f t="shared" si="23"/>
        <v>5166.5204848919557</v>
      </c>
      <c r="AR23" s="358">
        <f t="shared" si="23"/>
        <v>5052.1495440519411</v>
      </c>
      <c r="AS23" s="358">
        <f t="shared" si="23"/>
        <v>4940.3104255761036</v>
      </c>
      <c r="AT23" s="358">
        <f t="shared" si="23"/>
        <v>4830.9470826711176</v>
      </c>
      <c r="AU23" s="358">
        <f t="shared" si="23"/>
        <v>4724.0047092480163</v>
      </c>
      <c r="AV23" s="358">
        <f t="shared" si="23"/>
        <v>4619.4297124567956</v>
      </c>
    </row>
    <row r="24" spans="1:48" x14ac:dyDescent="0.25">
      <c r="A24" s="354" t="s">
        <v>1974</v>
      </c>
      <c r="B24" t="s">
        <v>469</v>
      </c>
      <c r="C24" t="s">
        <v>1051</v>
      </c>
      <c r="D24">
        <f t="shared" si="11"/>
        <v>4220</v>
      </c>
      <c r="E24">
        <f t="shared" si="11"/>
        <v>4464</v>
      </c>
      <c r="F24">
        <f t="shared" si="11"/>
        <v>5025</v>
      </c>
      <c r="G24">
        <f t="shared" si="11"/>
        <v>3669</v>
      </c>
      <c r="H24">
        <f t="shared" si="11"/>
        <v>4784</v>
      </c>
      <c r="I24">
        <f t="shared" si="11"/>
        <v>3873</v>
      </c>
      <c r="J24">
        <f t="shared" si="11"/>
        <v>5978</v>
      </c>
      <c r="K24">
        <f t="shared" si="11"/>
        <v>3907</v>
      </c>
      <c r="L24">
        <f t="shared" si="11"/>
        <v>3609</v>
      </c>
      <c r="M24">
        <f t="shared" si="11"/>
        <v>3810</v>
      </c>
      <c r="N24" s="2">
        <f t="shared" ref="N24:AV24" si="24">IFERROR(IF($M24-$D24&gt;=0,($M24-$D24)/COUNT($E$1:$M$1)+M24,$F377*$E377^N$1),0)</f>
        <v>3949.9597272647511</v>
      </c>
      <c r="O24" s="2">
        <f t="shared" si="24"/>
        <v>3892.610646648091</v>
      </c>
      <c r="P24" s="2">
        <f t="shared" si="24"/>
        <v>3836.0942117480117</v>
      </c>
      <c r="Q24" s="2">
        <f t="shared" si="24"/>
        <v>3780.3983334624413</v>
      </c>
      <c r="R24" s="2">
        <f t="shared" si="24"/>
        <v>3725.511098209804</v>
      </c>
      <c r="S24" s="2">
        <f t="shared" si="24"/>
        <v>3671.4207653806516</v>
      </c>
      <c r="T24" s="2">
        <f t="shared" si="24"/>
        <v>3618.1157648263043</v>
      </c>
      <c r="U24" s="2">
        <f t="shared" si="24"/>
        <v>3565.5846943839438</v>
      </c>
      <c r="V24" s="2">
        <f t="shared" si="24"/>
        <v>3513.8163174376409</v>
      </c>
      <c r="W24" s="2">
        <f t="shared" si="24"/>
        <v>3462.7995605148021</v>
      </c>
      <c r="X24" s="2">
        <f t="shared" si="24"/>
        <v>3412.5235109175023</v>
      </c>
      <c r="Y24" s="2">
        <f t="shared" si="24"/>
        <v>3362.977414388215</v>
      </c>
      <c r="Z24" s="2">
        <f t="shared" si="24"/>
        <v>3314.1506728094319</v>
      </c>
      <c r="AA24" s="2">
        <f t="shared" si="24"/>
        <v>3266.0328419366797</v>
      </c>
      <c r="AB24" s="2">
        <f t="shared" si="24"/>
        <v>3218.6136291644539</v>
      </c>
      <c r="AC24" s="2">
        <f t="shared" si="24"/>
        <v>3171.8828913245889</v>
      </c>
      <c r="AD24" s="2">
        <f t="shared" si="24"/>
        <v>3125.8306325165877</v>
      </c>
      <c r="AE24" s="2">
        <f t="shared" si="24"/>
        <v>3080.4470019694586</v>
      </c>
      <c r="AF24" s="2">
        <f t="shared" si="24"/>
        <v>3035.7222919345973</v>
      </c>
      <c r="AG24" s="2">
        <f t="shared" si="24"/>
        <v>2991.6469356092539</v>
      </c>
      <c r="AH24" s="2">
        <f t="shared" si="24"/>
        <v>2948.2115050901562</v>
      </c>
      <c r="AI24" s="2">
        <f t="shared" si="24"/>
        <v>2905.4067093568433</v>
      </c>
      <c r="AJ24" s="2">
        <f t="shared" si="24"/>
        <v>2863.2233922842724</v>
      </c>
      <c r="AK24" s="2">
        <f t="shared" si="24"/>
        <v>2821.6525306842932</v>
      </c>
      <c r="AL24" s="2">
        <f t="shared" si="24"/>
        <v>2780.6852323755393</v>
      </c>
      <c r="AM24" s="2">
        <f t="shared" si="24"/>
        <v>2740.3127342813655</v>
      </c>
      <c r="AN24" s="2">
        <f t="shared" si="24"/>
        <v>2700.5264005553786</v>
      </c>
      <c r="AO24" s="2">
        <f t="shared" si="24"/>
        <v>2661.3177207342005</v>
      </c>
      <c r="AP24" s="2">
        <f t="shared" si="24"/>
        <v>2622.6783079170418</v>
      </c>
      <c r="AQ24" s="2">
        <f t="shared" si="24"/>
        <v>2584.5998969717102</v>
      </c>
      <c r="AR24" s="2">
        <f t="shared" si="24"/>
        <v>2547.074342766658</v>
      </c>
      <c r="AS24" s="2">
        <f t="shared" si="24"/>
        <v>2510.0936184287161</v>
      </c>
      <c r="AT24" s="2">
        <f t="shared" si="24"/>
        <v>2473.6498136260998</v>
      </c>
      <c r="AU24" s="2">
        <f t="shared" si="24"/>
        <v>2437.735132876363</v>
      </c>
      <c r="AV24" s="2">
        <f t="shared" si="24"/>
        <v>2402.3418938789109</v>
      </c>
    </row>
    <row r="25" spans="1:48" x14ac:dyDescent="0.25">
      <c r="A25" s="354" t="s">
        <v>1976</v>
      </c>
      <c r="B25" t="s">
        <v>469</v>
      </c>
      <c r="C25" t="s">
        <v>1051</v>
      </c>
      <c r="D25">
        <f t="shared" si="11"/>
        <v>2050</v>
      </c>
      <c r="E25">
        <f t="shared" si="11"/>
        <v>1536</v>
      </c>
      <c r="F25">
        <f t="shared" si="11"/>
        <v>1523</v>
      </c>
      <c r="G25">
        <f t="shared" si="11"/>
        <v>1045</v>
      </c>
      <c r="H25">
        <f t="shared" si="11"/>
        <v>1481</v>
      </c>
      <c r="I25">
        <f t="shared" si="11"/>
        <v>1299</v>
      </c>
      <c r="J25">
        <f t="shared" si="11"/>
        <v>1248</v>
      </c>
      <c r="K25">
        <f t="shared" si="11"/>
        <v>1317</v>
      </c>
      <c r="L25">
        <f t="shared" si="11"/>
        <v>1336</v>
      </c>
      <c r="M25">
        <f t="shared" si="11"/>
        <v>1299</v>
      </c>
      <c r="N25" s="2">
        <f t="shared" ref="N25:AV25" si="25">IFERROR(IF($M25-$D25&gt;=0,($M25-$D25)/COUNT($E$1:$M$1)+M25,$F378*$E378^N$1),0)</f>
        <v>1163.1799290393108</v>
      </c>
      <c r="O25" s="2">
        <f t="shared" si="25"/>
        <v>1125.6745700838551</v>
      </c>
      <c r="P25" s="2">
        <f t="shared" si="25"/>
        <v>1089.3785270005701</v>
      </c>
      <c r="Q25" s="2">
        <f t="shared" si="25"/>
        <v>1054.2528068316649</v>
      </c>
      <c r="R25" s="2">
        <f t="shared" si="25"/>
        <v>1020.2596739010827</v>
      </c>
      <c r="S25" s="2">
        <f t="shared" si="25"/>
        <v>987.36260927494175</v>
      </c>
      <c r="T25" s="2">
        <f t="shared" si="25"/>
        <v>955.52627152912385</v>
      </c>
      <c r="U25" s="2">
        <f t="shared" si="25"/>
        <v>924.71645878186791</v>
      </c>
      <c r="V25" s="2">
        <f t="shared" si="25"/>
        <v>894.9000719505749</v>
      </c>
      <c r="W25" s="2">
        <f t="shared" si="25"/>
        <v>866.04507919335776</v>
      </c>
      <c r="X25" s="2">
        <f t="shared" si="25"/>
        <v>838.12048149712712</v>
      </c>
      <c r="Y25" s="2">
        <f t="shared" si="25"/>
        <v>811.09627937524999</v>
      </c>
      <c r="Z25" s="2">
        <f t="shared" si="25"/>
        <v>784.94344063900371</v>
      </c>
      <c r="AA25" s="2">
        <f t="shared" si="25"/>
        <v>759.6338692082013</v>
      </c>
      <c r="AB25" s="2">
        <f t="shared" si="25"/>
        <v>735.14037492747889</v>
      </c>
      <c r="AC25" s="2">
        <f t="shared" si="25"/>
        <v>711.43664435582502</v>
      </c>
      <c r="AD25" s="2">
        <f t="shared" si="25"/>
        <v>688.49721249796301</v>
      </c>
      <c r="AE25" s="2">
        <f t="shared" si="25"/>
        <v>666.29743544722442</v>
      </c>
      <c r="AF25" s="2">
        <f t="shared" si="25"/>
        <v>644.81346391051864</v>
      </c>
      <c r="AG25" s="2">
        <f t="shared" si="25"/>
        <v>624.02221758696078</v>
      </c>
      <c r="AH25" s="2">
        <f t="shared" si="25"/>
        <v>603.90136037262755</v>
      </c>
      <c r="AI25" s="2">
        <f t="shared" si="25"/>
        <v>584.42927636480749</v>
      </c>
      <c r="AJ25" s="2">
        <f t="shared" si="25"/>
        <v>565.58504663996803</v>
      </c>
      <c r="AK25" s="2">
        <f t="shared" si="25"/>
        <v>547.34842678048528</v>
      </c>
      <c r="AL25" s="2">
        <f t="shared" si="25"/>
        <v>529.69982512600097</v>
      </c>
      <c r="AM25" s="2">
        <f t="shared" si="25"/>
        <v>512.620281726038</v>
      </c>
      <c r="AN25" s="2">
        <f t="shared" si="25"/>
        <v>496.09144797126288</v>
      </c>
      <c r="AO25" s="2">
        <f t="shared" si="25"/>
        <v>480.09556688151531</v>
      </c>
      <c r="AP25" s="2">
        <f t="shared" si="25"/>
        <v>464.61545402942551</v>
      </c>
      <c r="AQ25" s="2">
        <f t="shared" si="25"/>
        <v>449.63447907912899</v>
      </c>
      <c r="AR25" s="2">
        <f t="shared" si="25"/>
        <v>435.13654792024096</v>
      </c>
      <c r="AS25" s="2">
        <f t="shared" si="25"/>
        <v>421.10608537790199</v>
      </c>
      <c r="AT25" s="2">
        <f t="shared" si="25"/>
        <v>407.52801848031618</v>
      </c>
      <c r="AU25" s="2">
        <f t="shared" si="25"/>
        <v>394.38776026580797</v>
      </c>
      <c r="AV25" s="2">
        <f t="shared" si="25"/>
        <v>381.67119411200235</v>
      </c>
    </row>
    <row r="26" spans="1:48" x14ac:dyDescent="0.25">
      <c r="A26" s="354" t="s">
        <v>1688</v>
      </c>
      <c r="B26" t="s">
        <v>1709</v>
      </c>
      <c r="C26" t="s">
        <v>1060</v>
      </c>
      <c r="D26">
        <f t="shared" ref="D26:M35" si="26">IFERROR(INDEX($B$211:$AA$229,MATCH($A26,$A$211:$A$229,0),MATCH(D$1,$B$175:$AA$175,0)),0)</f>
        <v>261</v>
      </c>
      <c r="E26">
        <f t="shared" si="26"/>
        <v>254</v>
      </c>
      <c r="F26">
        <f t="shared" si="26"/>
        <v>253</v>
      </c>
      <c r="G26">
        <f t="shared" si="26"/>
        <v>254</v>
      </c>
      <c r="H26">
        <f t="shared" si="26"/>
        <v>263</v>
      </c>
      <c r="I26">
        <f t="shared" si="26"/>
        <v>257</v>
      </c>
      <c r="J26">
        <f t="shared" si="26"/>
        <v>249</v>
      </c>
      <c r="K26">
        <f t="shared" si="26"/>
        <v>249</v>
      </c>
      <c r="L26">
        <f t="shared" si="26"/>
        <v>253</v>
      </c>
      <c r="M26">
        <f t="shared" si="26"/>
        <v>256</v>
      </c>
      <c r="N26" s="2">
        <f t="shared" ref="N26:AV26" si="27">IFERROR(IF($M26-$D26&gt;=0,($M26-$D26)/COUNT($E$1:$M$1)+M26,$F379*$E379^N$1),0)</f>
        <v>251.78896332499687</v>
      </c>
      <c r="O26" s="2">
        <f t="shared" si="27"/>
        <v>251.23395377271197</v>
      </c>
      <c r="P26" s="2">
        <f t="shared" si="27"/>
        <v>250.6801676084543</v>
      </c>
      <c r="Q26" s="2">
        <f t="shared" si="27"/>
        <v>250.12760213555271</v>
      </c>
      <c r="R26" s="2">
        <f t="shared" si="27"/>
        <v>249.5762546632802</v>
      </c>
      <c r="S26" s="2">
        <f t="shared" si="27"/>
        <v>249.02612250684075</v>
      </c>
      <c r="T26" s="2">
        <f t="shared" si="27"/>
        <v>248.47720298735663</v>
      </c>
      <c r="U26" s="2">
        <f t="shared" si="27"/>
        <v>247.92949343185475</v>
      </c>
      <c r="V26" s="2">
        <f t="shared" si="27"/>
        <v>247.38299117325397</v>
      </c>
      <c r="W26" s="2">
        <f t="shared" si="27"/>
        <v>246.83769355035247</v>
      </c>
      <c r="X26" s="2">
        <f t="shared" si="27"/>
        <v>246.2935979078139</v>
      </c>
      <c r="Y26" s="2">
        <f t="shared" si="27"/>
        <v>245.75070159615538</v>
      </c>
      <c r="Z26" s="2">
        <f t="shared" si="27"/>
        <v>245.20900197173407</v>
      </c>
      <c r="AA26" s="2">
        <f t="shared" si="27"/>
        <v>244.66849639673433</v>
      </c>
      <c r="AB26" s="2">
        <f t="shared" si="27"/>
        <v>244.12918223915509</v>
      </c>
      <c r="AC26" s="2">
        <f t="shared" si="27"/>
        <v>243.59105687279674</v>
      </c>
      <c r="AD26" s="2">
        <f t="shared" si="27"/>
        <v>243.0541176772488</v>
      </c>
      <c r="AE26" s="2">
        <f t="shared" si="27"/>
        <v>242.51836203787656</v>
      </c>
      <c r="AF26" s="2">
        <f t="shared" si="27"/>
        <v>241.98378734580882</v>
      </c>
      <c r="AG26" s="2">
        <f t="shared" si="27"/>
        <v>241.45039099792498</v>
      </c>
      <c r="AH26" s="2">
        <f t="shared" si="27"/>
        <v>240.91817039684247</v>
      </c>
      <c r="AI26" s="2">
        <f t="shared" si="27"/>
        <v>240.38712295090389</v>
      </c>
      <c r="AJ26" s="2">
        <f t="shared" si="27"/>
        <v>239.85724607416478</v>
      </c>
      <c r="AK26" s="2">
        <f t="shared" si="27"/>
        <v>239.32853718638046</v>
      </c>
      <c r="AL26" s="2">
        <f t="shared" si="27"/>
        <v>238.80099371299414</v>
      </c>
      <c r="AM26" s="2">
        <f t="shared" si="27"/>
        <v>238.27461308512372</v>
      </c>
      <c r="AN26" s="2">
        <f t="shared" si="27"/>
        <v>237.74939273954988</v>
      </c>
      <c r="AO26" s="2">
        <f t="shared" si="27"/>
        <v>237.22533011870306</v>
      </c>
      <c r="AP26" s="2">
        <f t="shared" si="27"/>
        <v>236.70242267065154</v>
      </c>
      <c r="AQ26" s="2">
        <f t="shared" si="27"/>
        <v>236.18066784908834</v>
      </c>
      <c r="AR26" s="2">
        <f t="shared" si="27"/>
        <v>235.66006311331975</v>
      </c>
      <c r="AS26" s="2">
        <f t="shared" si="27"/>
        <v>235.14060592825183</v>
      </c>
      <c r="AT26" s="2">
        <f t="shared" si="27"/>
        <v>234.62229376437907</v>
      </c>
      <c r="AU26" s="2">
        <f t="shared" si="27"/>
        <v>234.10512409777161</v>
      </c>
      <c r="AV26" s="2">
        <f t="shared" si="27"/>
        <v>233.58909441006284</v>
      </c>
    </row>
    <row r="27" spans="1:48" x14ac:dyDescent="0.25">
      <c r="A27" s="354" t="s">
        <v>1689</v>
      </c>
      <c r="B27" t="s">
        <v>273</v>
      </c>
      <c r="C27" t="s">
        <v>1060</v>
      </c>
      <c r="D27">
        <f t="shared" si="26"/>
        <v>0</v>
      </c>
      <c r="E27">
        <f t="shared" si="26"/>
        <v>0</v>
      </c>
      <c r="F27">
        <f t="shared" si="26"/>
        <v>0</v>
      </c>
      <c r="G27">
        <f t="shared" si="26"/>
        <v>0</v>
      </c>
      <c r="H27">
        <f t="shared" si="26"/>
        <v>0</v>
      </c>
      <c r="I27">
        <f t="shared" si="26"/>
        <v>0</v>
      </c>
      <c r="J27">
        <f t="shared" si="26"/>
        <v>0</v>
      </c>
      <c r="K27">
        <f t="shared" si="26"/>
        <v>0</v>
      </c>
      <c r="L27">
        <f t="shared" si="26"/>
        <v>0</v>
      </c>
      <c r="M27">
        <f t="shared" si="26"/>
        <v>0</v>
      </c>
      <c r="N27" s="2">
        <f t="shared" ref="N27:AV27" si="28">IFERROR(IF($M27-$D27&gt;=0,($M27-$D27)/COUNT($E$1:$M$1)+M27,$F380*$E380^N$1),0)</f>
        <v>0</v>
      </c>
      <c r="O27" s="2">
        <f t="shared" si="28"/>
        <v>0</v>
      </c>
      <c r="P27" s="2">
        <f t="shared" si="28"/>
        <v>0</v>
      </c>
      <c r="Q27" s="2">
        <f t="shared" si="28"/>
        <v>0</v>
      </c>
      <c r="R27" s="2">
        <f t="shared" si="28"/>
        <v>0</v>
      </c>
      <c r="S27" s="2">
        <f t="shared" si="28"/>
        <v>0</v>
      </c>
      <c r="T27" s="2">
        <f t="shared" si="28"/>
        <v>0</v>
      </c>
      <c r="U27" s="2">
        <f t="shared" si="28"/>
        <v>0</v>
      </c>
      <c r="V27" s="2">
        <f t="shared" si="28"/>
        <v>0</v>
      </c>
      <c r="W27" s="2">
        <f t="shared" si="28"/>
        <v>0</v>
      </c>
      <c r="X27" s="2">
        <f t="shared" si="28"/>
        <v>0</v>
      </c>
      <c r="Y27" s="2">
        <f t="shared" si="28"/>
        <v>0</v>
      </c>
      <c r="Z27" s="2">
        <f t="shared" si="28"/>
        <v>0</v>
      </c>
      <c r="AA27" s="2">
        <f t="shared" si="28"/>
        <v>0</v>
      </c>
      <c r="AB27" s="2">
        <f t="shared" si="28"/>
        <v>0</v>
      </c>
      <c r="AC27" s="2">
        <f t="shared" si="28"/>
        <v>0</v>
      </c>
      <c r="AD27" s="2">
        <f t="shared" si="28"/>
        <v>0</v>
      </c>
      <c r="AE27" s="2">
        <f t="shared" si="28"/>
        <v>0</v>
      </c>
      <c r="AF27" s="2">
        <f t="shared" si="28"/>
        <v>0</v>
      </c>
      <c r="AG27" s="2">
        <f t="shared" si="28"/>
        <v>0</v>
      </c>
      <c r="AH27" s="2">
        <f t="shared" si="28"/>
        <v>0</v>
      </c>
      <c r="AI27" s="2">
        <f t="shared" si="28"/>
        <v>0</v>
      </c>
      <c r="AJ27" s="2">
        <f t="shared" si="28"/>
        <v>0</v>
      </c>
      <c r="AK27" s="2">
        <f t="shared" si="28"/>
        <v>0</v>
      </c>
      <c r="AL27" s="2">
        <f t="shared" si="28"/>
        <v>0</v>
      </c>
      <c r="AM27" s="2">
        <f t="shared" si="28"/>
        <v>0</v>
      </c>
      <c r="AN27" s="2">
        <f t="shared" si="28"/>
        <v>0</v>
      </c>
      <c r="AO27" s="2">
        <f t="shared" si="28"/>
        <v>0</v>
      </c>
      <c r="AP27" s="2">
        <f t="shared" si="28"/>
        <v>0</v>
      </c>
      <c r="AQ27" s="2">
        <f t="shared" si="28"/>
        <v>0</v>
      </c>
      <c r="AR27" s="2">
        <f t="shared" si="28"/>
        <v>0</v>
      </c>
      <c r="AS27" s="2">
        <f t="shared" si="28"/>
        <v>0</v>
      </c>
      <c r="AT27" s="2">
        <f t="shared" si="28"/>
        <v>0</v>
      </c>
      <c r="AU27" s="2">
        <f t="shared" si="28"/>
        <v>0</v>
      </c>
      <c r="AV27" s="2">
        <f t="shared" si="28"/>
        <v>0</v>
      </c>
    </row>
    <row r="28" spans="1:48" x14ac:dyDescent="0.25">
      <c r="A28" s="355" t="s">
        <v>1978</v>
      </c>
      <c r="B28" t="s">
        <v>469</v>
      </c>
      <c r="C28" t="s">
        <v>1060</v>
      </c>
      <c r="D28">
        <f t="shared" si="26"/>
        <v>0</v>
      </c>
      <c r="E28">
        <f t="shared" si="26"/>
        <v>0</v>
      </c>
      <c r="F28">
        <f t="shared" si="26"/>
        <v>0</v>
      </c>
      <c r="G28">
        <f t="shared" si="26"/>
        <v>0</v>
      </c>
      <c r="H28">
        <f t="shared" si="26"/>
        <v>0</v>
      </c>
      <c r="I28">
        <f t="shared" si="26"/>
        <v>0</v>
      </c>
      <c r="J28">
        <f t="shared" si="26"/>
        <v>0</v>
      </c>
      <c r="K28">
        <f t="shared" si="26"/>
        <v>0</v>
      </c>
      <c r="L28">
        <f t="shared" si="26"/>
        <v>0</v>
      </c>
      <c r="M28">
        <f t="shared" si="26"/>
        <v>0</v>
      </c>
      <c r="N28" s="2">
        <f t="shared" ref="N28:AV28" si="29">IFERROR(IF($M28-$D28&gt;=0,($M28-$D28)/COUNT($E$1:$M$1)+M28,$F381*$E381^N$1),0)</f>
        <v>0</v>
      </c>
      <c r="O28" s="2">
        <f t="shared" si="29"/>
        <v>0</v>
      </c>
      <c r="P28" s="2">
        <f t="shared" si="29"/>
        <v>0</v>
      </c>
      <c r="Q28" s="2">
        <f t="shared" si="29"/>
        <v>0</v>
      </c>
      <c r="R28" s="2">
        <f t="shared" si="29"/>
        <v>0</v>
      </c>
      <c r="S28" s="2">
        <f t="shared" si="29"/>
        <v>0</v>
      </c>
      <c r="T28" s="2">
        <f t="shared" si="29"/>
        <v>0</v>
      </c>
      <c r="U28" s="2">
        <f t="shared" si="29"/>
        <v>0</v>
      </c>
      <c r="V28" s="2">
        <f t="shared" si="29"/>
        <v>0</v>
      </c>
      <c r="W28" s="2">
        <f t="shared" si="29"/>
        <v>0</v>
      </c>
      <c r="X28" s="2">
        <f t="shared" si="29"/>
        <v>0</v>
      </c>
      <c r="Y28" s="2">
        <f t="shared" si="29"/>
        <v>0</v>
      </c>
      <c r="Z28" s="2">
        <f t="shared" si="29"/>
        <v>0</v>
      </c>
      <c r="AA28" s="2">
        <f t="shared" si="29"/>
        <v>0</v>
      </c>
      <c r="AB28" s="2">
        <f t="shared" si="29"/>
        <v>0</v>
      </c>
      <c r="AC28" s="2">
        <f t="shared" si="29"/>
        <v>0</v>
      </c>
      <c r="AD28" s="2">
        <f t="shared" si="29"/>
        <v>0</v>
      </c>
      <c r="AE28" s="2">
        <f t="shared" si="29"/>
        <v>0</v>
      </c>
      <c r="AF28" s="2">
        <f t="shared" si="29"/>
        <v>0</v>
      </c>
      <c r="AG28" s="2">
        <f t="shared" si="29"/>
        <v>0</v>
      </c>
      <c r="AH28" s="2">
        <f t="shared" si="29"/>
        <v>0</v>
      </c>
      <c r="AI28" s="2">
        <f t="shared" si="29"/>
        <v>0</v>
      </c>
      <c r="AJ28" s="2">
        <f t="shared" si="29"/>
        <v>0</v>
      </c>
      <c r="AK28" s="2">
        <f t="shared" si="29"/>
        <v>0</v>
      </c>
      <c r="AL28" s="2">
        <f t="shared" si="29"/>
        <v>0</v>
      </c>
      <c r="AM28" s="2">
        <f t="shared" si="29"/>
        <v>0</v>
      </c>
      <c r="AN28" s="2">
        <f t="shared" si="29"/>
        <v>0</v>
      </c>
      <c r="AO28" s="2">
        <f t="shared" si="29"/>
        <v>0</v>
      </c>
      <c r="AP28" s="2">
        <f t="shared" si="29"/>
        <v>0</v>
      </c>
      <c r="AQ28" s="2">
        <f t="shared" si="29"/>
        <v>0</v>
      </c>
      <c r="AR28" s="2">
        <f t="shared" si="29"/>
        <v>0</v>
      </c>
      <c r="AS28" s="2">
        <f t="shared" si="29"/>
        <v>0</v>
      </c>
      <c r="AT28" s="2">
        <f t="shared" si="29"/>
        <v>0</v>
      </c>
      <c r="AU28" s="2">
        <f t="shared" si="29"/>
        <v>0</v>
      </c>
      <c r="AV28" s="2">
        <f t="shared" si="29"/>
        <v>0</v>
      </c>
    </row>
    <row r="29" spans="1:48" x14ac:dyDescent="0.25">
      <c r="A29" s="354" t="s">
        <v>1975</v>
      </c>
      <c r="B29" t="s">
        <v>469</v>
      </c>
      <c r="C29" t="s">
        <v>1060</v>
      </c>
      <c r="D29">
        <f t="shared" si="26"/>
        <v>0</v>
      </c>
      <c r="E29">
        <f t="shared" si="26"/>
        <v>0</v>
      </c>
      <c r="F29">
        <f t="shared" si="26"/>
        <v>0</v>
      </c>
      <c r="G29">
        <f t="shared" si="26"/>
        <v>0</v>
      </c>
      <c r="H29">
        <f t="shared" si="26"/>
        <v>0</v>
      </c>
      <c r="I29">
        <f t="shared" si="26"/>
        <v>0</v>
      </c>
      <c r="J29">
        <f t="shared" si="26"/>
        <v>1</v>
      </c>
      <c r="K29">
        <f t="shared" si="26"/>
        <v>0</v>
      </c>
      <c r="L29">
        <f t="shared" si="26"/>
        <v>1</v>
      </c>
      <c r="M29">
        <f t="shared" si="26"/>
        <v>1</v>
      </c>
      <c r="N29" s="2">
        <f t="shared" ref="N29:AV29" si="30">IFERROR(IF($M29-$D29&gt;=0,($M29-$D29)/COUNT($E$1:$M$1)+M29,$F382*$E382^N$1),0)</f>
        <v>1.1111111111111112</v>
      </c>
      <c r="O29" s="2">
        <f t="shared" si="30"/>
        <v>1.2222222222222223</v>
      </c>
      <c r="P29" s="2">
        <f t="shared" si="30"/>
        <v>1.3333333333333335</v>
      </c>
      <c r="Q29" s="2">
        <f t="shared" si="30"/>
        <v>1.4444444444444446</v>
      </c>
      <c r="R29" s="2">
        <f t="shared" si="30"/>
        <v>1.5555555555555558</v>
      </c>
      <c r="S29" s="2">
        <f t="shared" si="30"/>
        <v>1.666666666666667</v>
      </c>
      <c r="T29" s="2">
        <f t="shared" si="30"/>
        <v>1.7777777777777781</v>
      </c>
      <c r="U29" s="2">
        <f t="shared" si="30"/>
        <v>1.8888888888888893</v>
      </c>
      <c r="V29" s="2">
        <f t="shared" si="30"/>
        <v>2.0000000000000004</v>
      </c>
      <c r="W29" s="2">
        <f t="shared" si="30"/>
        <v>2.1111111111111116</v>
      </c>
      <c r="X29" s="2">
        <f t="shared" si="30"/>
        <v>2.2222222222222228</v>
      </c>
      <c r="Y29" s="2">
        <f t="shared" si="30"/>
        <v>2.3333333333333339</v>
      </c>
      <c r="Z29" s="2">
        <f t="shared" si="30"/>
        <v>2.4444444444444451</v>
      </c>
      <c r="AA29" s="2">
        <f t="shared" si="30"/>
        <v>2.5555555555555562</v>
      </c>
      <c r="AB29" s="2">
        <f t="shared" si="30"/>
        <v>2.6666666666666674</v>
      </c>
      <c r="AC29" s="2">
        <f t="shared" si="30"/>
        <v>2.7777777777777786</v>
      </c>
      <c r="AD29" s="2">
        <f t="shared" si="30"/>
        <v>2.8888888888888897</v>
      </c>
      <c r="AE29" s="2">
        <f t="shared" si="30"/>
        <v>3.0000000000000009</v>
      </c>
      <c r="AF29" s="2">
        <f t="shared" si="30"/>
        <v>3.111111111111112</v>
      </c>
      <c r="AG29" s="2">
        <f t="shared" si="30"/>
        <v>3.2222222222222232</v>
      </c>
      <c r="AH29" s="2">
        <f t="shared" si="30"/>
        <v>3.3333333333333344</v>
      </c>
      <c r="AI29" s="2">
        <f t="shared" si="30"/>
        <v>3.4444444444444455</v>
      </c>
      <c r="AJ29" s="2">
        <f t="shared" si="30"/>
        <v>3.5555555555555567</v>
      </c>
      <c r="AK29" s="2">
        <f t="shared" si="30"/>
        <v>3.6666666666666679</v>
      </c>
      <c r="AL29" s="2">
        <f t="shared" si="30"/>
        <v>3.777777777777779</v>
      </c>
      <c r="AM29" s="2">
        <f t="shared" si="30"/>
        <v>3.8888888888888902</v>
      </c>
      <c r="AN29" s="2">
        <f t="shared" si="30"/>
        <v>4.0000000000000009</v>
      </c>
      <c r="AO29" s="2">
        <f t="shared" si="30"/>
        <v>4.1111111111111116</v>
      </c>
      <c r="AP29" s="2">
        <f t="shared" si="30"/>
        <v>4.2222222222222223</v>
      </c>
      <c r="AQ29" s="2">
        <f t="shared" si="30"/>
        <v>4.333333333333333</v>
      </c>
      <c r="AR29" s="2">
        <f t="shared" si="30"/>
        <v>4.4444444444444438</v>
      </c>
      <c r="AS29" s="2">
        <f t="shared" si="30"/>
        <v>4.5555555555555545</v>
      </c>
      <c r="AT29" s="2">
        <f t="shared" si="30"/>
        <v>4.6666666666666652</v>
      </c>
      <c r="AU29" s="2">
        <f t="shared" si="30"/>
        <v>4.7777777777777759</v>
      </c>
      <c r="AV29" s="2">
        <f t="shared" si="30"/>
        <v>4.8888888888888866</v>
      </c>
    </row>
    <row r="30" spans="1:48" x14ac:dyDescent="0.25">
      <c r="A30" s="354" t="s">
        <v>1692</v>
      </c>
      <c r="B30" t="s">
        <v>1710</v>
      </c>
      <c r="C30" t="s">
        <v>1060</v>
      </c>
      <c r="D30">
        <f t="shared" si="26"/>
        <v>0</v>
      </c>
      <c r="E30">
        <f t="shared" si="26"/>
        <v>0</v>
      </c>
      <c r="F30">
        <f t="shared" si="26"/>
        <v>0</v>
      </c>
      <c r="G30">
        <f t="shared" si="26"/>
        <v>0</v>
      </c>
      <c r="H30">
        <f t="shared" si="26"/>
        <v>0</v>
      </c>
      <c r="I30">
        <f t="shared" si="26"/>
        <v>0</v>
      </c>
      <c r="J30">
        <f t="shared" si="26"/>
        <v>0</v>
      </c>
      <c r="K30">
        <f t="shared" si="26"/>
        <v>0</v>
      </c>
      <c r="L30">
        <f t="shared" si="26"/>
        <v>0</v>
      </c>
      <c r="M30">
        <f t="shared" si="26"/>
        <v>0</v>
      </c>
      <c r="N30" s="2">
        <f t="shared" ref="N30:AV30" si="31">IFERROR(IF($M30-$D30&gt;=0,($M30-$D30)/COUNT($E$1:$M$1)+M30,$F383*$E383^N$1),0)</f>
        <v>0</v>
      </c>
      <c r="O30" s="2">
        <f t="shared" si="31"/>
        <v>0</v>
      </c>
      <c r="P30" s="2">
        <f t="shared" si="31"/>
        <v>0</v>
      </c>
      <c r="Q30" s="2">
        <f t="shared" si="31"/>
        <v>0</v>
      </c>
      <c r="R30" s="2">
        <f t="shared" si="31"/>
        <v>0</v>
      </c>
      <c r="S30" s="2">
        <f t="shared" si="31"/>
        <v>0</v>
      </c>
      <c r="T30" s="2">
        <f t="shared" si="31"/>
        <v>0</v>
      </c>
      <c r="U30" s="2">
        <f t="shared" si="31"/>
        <v>0</v>
      </c>
      <c r="V30" s="2">
        <f t="shared" si="31"/>
        <v>0</v>
      </c>
      <c r="W30" s="2">
        <f t="shared" si="31"/>
        <v>0</v>
      </c>
      <c r="X30" s="2">
        <f t="shared" si="31"/>
        <v>0</v>
      </c>
      <c r="Y30" s="2">
        <f t="shared" si="31"/>
        <v>0</v>
      </c>
      <c r="Z30" s="2">
        <f t="shared" si="31"/>
        <v>0</v>
      </c>
      <c r="AA30" s="2">
        <f t="shared" si="31"/>
        <v>0</v>
      </c>
      <c r="AB30" s="2">
        <f t="shared" si="31"/>
        <v>0</v>
      </c>
      <c r="AC30" s="2">
        <f t="shared" si="31"/>
        <v>0</v>
      </c>
      <c r="AD30" s="2">
        <f t="shared" si="31"/>
        <v>0</v>
      </c>
      <c r="AE30" s="2">
        <f t="shared" si="31"/>
        <v>0</v>
      </c>
      <c r="AF30" s="2">
        <f t="shared" si="31"/>
        <v>0</v>
      </c>
      <c r="AG30" s="2">
        <f t="shared" si="31"/>
        <v>0</v>
      </c>
      <c r="AH30" s="2">
        <f t="shared" si="31"/>
        <v>0</v>
      </c>
      <c r="AI30" s="2">
        <f t="shared" si="31"/>
        <v>0</v>
      </c>
      <c r="AJ30" s="2">
        <f t="shared" si="31"/>
        <v>0</v>
      </c>
      <c r="AK30" s="2">
        <f t="shared" si="31"/>
        <v>0</v>
      </c>
      <c r="AL30" s="2">
        <f t="shared" si="31"/>
        <v>0</v>
      </c>
      <c r="AM30" s="2">
        <f t="shared" si="31"/>
        <v>0</v>
      </c>
      <c r="AN30" s="2">
        <f t="shared" si="31"/>
        <v>0</v>
      </c>
      <c r="AO30" s="2">
        <f t="shared" si="31"/>
        <v>0</v>
      </c>
      <c r="AP30" s="2">
        <f t="shared" si="31"/>
        <v>0</v>
      </c>
      <c r="AQ30" s="2">
        <f t="shared" si="31"/>
        <v>0</v>
      </c>
      <c r="AR30" s="2">
        <f t="shared" si="31"/>
        <v>0</v>
      </c>
      <c r="AS30" s="2">
        <f t="shared" si="31"/>
        <v>0</v>
      </c>
      <c r="AT30" s="2">
        <f t="shared" si="31"/>
        <v>0</v>
      </c>
      <c r="AU30" s="2">
        <f t="shared" si="31"/>
        <v>0</v>
      </c>
      <c r="AV30" s="2">
        <f t="shared" si="31"/>
        <v>0</v>
      </c>
    </row>
    <row r="31" spans="1:48" x14ac:dyDescent="0.25">
      <c r="A31" s="354" t="s">
        <v>1693</v>
      </c>
      <c r="B31" t="s">
        <v>1710</v>
      </c>
      <c r="C31" t="s">
        <v>1060</v>
      </c>
      <c r="D31">
        <f t="shared" si="26"/>
        <v>0</v>
      </c>
      <c r="E31">
        <f t="shared" si="26"/>
        <v>0</v>
      </c>
      <c r="F31">
        <f t="shared" si="26"/>
        <v>0</v>
      </c>
      <c r="G31">
        <f t="shared" si="26"/>
        <v>0</v>
      </c>
      <c r="H31">
        <f t="shared" si="26"/>
        <v>0</v>
      </c>
      <c r="I31">
        <f t="shared" si="26"/>
        <v>0</v>
      </c>
      <c r="J31">
        <f t="shared" si="26"/>
        <v>0</v>
      </c>
      <c r="K31">
        <f t="shared" si="26"/>
        <v>0</v>
      </c>
      <c r="L31">
        <f t="shared" si="26"/>
        <v>0</v>
      </c>
      <c r="M31">
        <f t="shared" si="26"/>
        <v>0</v>
      </c>
      <c r="N31" s="2">
        <f t="shared" ref="N31:AV31" si="32">IFERROR(IF($M31-$D31&gt;=0,($M31-$D31)/COUNT($E$1:$M$1)+M31,$F384*$E384^N$1),0)</f>
        <v>0</v>
      </c>
      <c r="O31" s="2">
        <f t="shared" si="32"/>
        <v>0</v>
      </c>
      <c r="P31" s="2">
        <f t="shared" si="32"/>
        <v>0</v>
      </c>
      <c r="Q31" s="2">
        <f t="shared" si="32"/>
        <v>0</v>
      </c>
      <c r="R31" s="2">
        <f t="shared" si="32"/>
        <v>0</v>
      </c>
      <c r="S31" s="2">
        <f t="shared" si="32"/>
        <v>0</v>
      </c>
      <c r="T31" s="2">
        <f t="shared" si="32"/>
        <v>0</v>
      </c>
      <c r="U31" s="2">
        <f t="shared" si="32"/>
        <v>0</v>
      </c>
      <c r="V31" s="2">
        <f t="shared" si="32"/>
        <v>0</v>
      </c>
      <c r="W31" s="2">
        <f t="shared" si="32"/>
        <v>0</v>
      </c>
      <c r="X31" s="2">
        <f t="shared" si="32"/>
        <v>0</v>
      </c>
      <c r="Y31" s="2">
        <f t="shared" si="32"/>
        <v>0</v>
      </c>
      <c r="Z31" s="2">
        <f t="shared" si="32"/>
        <v>0</v>
      </c>
      <c r="AA31" s="2">
        <f t="shared" si="32"/>
        <v>0</v>
      </c>
      <c r="AB31" s="2">
        <f t="shared" si="32"/>
        <v>0</v>
      </c>
      <c r="AC31" s="2">
        <f t="shared" si="32"/>
        <v>0</v>
      </c>
      <c r="AD31" s="2">
        <f t="shared" si="32"/>
        <v>0</v>
      </c>
      <c r="AE31" s="2">
        <f t="shared" si="32"/>
        <v>0</v>
      </c>
      <c r="AF31" s="2">
        <f t="shared" si="32"/>
        <v>0</v>
      </c>
      <c r="AG31" s="2">
        <f t="shared" si="32"/>
        <v>0</v>
      </c>
      <c r="AH31" s="2">
        <f t="shared" si="32"/>
        <v>0</v>
      </c>
      <c r="AI31" s="2">
        <f t="shared" si="32"/>
        <v>0</v>
      </c>
      <c r="AJ31" s="2">
        <f t="shared" si="32"/>
        <v>0</v>
      </c>
      <c r="AK31" s="2">
        <f t="shared" si="32"/>
        <v>0</v>
      </c>
      <c r="AL31" s="2">
        <f t="shared" si="32"/>
        <v>0</v>
      </c>
      <c r="AM31" s="2">
        <f t="shared" si="32"/>
        <v>0</v>
      </c>
      <c r="AN31" s="2">
        <f t="shared" si="32"/>
        <v>0</v>
      </c>
      <c r="AO31" s="2">
        <f t="shared" si="32"/>
        <v>0</v>
      </c>
      <c r="AP31" s="2">
        <f t="shared" si="32"/>
        <v>0</v>
      </c>
      <c r="AQ31" s="2">
        <f t="shared" si="32"/>
        <v>0</v>
      </c>
      <c r="AR31" s="2">
        <f t="shared" si="32"/>
        <v>0</v>
      </c>
      <c r="AS31" s="2">
        <f t="shared" si="32"/>
        <v>0</v>
      </c>
      <c r="AT31" s="2">
        <f t="shared" si="32"/>
        <v>0</v>
      </c>
      <c r="AU31" s="2">
        <f t="shared" si="32"/>
        <v>0</v>
      </c>
      <c r="AV31" s="2">
        <f t="shared" si="32"/>
        <v>0</v>
      </c>
    </row>
    <row r="32" spans="1:48" x14ac:dyDescent="0.25">
      <c r="A32" s="354" t="s">
        <v>1694</v>
      </c>
      <c r="B32" t="s">
        <v>273</v>
      </c>
      <c r="C32" t="s">
        <v>1060</v>
      </c>
      <c r="D32">
        <f t="shared" si="26"/>
        <v>0</v>
      </c>
      <c r="E32">
        <f t="shared" si="26"/>
        <v>0</v>
      </c>
      <c r="F32">
        <f t="shared" si="26"/>
        <v>0</v>
      </c>
      <c r="G32">
        <f t="shared" si="26"/>
        <v>0</v>
      </c>
      <c r="H32">
        <f t="shared" si="26"/>
        <v>0</v>
      </c>
      <c r="I32">
        <f t="shared" si="26"/>
        <v>0</v>
      </c>
      <c r="J32">
        <f t="shared" si="26"/>
        <v>0</v>
      </c>
      <c r="K32">
        <f t="shared" si="26"/>
        <v>0</v>
      </c>
      <c r="L32">
        <f t="shared" si="26"/>
        <v>0</v>
      </c>
      <c r="M32">
        <f t="shared" si="26"/>
        <v>0</v>
      </c>
      <c r="N32" s="2">
        <f t="shared" ref="N32:AV32" si="33">IFERROR(IF($M32-$D32&gt;=0,($M32-$D32)/COUNT($E$1:$M$1)+M32,$F385*$E385^N$1),0)</f>
        <v>0</v>
      </c>
      <c r="O32" s="2">
        <f t="shared" si="33"/>
        <v>0</v>
      </c>
      <c r="P32" s="2">
        <f t="shared" si="33"/>
        <v>0</v>
      </c>
      <c r="Q32" s="2">
        <f t="shared" si="33"/>
        <v>0</v>
      </c>
      <c r="R32" s="2">
        <f t="shared" si="33"/>
        <v>0</v>
      </c>
      <c r="S32" s="2">
        <f t="shared" si="33"/>
        <v>0</v>
      </c>
      <c r="T32" s="2">
        <f t="shared" si="33"/>
        <v>0</v>
      </c>
      <c r="U32" s="2">
        <f t="shared" si="33"/>
        <v>0</v>
      </c>
      <c r="V32" s="2">
        <f t="shared" si="33"/>
        <v>0</v>
      </c>
      <c r="W32" s="2">
        <f t="shared" si="33"/>
        <v>0</v>
      </c>
      <c r="X32" s="2">
        <f t="shared" si="33"/>
        <v>0</v>
      </c>
      <c r="Y32" s="2">
        <f t="shared" si="33"/>
        <v>0</v>
      </c>
      <c r="Z32" s="2">
        <f t="shared" si="33"/>
        <v>0</v>
      </c>
      <c r="AA32" s="2">
        <f t="shared" si="33"/>
        <v>0</v>
      </c>
      <c r="AB32" s="2">
        <f t="shared" si="33"/>
        <v>0</v>
      </c>
      <c r="AC32" s="2">
        <f t="shared" si="33"/>
        <v>0</v>
      </c>
      <c r="AD32" s="2">
        <f t="shared" si="33"/>
        <v>0</v>
      </c>
      <c r="AE32" s="2">
        <f t="shared" si="33"/>
        <v>0</v>
      </c>
      <c r="AF32" s="2">
        <f t="shared" si="33"/>
        <v>0</v>
      </c>
      <c r="AG32" s="2">
        <f t="shared" si="33"/>
        <v>0</v>
      </c>
      <c r="AH32" s="2">
        <f t="shared" si="33"/>
        <v>0</v>
      </c>
      <c r="AI32" s="2">
        <f t="shared" si="33"/>
        <v>0</v>
      </c>
      <c r="AJ32" s="2">
        <f t="shared" si="33"/>
        <v>0</v>
      </c>
      <c r="AK32" s="2">
        <f t="shared" si="33"/>
        <v>0</v>
      </c>
      <c r="AL32" s="2">
        <f t="shared" si="33"/>
        <v>0</v>
      </c>
      <c r="AM32" s="2">
        <f t="shared" si="33"/>
        <v>0</v>
      </c>
      <c r="AN32" s="2">
        <f t="shared" si="33"/>
        <v>0</v>
      </c>
      <c r="AO32" s="2">
        <f t="shared" si="33"/>
        <v>0</v>
      </c>
      <c r="AP32" s="2">
        <f t="shared" si="33"/>
        <v>0</v>
      </c>
      <c r="AQ32" s="2">
        <f t="shared" si="33"/>
        <v>0</v>
      </c>
      <c r="AR32" s="2">
        <f t="shared" si="33"/>
        <v>0</v>
      </c>
      <c r="AS32" s="2">
        <f t="shared" si="33"/>
        <v>0</v>
      </c>
      <c r="AT32" s="2">
        <f t="shared" si="33"/>
        <v>0</v>
      </c>
      <c r="AU32" s="2">
        <f t="shared" si="33"/>
        <v>0</v>
      </c>
      <c r="AV32" s="2">
        <f t="shared" si="33"/>
        <v>0</v>
      </c>
    </row>
    <row r="33" spans="1:48" x14ac:dyDescent="0.25">
      <c r="A33" s="355" t="s">
        <v>1977</v>
      </c>
      <c r="B33" t="s">
        <v>469</v>
      </c>
      <c r="C33" t="s">
        <v>1060</v>
      </c>
      <c r="D33">
        <f t="shared" si="26"/>
        <v>0</v>
      </c>
      <c r="E33">
        <f t="shared" si="26"/>
        <v>0</v>
      </c>
      <c r="F33">
        <f t="shared" si="26"/>
        <v>0</v>
      </c>
      <c r="G33">
        <f t="shared" si="26"/>
        <v>0</v>
      </c>
      <c r="H33">
        <f t="shared" si="26"/>
        <v>0</v>
      </c>
      <c r="I33">
        <f t="shared" si="26"/>
        <v>0</v>
      </c>
      <c r="J33">
        <f t="shared" si="26"/>
        <v>0</v>
      </c>
      <c r="K33">
        <f t="shared" si="26"/>
        <v>0</v>
      </c>
      <c r="L33">
        <f t="shared" si="26"/>
        <v>0</v>
      </c>
      <c r="M33">
        <f t="shared" si="26"/>
        <v>0</v>
      </c>
      <c r="N33" s="2">
        <f t="shared" ref="N33:AV33" si="34">IFERROR(IF($M33-$D33&gt;=0,($M33-$D33)/COUNT($E$1:$M$1)+M33,$F386*$E386^N$1),0)</f>
        <v>0</v>
      </c>
      <c r="O33" s="2">
        <f t="shared" si="34"/>
        <v>0</v>
      </c>
      <c r="P33" s="2">
        <f t="shared" si="34"/>
        <v>0</v>
      </c>
      <c r="Q33" s="2">
        <f t="shared" si="34"/>
        <v>0</v>
      </c>
      <c r="R33" s="2">
        <f t="shared" si="34"/>
        <v>0</v>
      </c>
      <c r="S33" s="2">
        <f t="shared" si="34"/>
        <v>0</v>
      </c>
      <c r="T33" s="2">
        <f t="shared" si="34"/>
        <v>0</v>
      </c>
      <c r="U33" s="2">
        <f t="shared" si="34"/>
        <v>0</v>
      </c>
      <c r="V33" s="2">
        <f t="shared" si="34"/>
        <v>0</v>
      </c>
      <c r="W33" s="2">
        <f t="shared" si="34"/>
        <v>0</v>
      </c>
      <c r="X33" s="2">
        <f t="shared" si="34"/>
        <v>0</v>
      </c>
      <c r="Y33" s="2">
        <f t="shared" si="34"/>
        <v>0</v>
      </c>
      <c r="Z33" s="2">
        <f t="shared" si="34"/>
        <v>0</v>
      </c>
      <c r="AA33" s="2">
        <f t="shared" si="34"/>
        <v>0</v>
      </c>
      <c r="AB33" s="2">
        <f t="shared" si="34"/>
        <v>0</v>
      </c>
      <c r="AC33" s="2">
        <f t="shared" si="34"/>
        <v>0</v>
      </c>
      <c r="AD33" s="2">
        <f t="shared" si="34"/>
        <v>0</v>
      </c>
      <c r="AE33" s="2">
        <f t="shared" si="34"/>
        <v>0</v>
      </c>
      <c r="AF33" s="2">
        <f t="shared" si="34"/>
        <v>0</v>
      </c>
      <c r="AG33" s="2">
        <f t="shared" si="34"/>
        <v>0</v>
      </c>
      <c r="AH33" s="2">
        <f t="shared" si="34"/>
        <v>0</v>
      </c>
      <c r="AI33" s="2">
        <f t="shared" si="34"/>
        <v>0</v>
      </c>
      <c r="AJ33" s="2">
        <f t="shared" si="34"/>
        <v>0</v>
      </c>
      <c r="AK33" s="2">
        <f t="shared" si="34"/>
        <v>0</v>
      </c>
      <c r="AL33" s="2">
        <f t="shared" si="34"/>
        <v>0</v>
      </c>
      <c r="AM33" s="2">
        <f t="shared" si="34"/>
        <v>0</v>
      </c>
      <c r="AN33" s="2">
        <f t="shared" si="34"/>
        <v>0</v>
      </c>
      <c r="AO33" s="2">
        <f t="shared" si="34"/>
        <v>0</v>
      </c>
      <c r="AP33" s="2">
        <f t="shared" si="34"/>
        <v>0</v>
      </c>
      <c r="AQ33" s="2">
        <f t="shared" si="34"/>
        <v>0</v>
      </c>
      <c r="AR33" s="2">
        <f t="shared" si="34"/>
        <v>0</v>
      </c>
      <c r="AS33" s="2">
        <f t="shared" si="34"/>
        <v>0</v>
      </c>
      <c r="AT33" s="2">
        <f t="shared" si="34"/>
        <v>0</v>
      </c>
      <c r="AU33" s="2">
        <f t="shared" si="34"/>
        <v>0</v>
      </c>
      <c r="AV33" s="2">
        <f t="shared" si="34"/>
        <v>0</v>
      </c>
    </row>
    <row r="34" spans="1:48" x14ac:dyDescent="0.25">
      <c r="A34" s="354" t="s">
        <v>1696</v>
      </c>
      <c r="B34" t="s">
        <v>273</v>
      </c>
      <c r="C34" t="s">
        <v>1060</v>
      </c>
      <c r="D34">
        <f t="shared" si="26"/>
        <v>0</v>
      </c>
      <c r="E34">
        <f t="shared" si="26"/>
        <v>0</v>
      </c>
      <c r="F34">
        <f t="shared" si="26"/>
        <v>0</v>
      </c>
      <c r="G34">
        <f t="shared" si="26"/>
        <v>0</v>
      </c>
      <c r="H34">
        <f t="shared" si="26"/>
        <v>0</v>
      </c>
      <c r="I34">
        <f t="shared" si="26"/>
        <v>0</v>
      </c>
      <c r="J34">
        <f t="shared" si="26"/>
        <v>0</v>
      </c>
      <c r="K34">
        <f t="shared" si="26"/>
        <v>0</v>
      </c>
      <c r="L34">
        <f t="shared" si="26"/>
        <v>0</v>
      </c>
      <c r="M34">
        <f t="shared" si="26"/>
        <v>0</v>
      </c>
      <c r="N34" s="2">
        <f t="shared" ref="N34:AV34" si="35">IFERROR(IF($M34-$D34&gt;=0,($M34-$D34)/COUNT($E$1:$M$1)+M34,$F387*$E387^N$1),0)</f>
        <v>0</v>
      </c>
      <c r="O34" s="2">
        <f t="shared" si="35"/>
        <v>0</v>
      </c>
      <c r="P34" s="2">
        <f t="shared" si="35"/>
        <v>0</v>
      </c>
      <c r="Q34" s="2">
        <f t="shared" si="35"/>
        <v>0</v>
      </c>
      <c r="R34" s="2">
        <f t="shared" si="35"/>
        <v>0</v>
      </c>
      <c r="S34" s="2">
        <f t="shared" si="35"/>
        <v>0</v>
      </c>
      <c r="T34" s="2">
        <f t="shared" si="35"/>
        <v>0</v>
      </c>
      <c r="U34" s="2">
        <f t="shared" si="35"/>
        <v>0</v>
      </c>
      <c r="V34" s="2">
        <f t="shared" si="35"/>
        <v>0</v>
      </c>
      <c r="W34" s="2">
        <f t="shared" si="35"/>
        <v>0</v>
      </c>
      <c r="X34" s="2">
        <f t="shared" si="35"/>
        <v>0</v>
      </c>
      <c r="Y34" s="2">
        <f t="shared" si="35"/>
        <v>0</v>
      </c>
      <c r="Z34" s="2">
        <f t="shared" si="35"/>
        <v>0</v>
      </c>
      <c r="AA34" s="2">
        <f t="shared" si="35"/>
        <v>0</v>
      </c>
      <c r="AB34" s="2">
        <f t="shared" si="35"/>
        <v>0</v>
      </c>
      <c r="AC34" s="2">
        <f t="shared" si="35"/>
        <v>0</v>
      </c>
      <c r="AD34" s="2">
        <f t="shared" si="35"/>
        <v>0</v>
      </c>
      <c r="AE34" s="2">
        <f t="shared" si="35"/>
        <v>0</v>
      </c>
      <c r="AF34" s="2">
        <f t="shared" si="35"/>
        <v>0</v>
      </c>
      <c r="AG34" s="2">
        <f t="shared" si="35"/>
        <v>0</v>
      </c>
      <c r="AH34" s="2">
        <f t="shared" si="35"/>
        <v>0</v>
      </c>
      <c r="AI34" s="2">
        <f t="shared" si="35"/>
        <v>0</v>
      </c>
      <c r="AJ34" s="2">
        <f t="shared" si="35"/>
        <v>0</v>
      </c>
      <c r="AK34" s="2">
        <f t="shared" si="35"/>
        <v>0</v>
      </c>
      <c r="AL34" s="2">
        <f t="shared" si="35"/>
        <v>0</v>
      </c>
      <c r="AM34" s="2">
        <f t="shared" si="35"/>
        <v>0</v>
      </c>
      <c r="AN34" s="2">
        <f t="shared" si="35"/>
        <v>0</v>
      </c>
      <c r="AO34" s="2">
        <f t="shared" si="35"/>
        <v>0</v>
      </c>
      <c r="AP34" s="2">
        <f t="shared" si="35"/>
        <v>0</v>
      </c>
      <c r="AQ34" s="2">
        <f t="shared" si="35"/>
        <v>0</v>
      </c>
      <c r="AR34" s="2">
        <f t="shared" si="35"/>
        <v>0</v>
      </c>
      <c r="AS34" s="2">
        <f t="shared" si="35"/>
        <v>0</v>
      </c>
      <c r="AT34" s="2">
        <f t="shared" si="35"/>
        <v>0</v>
      </c>
      <c r="AU34" s="2">
        <f t="shared" si="35"/>
        <v>0</v>
      </c>
      <c r="AV34" s="2">
        <f t="shared" si="35"/>
        <v>0</v>
      </c>
    </row>
    <row r="35" spans="1:48" x14ac:dyDescent="0.25">
      <c r="A35" s="354" t="s">
        <v>1697</v>
      </c>
      <c r="B35" t="s">
        <v>272</v>
      </c>
      <c r="C35" t="s">
        <v>1060</v>
      </c>
      <c r="D35">
        <f t="shared" si="26"/>
        <v>2</v>
      </c>
      <c r="E35">
        <f t="shared" si="26"/>
        <v>2</v>
      </c>
      <c r="F35">
        <f t="shared" si="26"/>
        <v>2</v>
      </c>
      <c r="G35">
        <f t="shared" si="26"/>
        <v>2</v>
      </c>
      <c r="H35">
        <f t="shared" si="26"/>
        <v>2</v>
      </c>
      <c r="I35">
        <f t="shared" si="26"/>
        <v>2</v>
      </c>
      <c r="J35">
        <f t="shared" si="26"/>
        <v>3</v>
      </c>
      <c r="K35">
        <f t="shared" si="26"/>
        <v>3</v>
      </c>
      <c r="L35">
        <f t="shared" si="26"/>
        <v>5</v>
      </c>
      <c r="M35">
        <f t="shared" si="26"/>
        <v>7</v>
      </c>
      <c r="N35" s="2">
        <f t="shared" ref="N35:AV35" si="36">IFERROR(IF($M35-$D35&gt;=0,($M35-$D35)/COUNT($E$1:$M$1)+M35,$F388*$E388^N$1),0)</f>
        <v>7.5555555555555554</v>
      </c>
      <c r="O35" s="2">
        <f t="shared" si="36"/>
        <v>8.1111111111111107</v>
      </c>
      <c r="P35" s="2">
        <f t="shared" si="36"/>
        <v>8.6666666666666661</v>
      </c>
      <c r="Q35" s="2">
        <f t="shared" si="36"/>
        <v>9.2222222222222214</v>
      </c>
      <c r="R35" s="2">
        <f t="shared" si="36"/>
        <v>9.7777777777777768</v>
      </c>
      <c r="S35" s="2">
        <f t="shared" si="36"/>
        <v>10.333333333333332</v>
      </c>
      <c r="T35" s="2">
        <f t="shared" si="36"/>
        <v>10.888888888888888</v>
      </c>
      <c r="U35" s="2">
        <f t="shared" si="36"/>
        <v>11.444444444444443</v>
      </c>
      <c r="V35" s="2">
        <f t="shared" si="36"/>
        <v>11.999999999999998</v>
      </c>
      <c r="W35" s="2">
        <f t="shared" si="36"/>
        <v>12.555555555555554</v>
      </c>
      <c r="X35" s="2">
        <f t="shared" si="36"/>
        <v>13.111111111111109</v>
      </c>
      <c r="Y35" s="2">
        <f t="shared" si="36"/>
        <v>13.666666666666664</v>
      </c>
      <c r="Z35" s="2">
        <f t="shared" si="36"/>
        <v>14.22222222222222</v>
      </c>
      <c r="AA35" s="2">
        <f t="shared" si="36"/>
        <v>14.777777777777775</v>
      </c>
      <c r="AB35" s="2">
        <f t="shared" si="36"/>
        <v>15.33333333333333</v>
      </c>
      <c r="AC35" s="2">
        <f t="shared" si="36"/>
        <v>15.888888888888886</v>
      </c>
      <c r="AD35" s="2">
        <f t="shared" si="36"/>
        <v>16.444444444444443</v>
      </c>
      <c r="AE35" s="2">
        <f t="shared" si="36"/>
        <v>17</v>
      </c>
      <c r="AF35" s="2">
        <f t="shared" si="36"/>
        <v>17.555555555555557</v>
      </c>
      <c r="AG35" s="2">
        <f t="shared" si="36"/>
        <v>18.111111111111114</v>
      </c>
      <c r="AH35" s="2">
        <f t="shared" si="36"/>
        <v>18.666666666666671</v>
      </c>
      <c r="AI35" s="2">
        <f t="shared" si="36"/>
        <v>19.222222222222229</v>
      </c>
      <c r="AJ35" s="2">
        <f t="shared" si="36"/>
        <v>19.777777777777786</v>
      </c>
      <c r="AK35" s="2">
        <f t="shared" si="36"/>
        <v>20.333333333333343</v>
      </c>
      <c r="AL35" s="2">
        <f t="shared" si="36"/>
        <v>20.8888888888889</v>
      </c>
      <c r="AM35" s="2">
        <f t="shared" si="36"/>
        <v>21.444444444444457</v>
      </c>
      <c r="AN35" s="2">
        <f t="shared" si="36"/>
        <v>22.000000000000014</v>
      </c>
      <c r="AO35" s="2">
        <f t="shared" si="36"/>
        <v>22.555555555555571</v>
      </c>
      <c r="AP35" s="2">
        <f t="shared" si="36"/>
        <v>23.111111111111128</v>
      </c>
      <c r="AQ35" s="2">
        <f t="shared" si="36"/>
        <v>23.666666666666686</v>
      </c>
      <c r="AR35" s="2">
        <f t="shared" si="36"/>
        <v>24.222222222222243</v>
      </c>
      <c r="AS35" s="2">
        <f t="shared" si="36"/>
        <v>24.7777777777778</v>
      </c>
      <c r="AT35" s="2">
        <f t="shared" si="36"/>
        <v>25.333333333333357</v>
      </c>
      <c r="AU35" s="2">
        <f t="shared" si="36"/>
        <v>25.888888888888914</v>
      </c>
      <c r="AV35" s="2">
        <f t="shared" si="36"/>
        <v>26.444444444444471</v>
      </c>
    </row>
    <row r="36" spans="1:48" x14ac:dyDescent="0.25">
      <c r="A36" s="354" t="s">
        <v>1698</v>
      </c>
      <c r="B36" t="s">
        <v>469</v>
      </c>
      <c r="C36" t="s">
        <v>1060</v>
      </c>
      <c r="D36">
        <f t="shared" ref="D36:M44" si="37">IFERROR(INDEX($B$211:$AA$229,MATCH($A36,$A$211:$A$229,0),MATCH(D$1,$B$175:$AA$175,0)),0)</f>
        <v>0</v>
      </c>
      <c r="E36">
        <f t="shared" si="37"/>
        <v>0</v>
      </c>
      <c r="F36">
        <f t="shared" si="37"/>
        <v>0</v>
      </c>
      <c r="G36">
        <f t="shared" si="37"/>
        <v>0</v>
      </c>
      <c r="H36">
        <f t="shared" si="37"/>
        <v>0</v>
      </c>
      <c r="I36">
        <f t="shared" si="37"/>
        <v>0</v>
      </c>
      <c r="J36">
        <f t="shared" si="37"/>
        <v>0</v>
      </c>
      <c r="K36">
        <f t="shared" si="37"/>
        <v>0</v>
      </c>
      <c r="L36">
        <f t="shared" si="37"/>
        <v>0</v>
      </c>
      <c r="M36">
        <f t="shared" si="37"/>
        <v>0</v>
      </c>
      <c r="N36" s="2">
        <f t="shared" ref="N36:AV36" si="38">IFERROR(IF($M36-$D36&gt;=0,($M36-$D36)/COUNT($E$1:$M$1)+M36,$F389*$E389^N$1),0)</f>
        <v>0</v>
      </c>
      <c r="O36" s="2">
        <f t="shared" si="38"/>
        <v>0</v>
      </c>
      <c r="P36" s="2">
        <f t="shared" si="38"/>
        <v>0</v>
      </c>
      <c r="Q36" s="2">
        <f t="shared" si="38"/>
        <v>0</v>
      </c>
      <c r="R36" s="2">
        <f t="shared" si="38"/>
        <v>0</v>
      </c>
      <c r="S36" s="2">
        <f t="shared" si="38"/>
        <v>0</v>
      </c>
      <c r="T36" s="2">
        <f t="shared" si="38"/>
        <v>0</v>
      </c>
      <c r="U36" s="2">
        <f t="shared" si="38"/>
        <v>0</v>
      </c>
      <c r="V36" s="2">
        <f t="shared" si="38"/>
        <v>0</v>
      </c>
      <c r="W36" s="2">
        <f t="shared" si="38"/>
        <v>0</v>
      </c>
      <c r="X36" s="2">
        <f t="shared" si="38"/>
        <v>0</v>
      </c>
      <c r="Y36" s="2">
        <f t="shared" si="38"/>
        <v>0</v>
      </c>
      <c r="Z36" s="2">
        <f t="shared" si="38"/>
        <v>0</v>
      </c>
      <c r="AA36" s="2">
        <f t="shared" si="38"/>
        <v>0</v>
      </c>
      <c r="AB36" s="2">
        <f t="shared" si="38"/>
        <v>0</v>
      </c>
      <c r="AC36" s="2">
        <f t="shared" si="38"/>
        <v>0</v>
      </c>
      <c r="AD36" s="2">
        <f t="shared" si="38"/>
        <v>0</v>
      </c>
      <c r="AE36" s="2">
        <f t="shared" si="38"/>
        <v>0</v>
      </c>
      <c r="AF36" s="2">
        <f t="shared" si="38"/>
        <v>0</v>
      </c>
      <c r="AG36" s="2">
        <f t="shared" si="38"/>
        <v>0</v>
      </c>
      <c r="AH36" s="2">
        <f t="shared" si="38"/>
        <v>0</v>
      </c>
      <c r="AI36" s="2">
        <f t="shared" si="38"/>
        <v>0</v>
      </c>
      <c r="AJ36" s="2">
        <f t="shared" si="38"/>
        <v>0</v>
      </c>
      <c r="AK36" s="2">
        <f t="shared" si="38"/>
        <v>0</v>
      </c>
      <c r="AL36" s="2">
        <f t="shared" si="38"/>
        <v>0</v>
      </c>
      <c r="AM36" s="2">
        <f t="shared" si="38"/>
        <v>0</v>
      </c>
      <c r="AN36" s="2">
        <f t="shared" si="38"/>
        <v>0</v>
      </c>
      <c r="AO36" s="2">
        <f t="shared" si="38"/>
        <v>0</v>
      </c>
      <c r="AP36" s="2">
        <f t="shared" si="38"/>
        <v>0</v>
      </c>
      <c r="AQ36" s="2">
        <f t="shared" si="38"/>
        <v>0</v>
      </c>
      <c r="AR36" s="2">
        <f t="shared" si="38"/>
        <v>0</v>
      </c>
      <c r="AS36" s="2">
        <f t="shared" si="38"/>
        <v>0</v>
      </c>
      <c r="AT36" s="2">
        <f t="shared" si="38"/>
        <v>0</v>
      </c>
      <c r="AU36" s="2">
        <f t="shared" si="38"/>
        <v>0</v>
      </c>
      <c r="AV36" s="2">
        <f t="shared" si="38"/>
        <v>0</v>
      </c>
    </row>
    <row r="37" spans="1:48" x14ac:dyDescent="0.25">
      <c r="A37" s="354" t="s">
        <v>1699</v>
      </c>
      <c r="B37" t="s">
        <v>469</v>
      </c>
      <c r="C37" t="s">
        <v>1060</v>
      </c>
      <c r="D37">
        <f t="shared" si="37"/>
        <v>0</v>
      </c>
      <c r="E37">
        <f t="shared" si="37"/>
        <v>0</v>
      </c>
      <c r="F37">
        <f t="shared" si="37"/>
        <v>0</v>
      </c>
      <c r="G37">
        <f t="shared" si="37"/>
        <v>0</v>
      </c>
      <c r="H37">
        <f t="shared" si="37"/>
        <v>0</v>
      </c>
      <c r="I37">
        <f t="shared" si="37"/>
        <v>0</v>
      </c>
      <c r="J37">
        <f t="shared" si="37"/>
        <v>0</v>
      </c>
      <c r="K37">
        <f t="shared" si="37"/>
        <v>0</v>
      </c>
      <c r="L37">
        <f t="shared" si="37"/>
        <v>0</v>
      </c>
      <c r="M37">
        <f t="shared" si="37"/>
        <v>0</v>
      </c>
      <c r="N37" s="2">
        <f t="shared" ref="N37:AV37" si="39">IFERROR(IF($M37-$D37&gt;=0,($M37-$D37)/COUNT($E$1:$M$1)+M37,$F390*$E390^N$1),0)</f>
        <v>0</v>
      </c>
      <c r="O37" s="2">
        <f t="shared" si="39"/>
        <v>0</v>
      </c>
      <c r="P37" s="2">
        <f t="shared" si="39"/>
        <v>0</v>
      </c>
      <c r="Q37" s="2">
        <f t="shared" si="39"/>
        <v>0</v>
      </c>
      <c r="R37" s="2">
        <f t="shared" si="39"/>
        <v>0</v>
      </c>
      <c r="S37" s="2">
        <f t="shared" si="39"/>
        <v>0</v>
      </c>
      <c r="T37" s="2">
        <f t="shared" si="39"/>
        <v>0</v>
      </c>
      <c r="U37" s="2">
        <f t="shared" si="39"/>
        <v>0</v>
      </c>
      <c r="V37" s="2">
        <f t="shared" si="39"/>
        <v>0</v>
      </c>
      <c r="W37" s="2">
        <f t="shared" si="39"/>
        <v>0</v>
      </c>
      <c r="X37" s="2">
        <f t="shared" si="39"/>
        <v>0</v>
      </c>
      <c r="Y37" s="2">
        <f t="shared" si="39"/>
        <v>0</v>
      </c>
      <c r="Z37" s="2">
        <f t="shared" si="39"/>
        <v>0</v>
      </c>
      <c r="AA37" s="2">
        <f t="shared" si="39"/>
        <v>0</v>
      </c>
      <c r="AB37" s="2">
        <f t="shared" si="39"/>
        <v>0</v>
      </c>
      <c r="AC37" s="2">
        <f t="shared" si="39"/>
        <v>0</v>
      </c>
      <c r="AD37" s="2">
        <f t="shared" si="39"/>
        <v>0</v>
      </c>
      <c r="AE37" s="2">
        <f t="shared" si="39"/>
        <v>0</v>
      </c>
      <c r="AF37" s="2">
        <f t="shared" si="39"/>
        <v>0</v>
      </c>
      <c r="AG37" s="2">
        <f t="shared" si="39"/>
        <v>0</v>
      </c>
      <c r="AH37" s="2">
        <f t="shared" si="39"/>
        <v>0</v>
      </c>
      <c r="AI37" s="2">
        <f t="shared" si="39"/>
        <v>0</v>
      </c>
      <c r="AJ37" s="2">
        <f t="shared" si="39"/>
        <v>0</v>
      </c>
      <c r="AK37" s="2">
        <f t="shared" si="39"/>
        <v>0</v>
      </c>
      <c r="AL37" s="2">
        <f t="shared" si="39"/>
        <v>0</v>
      </c>
      <c r="AM37" s="2">
        <f t="shared" si="39"/>
        <v>0</v>
      </c>
      <c r="AN37" s="2">
        <f t="shared" si="39"/>
        <v>0</v>
      </c>
      <c r="AO37" s="2">
        <f t="shared" si="39"/>
        <v>0</v>
      </c>
      <c r="AP37" s="2">
        <f t="shared" si="39"/>
        <v>0</v>
      </c>
      <c r="AQ37" s="2">
        <f t="shared" si="39"/>
        <v>0</v>
      </c>
      <c r="AR37" s="2">
        <f t="shared" si="39"/>
        <v>0</v>
      </c>
      <c r="AS37" s="2">
        <f t="shared" si="39"/>
        <v>0</v>
      </c>
      <c r="AT37" s="2">
        <f t="shared" si="39"/>
        <v>0</v>
      </c>
      <c r="AU37" s="2">
        <f t="shared" si="39"/>
        <v>0</v>
      </c>
      <c r="AV37" s="2">
        <f t="shared" si="39"/>
        <v>0</v>
      </c>
    </row>
    <row r="38" spans="1:48" x14ac:dyDescent="0.25">
      <c r="A38" s="354" t="s">
        <v>1700</v>
      </c>
      <c r="B38" t="s">
        <v>469</v>
      </c>
      <c r="C38" t="s">
        <v>1060</v>
      </c>
      <c r="D38">
        <f t="shared" si="37"/>
        <v>0</v>
      </c>
      <c r="E38">
        <f t="shared" si="37"/>
        <v>0</v>
      </c>
      <c r="F38">
        <f t="shared" si="37"/>
        <v>0</v>
      </c>
      <c r="G38">
        <f t="shared" si="37"/>
        <v>0</v>
      </c>
      <c r="H38">
        <f t="shared" si="37"/>
        <v>0</v>
      </c>
      <c r="I38">
        <f t="shared" si="37"/>
        <v>0</v>
      </c>
      <c r="J38">
        <f t="shared" si="37"/>
        <v>0</v>
      </c>
      <c r="K38">
        <f t="shared" si="37"/>
        <v>0</v>
      </c>
      <c r="L38">
        <f t="shared" si="37"/>
        <v>0</v>
      </c>
      <c r="M38">
        <f t="shared" si="37"/>
        <v>0</v>
      </c>
      <c r="N38" s="2">
        <f t="shared" ref="N38:AV38" si="40">IFERROR(IF($M38-$D38&gt;=0,($M38-$D38)/COUNT($E$1:$M$1)+M38,$F391*$E391^N$1),0)</f>
        <v>0</v>
      </c>
      <c r="O38" s="2">
        <f t="shared" si="40"/>
        <v>0</v>
      </c>
      <c r="P38" s="2">
        <f t="shared" si="40"/>
        <v>0</v>
      </c>
      <c r="Q38" s="2">
        <f t="shared" si="40"/>
        <v>0</v>
      </c>
      <c r="R38" s="2">
        <f t="shared" si="40"/>
        <v>0</v>
      </c>
      <c r="S38" s="2">
        <f t="shared" si="40"/>
        <v>0</v>
      </c>
      <c r="T38" s="2">
        <f t="shared" si="40"/>
        <v>0</v>
      </c>
      <c r="U38" s="2">
        <f t="shared" si="40"/>
        <v>0</v>
      </c>
      <c r="V38" s="2">
        <f t="shared" si="40"/>
        <v>0</v>
      </c>
      <c r="W38" s="2">
        <f t="shared" si="40"/>
        <v>0</v>
      </c>
      <c r="X38" s="2">
        <f t="shared" si="40"/>
        <v>0</v>
      </c>
      <c r="Y38" s="2">
        <f t="shared" si="40"/>
        <v>0</v>
      </c>
      <c r="Z38" s="2">
        <f t="shared" si="40"/>
        <v>0</v>
      </c>
      <c r="AA38" s="2">
        <f t="shared" si="40"/>
        <v>0</v>
      </c>
      <c r="AB38" s="2">
        <f t="shared" si="40"/>
        <v>0</v>
      </c>
      <c r="AC38" s="2">
        <f t="shared" si="40"/>
        <v>0</v>
      </c>
      <c r="AD38" s="2">
        <f t="shared" si="40"/>
        <v>0</v>
      </c>
      <c r="AE38" s="2">
        <f t="shared" si="40"/>
        <v>0</v>
      </c>
      <c r="AF38" s="2">
        <f t="shared" si="40"/>
        <v>0</v>
      </c>
      <c r="AG38" s="2">
        <f t="shared" si="40"/>
        <v>0</v>
      </c>
      <c r="AH38" s="2">
        <f t="shared" si="40"/>
        <v>0</v>
      </c>
      <c r="AI38" s="2">
        <f t="shared" si="40"/>
        <v>0</v>
      </c>
      <c r="AJ38" s="2">
        <f t="shared" si="40"/>
        <v>0</v>
      </c>
      <c r="AK38" s="2">
        <f t="shared" si="40"/>
        <v>0</v>
      </c>
      <c r="AL38" s="2">
        <f t="shared" si="40"/>
        <v>0</v>
      </c>
      <c r="AM38" s="2">
        <f t="shared" si="40"/>
        <v>0</v>
      </c>
      <c r="AN38" s="2">
        <f t="shared" si="40"/>
        <v>0</v>
      </c>
      <c r="AO38" s="2">
        <f t="shared" si="40"/>
        <v>0</v>
      </c>
      <c r="AP38" s="2">
        <f t="shared" si="40"/>
        <v>0</v>
      </c>
      <c r="AQ38" s="2">
        <f t="shared" si="40"/>
        <v>0</v>
      </c>
      <c r="AR38" s="2">
        <f t="shared" si="40"/>
        <v>0</v>
      </c>
      <c r="AS38" s="2">
        <f t="shared" si="40"/>
        <v>0</v>
      </c>
      <c r="AT38" s="2">
        <f t="shared" si="40"/>
        <v>0</v>
      </c>
      <c r="AU38" s="2">
        <f t="shared" si="40"/>
        <v>0</v>
      </c>
      <c r="AV38" s="2">
        <f t="shared" si="40"/>
        <v>0</v>
      </c>
    </row>
    <row r="39" spans="1:48" x14ac:dyDescent="0.25">
      <c r="A39" s="354" t="s">
        <v>1701</v>
      </c>
      <c r="B39" t="s">
        <v>273</v>
      </c>
      <c r="C39" t="s">
        <v>1060</v>
      </c>
      <c r="D39">
        <f t="shared" si="37"/>
        <v>0</v>
      </c>
      <c r="E39">
        <f t="shared" si="37"/>
        <v>0</v>
      </c>
      <c r="F39">
        <f t="shared" si="37"/>
        <v>0</v>
      </c>
      <c r="G39">
        <f t="shared" si="37"/>
        <v>0</v>
      </c>
      <c r="H39">
        <f t="shared" si="37"/>
        <v>0</v>
      </c>
      <c r="I39">
        <f t="shared" si="37"/>
        <v>0</v>
      </c>
      <c r="J39">
        <f t="shared" si="37"/>
        <v>0</v>
      </c>
      <c r="K39">
        <f t="shared" si="37"/>
        <v>0</v>
      </c>
      <c r="L39">
        <f t="shared" si="37"/>
        <v>0</v>
      </c>
      <c r="M39">
        <f t="shared" si="37"/>
        <v>0</v>
      </c>
      <c r="N39" s="2">
        <f t="shared" ref="N39:AV39" si="41">IFERROR(IF($M39-$D39&gt;=0,($M39-$D39)/COUNT($E$1:$M$1)+M39,$F392*$E392^N$1),0)</f>
        <v>0</v>
      </c>
      <c r="O39" s="2">
        <f t="shared" si="41"/>
        <v>0</v>
      </c>
      <c r="P39" s="2">
        <f t="shared" si="41"/>
        <v>0</v>
      </c>
      <c r="Q39" s="2">
        <f t="shared" si="41"/>
        <v>0</v>
      </c>
      <c r="R39" s="2">
        <f t="shared" si="41"/>
        <v>0</v>
      </c>
      <c r="S39" s="2">
        <f t="shared" si="41"/>
        <v>0</v>
      </c>
      <c r="T39" s="2">
        <f t="shared" si="41"/>
        <v>0</v>
      </c>
      <c r="U39" s="2">
        <f t="shared" si="41"/>
        <v>0</v>
      </c>
      <c r="V39" s="2">
        <f t="shared" si="41"/>
        <v>0</v>
      </c>
      <c r="W39" s="2">
        <f t="shared" si="41"/>
        <v>0</v>
      </c>
      <c r="X39" s="2">
        <f t="shared" si="41"/>
        <v>0</v>
      </c>
      <c r="Y39" s="2">
        <f t="shared" si="41"/>
        <v>0</v>
      </c>
      <c r="Z39" s="2">
        <f t="shared" si="41"/>
        <v>0</v>
      </c>
      <c r="AA39" s="2">
        <f t="shared" si="41"/>
        <v>0</v>
      </c>
      <c r="AB39" s="2">
        <f t="shared" si="41"/>
        <v>0</v>
      </c>
      <c r="AC39" s="2">
        <f t="shared" si="41"/>
        <v>0</v>
      </c>
      <c r="AD39" s="2">
        <f t="shared" si="41"/>
        <v>0</v>
      </c>
      <c r="AE39" s="2">
        <f t="shared" si="41"/>
        <v>0</v>
      </c>
      <c r="AF39" s="2">
        <f t="shared" si="41"/>
        <v>0</v>
      </c>
      <c r="AG39" s="2">
        <f t="shared" si="41"/>
        <v>0</v>
      </c>
      <c r="AH39" s="2">
        <f t="shared" si="41"/>
        <v>0</v>
      </c>
      <c r="AI39" s="2">
        <f t="shared" si="41"/>
        <v>0</v>
      </c>
      <c r="AJ39" s="2">
        <f t="shared" si="41"/>
        <v>0</v>
      </c>
      <c r="AK39" s="2">
        <f t="shared" si="41"/>
        <v>0</v>
      </c>
      <c r="AL39" s="2">
        <f t="shared" si="41"/>
        <v>0</v>
      </c>
      <c r="AM39" s="2">
        <f t="shared" si="41"/>
        <v>0</v>
      </c>
      <c r="AN39" s="2">
        <f t="shared" si="41"/>
        <v>0</v>
      </c>
      <c r="AO39" s="2">
        <f t="shared" si="41"/>
        <v>0</v>
      </c>
      <c r="AP39" s="2">
        <f t="shared" si="41"/>
        <v>0</v>
      </c>
      <c r="AQ39" s="2">
        <f t="shared" si="41"/>
        <v>0</v>
      </c>
      <c r="AR39" s="2">
        <f t="shared" si="41"/>
        <v>0</v>
      </c>
      <c r="AS39" s="2">
        <f t="shared" si="41"/>
        <v>0</v>
      </c>
      <c r="AT39" s="2">
        <f t="shared" si="41"/>
        <v>0</v>
      </c>
      <c r="AU39" s="2">
        <f t="shared" si="41"/>
        <v>0</v>
      </c>
      <c r="AV39" s="2">
        <f t="shared" si="41"/>
        <v>0</v>
      </c>
    </row>
    <row r="40" spans="1:48" x14ac:dyDescent="0.25">
      <c r="A40" s="354" t="s">
        <v>1702</v>
      </c>
      <c r="B40" t="s">
        <v>469</v>
      </c>
      <c r="C40" t="s">
        <v>1060</v>
      </c>
      <c r="D40">
        <f t="shared" si="37"/>
        <v>0</v>
      </c>
      <c r="E40">
        <f t="shared" si="37"/>
        <v>0</v>
      </c>
      <c r="F40">
        <f t="shared" si="37"/>
        <v>0</v>
      </c>
      <c r="G40">
        <f t="shared" si="37"/>
        <v>0</v>
      </c>
      <c r="H40">
        <f t="shared" si="37"/>
        <v>0</v>
      </c>
      <c r="I40">
        <f t="shared" si="37"/>
        <v>0</v>
      </c>
      <c r="J40">
        <f t="shared" si="37"/>
        <v>0</v>
      </c>
      <c r="K40">
        <f t="shared" si="37"/>
        <v>0</v>
      </c>
      <c r="L40">
        <f t="shared" si="37"/>
        <v>0</v>
      </c>
      <c r="M40">
        <f t="shared" si="37"/>
        <v>0</v>
      </c>
      <c r="N40" s="2">
        <f t="shared" ref="N40:AV40" si="42">IFERROR(IF($M40-$D40&gt;=0,($M40-$D40)/COUNT($E$1:$M$1)+M40,$F393*$E393^N$1),0)</f>
        <v>0</v>
      </c>
      <c r="O40" s="2">
        <f t="shared" si="42"/>
        <v>0</v>
      </c>
      <c r="P40" s="2">
        <f t="shared" si="42"/>
        <v>0</v>
      </c>
      <c r="Q40" s="2">
        <f t="shared" si="42"/>
        <v>0</v>
      </c>
      <c r="R40" s="2">
        <f t="shared" si="42"/>
        <v>0</v>
      </c>
      <c r="S40" s="2">
        <f t="shared" si="42"/>
        <v>0</v>
      </c>
      <c r="T40" s="2">
        <f t="shared" si="42"/>
        <v>0</v>
      </c>
      <c r="U40" s="2">
        <f t="shared" si="42"/>
        <v>0</v>
      </c>
      <c r="V40" s="2">
        <f t="shared" si="42"/>
        <v>0</v>
      </c>
      <c r="W40" s="2">
        <f t="shared" si="42"/>
        <v>0</v>
      </c>
      <c r="X40" s="2">
        <f t="shared" si="42"/>
        <v>0</v>
      </c>
      <c r="Y40" s="2">
        <f t="shared" si="42"/>
        <v>0</v>
      </c>
      <c r="Z40" s="2">
        <f t="shared" si="42"/>
        <v>0</v>
      </c>
      <c r="AA40" s="2">
        <f t="shared" si="42"/>
        <v>0</v>
      </c>
      <c r="AB40" s="2">
        <f t="shared" si="42"/>
        <v>0</v>
      </c>
      <c r="AC40" s="2">
        <f t="shared" si="42"/>
        <v>0</v>
      </c>
      <c r="AD40" s="2">
        <f t="shared" si="42"/>
        <v>0</v>
      </c>
      <c r="AE40" s="2">
        <f t="shared" si="42"/>
        <v>0</v>
      </c>
      <c r="AF40" s="2">
        <f t="shared" si="42"/>
        <v>0</v>
      </c>
      <c r="AG40" s="2">
        <f t="shared" si="42"/>
        <v>0</v>
      </c>
      <c r="AH40" s="2">
        <f t="shared" si="42"/>
        <v>0</v>
      </c>
      <c r="AI40" s="2">
        <f t="shared" si="42"/>
        <v>0</v>
      </c>
      <c r="AJ40" s="2">
        <f t="shared" si="42"/>
        <v>0</v>
      </c>
      <c r="AK40" s="2">
        <f t="shared" si="42"/>
        <v>0</v>
      </c>
      <c r="AL40" s="2">
        <f t="shared" si="42"/>
        <v>0</v>
      </c>
      <c r="AM40" s="2">
        <f t="shared" si="42"/>
        <v>0</v>
      </c>
      <c r="AN40" s="2">
        <f t="shared" si="42"/>
        <v>0</v>
      </c>
      <c r="AO40" s="2">
        <f t="shared" si="42"/>
        <v>0</v>
      </c>
      <c r="AP40" s="2">
        <f t="shared" si="42"/>
        <v>0</v>
      </c>
      <c r="AQ40" s="2">
        <f t="shared" si="42"/>
        <v>0</v>
      </c>
      <c r="AR40" s="2">
        <f t="shared" si="42"/>
        <v>0</v>
      </c>
      <c r="AS40" s="2">
        <f t="shared" si="42"/>
        <v>0</v>
      </c>
      <c r="AT40" s="2">
        <f t="shared" si="42"/>
        <v>0</v>
      </c>
      <c r="AU40" s="2">
        <f t="shared" si="42"/>
        <v>0</v>
      </c>
      <c r="AV40" s="2">
        <f t="shared" si="42"/>
        <v>0</v>
      </c>
    </row>
    <row r="41" spans="1:48" x14ac:dyDescent="0.25">
      <c r="A41" s="354" t="s">
        <v>1703</v>
      </c>
      <c r="B41" t="s">
        <v>459</v>
      </c>
      <c r="C41" t="s">
        <v>1060</v>
      </c>
      <c r="D41">
        <f t="shared" si="37"/>
        <v>11</v>
      </c>
      <c r="E41">
        <f t="shared" si="37"/>
        <v>11</v>
      </c>
      <c r="F41">
        <f t="shared" si="37"/>
        <v>12</v>
      </c>
      <c r="G41">
        <f t="shared" si="37"/>
        <v>11</v>
      </c>
      <c r="H41">
        <f t="shared" si="37"/>
        <v>11</v>
      </c>
      <c r="I41">
        <f t="shared" si="37"/>
        <v>11</v>
      </c>
      <c r="J41">
        <f t="shared" si="37"/>
        <v>11</v>
      </c>
      <c r="K41">
        <f t="shared" si="37"/>
        <v>11</v>
      </c>
      <c r="L41">
        <f t="shared" si="37"/>
        <v>11</v>
      </c>
      <c r="M41">
        <f t="shared" si="37"/>
        <v>11</v>
      </c>
      <c r="N41" s="2">
        <f t="shared" ref="N41:AV41" si="43">IFERROR(IF($M41-$D41&gt;=0,($M41-$D41)/COUNT($E$1:$M$1)+M41,$F394*$E394^N$1),0)</f>
        <v>11</v>
      </c>
      <c r="O41" s="2">
        <f t="shared" si="43"/>
        <v>11</v>
      </c>
      <c r="P41" s="2">
        <f t="shared" si="43"/>
        <v>11</v>
      </c>
      <c r="Q41" s="2">
        <f t="shared" si="43"/>
        <v>11</v>
      </c>
      <c r="R41" s="2">
        <f t="shared" si="43"/>
        <v>11</v>
      </c>
      <c r="S41" s="2">
        <f t="shared" si="43"/>
        <v>11</v>
      </c>
      <c r="T41" s="2">
        <f t="shared" si="43"/>
        <v>11</v>
      </c>
      <c r="U41" s="2">
        <f t="shared" si="43"/>
        <v>11</v>
      </c>
      <c r="V41" s="2">
        <f t="shared" si="43"/>
        <v>11</v>
      </c>
      <c r="W41" s="2">
        <f t="shared" si="43"/>
        <v>11</v>
      </c>
      <c r="X41" s="2">
        <f t="shared" si="43"/>
        <v>11</v>
      </c>
      <c r="Y41" s="2">
        <f t="shared" si="43"/>
        <v>11</v>
      </c>
      <c r="Z41" s="2">
        <f t="shared" si="43"/>
        <v>11</v>
      </c>
      <c r="AA41" s="2">
        <f t="shared" si="43"/>
        <v>11</v>
      </c>
      <c r="AB41" s="2">
        <f t="shared" si="43"/>
        <v>11</v>
      </c>
      <c r="AC41" s="2">
        <f t="shared" si="43"/>
        <v>11</v>
      </c>
      <c r="AD41" s="2">
        <f t="shared" si="43"/>
        <v>11</v>
      </c>
      <c r="AE41" s="2">
        <f t="shared" si="43"/>
        <v>11</v>
      </c>
      <c r="AF41" s="2">
        <f t="shared" si="43"/>
        <v>11</v>
      </c>
      <c r="AG41" s="2">
        <f t="shared" si="43"/>
        <v>11</v>
      </c>
      <c r="AH41" s="2">
        <f t="shared" si="43"/>
        <v>11</v>
      </c>
      <c r="AI41" s="2">
        <f t="shared" si="43"/>
        <v>11</v>
      </c>
      <c r="AJ41" s="2">
        <f t="shared" si="43"/>
        <v>11</v>
      </c>
      <c r="AK41" s="2">
        <f t="shared" si="43"/>
        <v>11</v>
      </c>
      <c r="AL41" s="2">
        <f t="shared" si="43"/>
        <v>11</v>
      </c>
      <c r="AM41" s="2">
        <f t="shared" si="43"/>
        <v>11</v>
      </c>
      <c r="AN41" s="2">
        <f t="shared" si="43"/>
        <v>11</v>
      </c>
      <c r="AO41" s="2">
        <f t="shared" si="43"/>
        <v>11</v>
      </c>
      <c r="AP41" s="2">
        <f t="shared" si="43"/>
        <v>11</v>
      </c>
      <c r="AQ41" s="2">
        <f t="shared" si="43"/>
        <v>11</v>
      </c>
      <c r="AR41" s="2">
        <f t="shared" si="43"/>
        <v>11</v>
      </c>
      <c r="AS41" s="2">
        <f t="shared" si="43"/>
        <v>11</v>
      </c>
      <c r="AT41" s="2">
        <f t="shared" si="43"/>
        <v>11</v>
      </c>
      <c r="AU41" s="2">
        <f t="shared" si="43"/>
        <v>11</v>
      </c>
      <c r="AV41" s="2">
        <f t="shared" si="43"/>
        <v>11</v>
      </c>
    </row>
    <row r="42" spans="1:48" x14ac:dyDescent="0.25">
      <c r="A42" s="354" t="s">
        <v>1704</v>
      </c>
      <c r="B42" t="s">
        <v>463</v>
      </c>
      <c r="C42" t="s">
        <v>1060</v>
      </c>
      <c r="D42">
        <f t="shared" si="37"/>
        <v>0</v>
      </c>
      <c r="E42">
        <f t="shared" si="37"/>
        <v>0</v>
      </c>
      <c r="F42">
        <f t="shared" si="37"/>
        <v>0</v>
      </c>
      <c r="G42">
        <f t="shared" si="37"/>
        <v>0</v>
      </c>
      <c r="H42">
        <f t="shared" si="37"/>
        <v>0</v>
      </c>
      <c r="I42">
        <f t="shared" si="37"/>
        <v>0</v>
      </c>
      <c r="J42">
        <f t="shared" si="37"/>
        <v>0</v>
      </c>
      <c r="K42">
        <f t="shared" si="37"/>
        <v>0</v>
      </c>
      <c r="L42">
        <f t="shared" si="37"/>
        <v>0</v>
      </c>
      <c r="M42">
        <f t="shared" si="37"/>
        <v>0</v>
      </c>
      <c r="N42" s="2">
        <f t="shared" ref="N42:AV42" si="44">IFERROR(IF($M42-$D42&gt;=0,($M42-$D42)/COUNT($E$1:$M$1)+M42,$F395*$E395^N$1),0)</f>
        <v>0</v>
      </c>
      <c r="O42" s="2">
        <f t="shared" si="44"/>
        <v>0</v>
      </c>
      <c r="P42" s="2">
        <f t="shared" si="44"/>
        <v>0</v>
      </c>
      <c r="Q42" s="2">
        <f t="shared" si="44"/>
        <v>0</v>
      </c>
      <c r="R42" s="2">
        <f t="shared" si="44"/>
        <v>0</v>
      </c>
      <c r="S42" s="2">
        <f t="shared" si="44"/>
        <v>0</v>
      </c>
      <c r="T42" s="2">
        <f t="shared" si="44"/>
        <v>0</v>
      </c>
      <c r="U42" s="2">
        <f t="shared" si="44"/>
        <v>0</v>
      </c>
      <c r="V42" s="2">
        <f t="shared" si="44"/>
        <v>0</v>
      </c>
      <c r="W42" s="2">
        <f t="shared" si="44"/>
        <v>0</v>
      </c>
      <c r="X42" s="2">
        <f t="shared" si="44"/>
        <v>0</v>
      </c>
      <c r="Y42" s="2">
        <f t="shared" si="44"/>
        <v>0</v>
      </c>
      <c r="Z42" s="2">
        <f t="shared" si="44"/>
        <v>0</v>
      </c>
      <c r="AA42" s="2">
        <f t="shared" si="44"/>
        <v>0</v>
      </c>
      <c r="AB42" s="2">
        <f t="shared" si="44"/>
        <v>0</v>
      </c>
      <c r="AC42" s="2">
        <f t="shared" si="44"/>
        <v>0</v>
      </c>
      <c r="AD42" s="2">
        <f t="shared" si="44"/>
        <v>0</v>
      </c>
      <c r="AE42" s="2">
        <f t="shared" si="44"/>
        <v>0</v>
      </c>
      <c r="AF42" s="2">
        <f t="shared" si="44"/>
        <v>0</v>
      </c>
      <c r="AG42" s="2">
        <f t="shared" si="44"/>
        <v>0</v>
      </c>
      <c r="AH42" s="2">
        <f t="shared" si="44"/>
        <v>0</v>
      </c>
      <c r="AI42" s="2">
        <f t="shared" si="44"/>
        <v>0</v>
      </c>
      <c r="AJ42" s="2">
        <f t="shared" si="44"/>
        <v>0</v>
      </c>
      <c r="AK42" s="2">
        <f t="shared" si="44"/>
        <v>0</v>
      </c>
      <c r="AL42" s="2">
        <f t="shared" si="44"/>
        <v>0</v>
      </c>
      <c r="AM42" s="2">
        <f t="shared" si="44"/>
        <v>0</v>
      </c>
      <c r="AN42" s="2">
        <f t="shared" si="44"/>
        <v>0</v>
      </c>
      <c r="AO42" s="2">
        <f t="shared" si="44"/>
        <v>0</v>
      </c>
      <c r="AP42" s="2">
        <f t="shared" si="44"/>
        <v>0</v>
      </c>
      <c r="AQ42" s="2">
        <f t="shared" si="44"/>
        <v>0</v>
      </c>
      <c r="AR42" s="2">
        <f t="shared" si="44"/>
        <v>0</v>
      </c>
      <c r="AS42" s="2">
        <f t="shared" si="44"/>
        <v>0</v>
      </c>
      <c r="AT42" s="2">
        <f t="shared" si="44"/>
        <v>0</v>
      </c>
      <c r="AU42" s="2">
        <f t="shared" si="44"/>
        <v>0</v>
      </c>
      <c r="AV42" s="2">
        <f t="shared" si="44"/>
        <v>0</v>
      </c>
    </row>
    <row r="43" spans="1:48" x14ac:dyDescent="0.25">
      <c r="A43" s="354" t="s">
        <v>1705</v>
      </c>
      <c r="B43" t="s">
        <v>463</v>
      </c>
      <c r="C43" t="s">
        <v>1060</v>
      </c>
      <c r="D43">
        <f t="shared" si="37"/>
        <v>75</v>
      </c>
      <c r="E43">
        <f t="shared" si="37"/>
        <v>79</v>
      </c>
      <c r="F43">
        <f t="shared" si="37"/>
        <v>80</v>
      </c>
      <c r="G43">
        <f t="shared" si="37"/>
        <v>75</v>
      </c>
      <c r="H43">
        <f t="shared" si="37"/>
        <v>73</v>
      </c>
      <c r="I43">
        <f t="shared" si="37"/>
        <v>75</v>
      </c>
      <c r="J43">
        <f t="shared" si="37"/>
        <v>77</v>
      </c>
      <c r="K43">
        <f t="shared" si="37"/>
        <v>81</v>
      </c>
      <c r="L43">
        <f t="shared" si="37"/>
        <v>84</v>
      </c>
      <c r="M43">
        <f t="shared" si="37"/>
        <v>84</v>
      </c>
      <c r="N43" s="2">
        <f t="shared" ref="N43:AV43" si="45">IFERROR(IF($M43-$D43&gt;=0,($M43-$D43)/COUNT($E$1:$M$1)+M43,$F396*$E396^N$1),0)</f>
        <v>85</v>
      </c>
      <c r="O43" s="2">
        <f t="shared" si="45"/>
        <v>86</v>
      </c>
      <c r="P43" s="2">
        <f t="shared" si="45"/>
        <v>87</v>
      </c>
      <c r="Q43" s="2">
        <f t="shared" si="45"/>
        <v>88</v>
      </c>
      <c r="R43" s="2">
        <f t="shared" si="45"/>
        <v>89</v>
      </c>
      <c r="S43" s="2">
        <f t="shared" si="45"/>
        <v>90</v>
      </c>
      <c r="T43" s="2">
        <f t="shared" si="45"/>
        <v>91</v>
      </c>
      <c r="U43" s="2">
        <f t="shared" si="45"/>
        <v>92</v>
      </c>
      <c r="V43" s="2">
        <f t="shared" si="45"/>
        <v>93</v>
      </c>
      <c r="W43" s="2">
        <f t="shared" si="45"/>
        <v>94</v>
      </c>
      <c r="X43" s="2">
        <f t="shared" si="45"/>
        <v>95</v>
      </c>
      <c r="Y43" s="2">
        <f t="shared" si="45"/>
        <v>96</v>
      </c>
      <c r="Z43" s="2">
        <f t="shared" si="45"/>
        <v>97</v>
      </c>
      <c r="AA43" s="2">
        <f t="shared" si="45"/>
        <v>98</v>
      </c>
      <c r="AB43" s="2">
        <f t="shared" si="45"/>
        <v>99</v>
      </c>
      <c r="AC43" s="2">
        <f t="shared" si="45"/>
        <v>100</v>
      </c>
      <c r="AD43" s="2">
        <f t="shared" si="45"/>
        <v>101</v>
      </c>
      <c r="AE43" s="2">
        <f t="shared" si="45"/>
        <v>102</v>
      </c>
      <c r="AF43" s="2">
        <f t="shared" si="45"/>
        <v>103</v>
      </c>
      <c r="AG43" s="2">
        <f t="shared" si="45"/>
        <v>104</v>
      </c>
      <c r="AH43" s="2">
        <f t="shared" si="45"/>
        <v>105</v>
      </c>
      <c r="AI43" s="2">
        <f t="shared" si="45"/>
        <v>106</v>
      </c>
      <c r="AJ43" s="2">
        <f t="shared" si="45"/>
        <v>107</v>
      </c>
      <c r="AK43" s="2">
        <f t="shared" si="45"/>
        <v>108</v>
      </c>
      <c r="AL43" s="2">
        <f t="shared" si="45"/>
        <v>109</v>
      </c>
      <c r="AM43" s="2">
        <f t="shared" si="45"/>
        <v>110</v>
      </c>
      <c r="AN43" s="2">
        <f t="shared" si="45"/>
        <v>111</v>
      </c>
      <c r="AO43" s="2">
        <f t="shared" si="45"/>
        <v>112</v>
      </c>
      <c r="AP43" s="2">
        <f t="shared" si="45"/>
        <v>113</v>
      </c>
      <c r="AQ43" s="2">
        <f t="shared" si="45"/>
        <v>114</v>
      </c>
      <c r="AR43" s="2">
        <f t="shared" si="45"/>
        <v>115</v>
      </c>
      <c r="AS43" s="2">
        <f t="shared" si="45"/>
        <v>116</v>
      </c>
      <c r="AT43" s="2">
        <f t="shared" si="45"/>
        <v>117</v>
      </c>
      <c r="AU43" s="2">
        <f t="shared" si="45"/>
        <v>118</v>
      </c>
      <c r="AV43" s="2">
        <f t="shared" si="45"/>
        <v>119</v>
      </c>
    </row>
    <row r="44" spans="1:48" x14ac:dyDescent="0.25">
      <c r="A44" s="356" t="s">
        <v>1985</v>
      </c>
      <c r="B44" t="s">
        <v>469</v>
      </c>
      <c r="C44" t="s">
        <v>1060</v>
      </c>
      <c r="D44">
        <f t="shared" si="37"/>
        <v>0</v>
      </c>
      <c r="E44">
        <f t="shared" si="37"/>
        <v>0</v>
      </c>
      <c r="F44">
        <f t="shared" si="37"/>
        <v>0</v>
      </c>
      <c r="G44">
        <f t="shared" si="37"/>
        <v>0</v>
      </c>
      <c r="H44">
        <f t="shared" si="37"/>
        <v>0</v>
      </c>
      <c r="I44">
        <f t="shared" si="37"/>
        <v>0</v>
      </c>
      <c r="J44">
        <f t="shared" si="37"/>
        <v>0</v>
      </c>
      <c r="K44">
        <f t="shared" si="37"/>
        <v>0</v>
      </c>
      <c r="L44">
        <f t="shared" si="37"/>
        <v>0</v>
      </c>
      <c r="M44">
        <f t="shared" si="37"/>
        <v>0</v>
      </c>
      <c r="N44" s="2">
        <f t="shared" ref="N44:AV44" si="46">IFERROR(IF($M44-$D44&gt;=0,($M44-$D44)/COUNT($E$1:$M$1)+M44,$F397*$E397^N$1),0)</f>
        <v>0</v>
      </c>
      <c r="O44" s="2">
        <f t="shared" si="46"/>
        <v>0</v>
      </c>
      <c r="P44" s="2">
        <f t="shared" si="46"/>
        <v>0</v>
      </c>
      <c r="Q44" s="2">
        <f t="shared" si="46"/>
        <v>0</v>
      </c>
      <c r="R44" s="2">
        <f t="shared" si="46"/>
        <v>0</v>
      </c>
      <c r="S44" s="2">
        <f t="shared" si="46"/>
        <v>0</v>
      </c>
      <c r="T44" s="2">
        <f t="shared" si="46"/>
        <v>0</v>
      </c>
      <c r="U44" s="2">
        <f t="shared" si="46"/>
        <v>0</v>
      </c>
      <c r="V44" s="2">
        <f t="shared" si="46"/>
        <v>0</v>
      </c>
      <c r="W44" s="2">
        <f t="shared" si="46"/>
        <v>0</v>
      </c>
      <c r="X44" s="2">
        <f t="shared" si="46"/>
        <v>0</v>
      </c>
      <c r="Y44" s="2">
        <f t="shared" si="46"/>
        <v>0</v>
      </c>
      <c r="Z44" s="2">
        <f t="shared" si="46"/>
        <v>0</v>
      </c>
      <c r="AA44" s="2">
        <f t="shared" si="46"/>
        <v>0</v>
      </c>
      <c r="AB44" s="2">
        <f t="shared" si="46"/>
        <v>0</v>
      </c>
      <c r="AC44" s="2">
        <f t="shared" si="46"/>
        <v>0</v>
      </c>
      <c r="AD44" s="2">
        <f t="shared" si="46"/>
        <v>0</v>
      </c>
      <c r="AE44" s="2">
        <f t="shared" si="46"/>
        <v>0</v>
      </c>
      <c r="AF44" s="2">
        <f t="shared" si="46"/>
        <v>0</v>
      </c>
      <c r="AG44" s="2">
        <f t="shared" si="46"/>
        <v>0</v>
      </c>
      <c r="AH44" s="2">
        <f t="shared" si="46"/>
        <v>0</v>
      </c>
      <c r="AI44" s="2">
        <f t="shared" si="46"/>
        <v>0</v>
      </c>
      <c r="AJ44" s="2">
        <f t="shared" si="46"/>
        <v>0</v>
      </c>
      <c r="AK44" s="2">
        <f t="shared" si="46"/>
        <v>0</v>
      </c>
      <c r="AL44" s="2">
        <f t="shared" si="46"/>
        <v>0</v>
      </c>
      <c r="AM44" s="2">
        <f t="shared" si="46"/>
        <v>0</v>
      </c>
      <c r="AN44" s="2">
        <f t="shared" si="46"/>
        <v>0</v>
      </c>
      <c r="AO44" s="2">
        <f t="shared" si="46"/>
        <v>0</v>
      </c>
      <c r="AP44" s="2">
        <f t="shared" si="46"/>
        <v>0</v>
      </c>
      <c r="AQ44" s="2">
        <f t="shared" si="46"/>
        <v>0</v>
      </c>
      <c r="AR44" s="2">
        <f t="shared" si="46"/>
        <v>0</v>
      </c>
      <c r="AS44" s="2">
        <f t="shared" si="46"/>
        <v>0</v>
      </c>
      <c r="AT44" s="2">
        <f t="shared" si="46"/>
        <v>0</v>
      </c>
      <c r="AU44" s="2">
        <f t="shared" si="46"/>
        <v>0</v>
      </c>
      <c r="AV44" s="2">
        <f t="shared" si="46"/>
        <v>0</v>
      </c>
    </row>
    <row r="45" spans="1:48" x14ac:dyDescent="0.25">
      <c r="A45" s="354" t="s">
        <v>1971</v>
      </c>
      <c r="B45" t="s">
        <v>1710</v>
      </c>
      <c r="C45" t="s">
        <v>1060</v>
      </c>
      <c r="D45">
        <f t="shared" ref="D45:M49" si="47">IFERROR(INDEX($B$211:$AA$229,MATCH($A45,$A$211:$A$229,0),MATCH(D$1,$B$175:$AA$175,0)),0)</f>
        <v>0</v>
      </c>
      <c r="E45">
        <f t="shared" si="47"/>
        <v>0</v>
      </c>
      <c r="F45">
        <f t="shared" si="47"/>
        <v>0</v>
      </c>
      <c r="G45">
        <f t="shared" si="47"/>
        <v>0</v>
      </c>
      <c r="H45">
        <f t="shared" si="47"/>
        <v>0</v>
      </c>
      <c r="I45">
        <f t="shared" si="47"/>
        <v>0</v>
      </c>
      <c r="J45">
        <f t="shared" si="47"/>
        <v>0</v>
      </c>
      <c r="K45">
        <f t="shared" si="47"/>
        <v>0</v>
      </c>
      <c r="L45">
        <f t="shared" si="47"/>
        <v>0</v>
      </c>
      <c r="M45">
        <f t="shared" si="47"/>
        <v>0</v>
      </c>
      <c r="N45" s="2">
        <f t="shared" ref="N45:AV45" si="48">IFERROR(IF($M45-$D45&gt;=0,($M45-$D45)/COUNT($E$1:$M$1)+M45,$F398*$E398^N$1),0)</f>
        <v>0</v>
      </c>
      <c r="O45" s="2">
        <f t="shared" si="48"/>
        <v>0</v>
      </c>
      <c r="P45" s="2">
        <f t="shared" si="48"/>
        <v>0</v>
      </c>
      <c r="Q45" s="2">
        <f t="shared" si="48"/>
        <v>0</v>
      </c>
      <c r="R45" s="2">
        <f t="shared" si="48"/>
        <v>0</v>
      </c>
      <c r="S45" s="2">
        <f t="shared" si="48"/>
        <v>0</v>
      </c>
      <c r="T45" s="2">
        <f t="shared" si="48"/>
        <v>0</v>
      </c>
      <c r="U45" s="2">
        <f t="shared" si="48"/>
        <v>0</v>
      </c>
      <c r="V45" s="2">
        <f t="shared" si="48"/>
        <v>0</v>
      </c>
      <c r="W45" s="2">
        <f t="shared" si="48"/>
        <v>0</v>
      </c>
      <c r="X45" s="2">
        <f t="shared" si="48"/>
        <v>0</v>
      </c>
      <c r="Y45" s="2">
        <f t="shared" si="48"/>
        <v>0</v>
      </c>
      <c r="Z45" s="2">
        <f t="shared" si="48"/>
        <v>0</v>
      </c>
      <c r="AA45" s="2">
        <f t="shared" si="48"/>
        <v>0</v>
      </c>
      <c r="AB45" s="2">
        <f t="shared" si="48"/>
        <v>0</v>
      </c>
      <c r="AC45" s="2">
        <f t="shared" si="48"/>
        <v>0</v>
      </c>
      <c r="AD45" s="2">
        <f t="shared" si="48"/>
        <v>0</v>
      </c>
      <c r="AE45" s="2">
        <f t="shared" si="48"/>
        <v>0</v>
      </c>
      <c r="AF45" s="2">
        <f t="shared" si="48"/>
        <v>0</v>
      </c>
      <c r="AG45" s="2">
        <f t="shared" si="48"/>
        <v>0</v>
      </c>
      <c r="AH45" s="2">
        <f t="shared" si="48"/>
        <v>0</v>
      </c>
      <c r="AI45" s="2">
        <f t="shared" si="48"/>
        <v>0</v>
      </c>
      <c r="AJ45" s="2">
        <f t="shared" si="48"/>
        <v>0</v>
      </c>
      <c r="AK45" s="2">
        <f t="shared" si="48"/>
        <v>0</v>
      </c>
      <c r="AL45" s="2">
        <f t="shared" si="48"/>
        <v>0</v>
      </c>
      <c r="AM45" s="2">
        <f t="shared" si="48"/>
        <v>0</v>
      </c>
      <c r="AN45" s="2">
        <f t="shared" si="48"/>
        <v>0</v>
      </c>
      <c r="AO45" s="2">
        <f t="shared" si="48"/>
        <v>0</v>
      </c>
      <c r="AP45" s="2">
        <f t="shared" si="48"/>
        <v>0</v>
      </c>
      <c r="AQ45" s="2">
        <f t="shared" si="48"/>
        <v>0</v>
      </c>
      <c r="AR45" s="2">
        <f t="shared" si="48"/>
        <v>0</v>
      </c>
      <c r="AS45" s="2">
        <f t="shared" si="48"/>
        <v>0</v>
      </c>
      <c r="AT45" s="2">
        <f t="shared" si="48"/>
        <v>0</v>
      </c>
      <c r="AU45" s="2">
        <f t="shared" si="48"/>
        <v>0</v>
      </c>
      <c r="AV45" s="2">
        <f t="shared" si="48"/>
        <v>0</v>
      </c>
    </row>
    <row r="46" spans="1:48" x14ac:dyDescent="0.25">
      <c r="A46" s="354" t="s">
        <v>1972</v>
      </c>
      <c r="B46" t="s">
        <v>469</v>
      </c>
      <c r="C46" t="s">
        <v>1060</v>
      </c>
      <c r="D46">
        <f t="shared" si="47"/>
        <v>0</v>
      </c>
      <c r="E46">
        <f t="shared" si="47"/>
        <v>0</v>
      </c>
      <c r="F46">
        <f t="shared" si="47"/>
        <v>0</v>
      </c>
      <c r="G46">
        <f t="shared" si="47"/>
        <v>0</v>
      </c>
      <c r="H46">
        <f t="shared" si="47"/>
        <v>0</v>
      </c>
      <c r="I46">
        <f t="shared" si="47"/>
        <v>0</v>
      </c>
      <c r="J46">
        <f t="shared" si="47"/>
        <v>0</v>
      </c>
      <c r="K46">
        <f t="shared" si="47"/>
        <v>0</v>
      </c>
      <c r="L46">
        <f t="shared" si="47"/>
        <v>0</v>
      </c>
      <c r="M46">
        <f t="shared" si="47"/>
        <v>0</v>
      </c>
      <c r="N46" s="2">
        <f t="shared" ref="N46:AV46" si="49">IFERROR(IF($M46-$D46&gt;=0,($M46-$D46)/COUNT($E$1:$M$1)+M46,$F399*$E399^N$1),0)</f>
        <v>0</v>
      </c>
      <c r="O46" s="2">
        <f t="shared" si="49"/>
        <v>0</v>
      </c>
      <c r="P46" s="2">
        <f t="shared" si="49"/>
        <v>0</v>
      </c>
      <c r="Q46" s="2">
        <f t="shared" si="49"/>
        <v>0</v>
      </c>
      <c r="R46" s="2">
        <f t="shared" si="49"/>
        <v>0</v>
      </c>
      <c r="S46" s="2">
        <f t="shared" si="49"/>
        <v>0</v>
      </c>
      <c r="T46" s="2">
        <f t="shared" si="49"/>
        <v>0</v>
      </c>
      <c r="U46" s="2">
        <f t="shared" si="49"/>
        <v>0</v>
      </c>
      <c r="V46" s="2">
        <f t="shared" si="49"/>
        <v>0</v>
      </c>
      <c r="W46" s="2">
        <f t="shared" si="49"/>
        <v>0</v>
      </c>
      <c r="X46" s="2">
        <f t="shared" si="49"/>
        <v>0</v>
      </c>
      <c r="Y46" s="2">
        <f t="shared" si="49"/>
        <v>0</v>
      </c>
      <c r="Z46" s="2">
        <f t="shared" si="49"/>
        <v>0</v>
      </c>
      <c r="AA46" s="2">
        <f t="shared" si="49"/>
        <v>0</v>
      </c>
      <c r="AB46" s="2">
        <f t="shared" si="49"/>
        <v>0</v>
      </c>
      <c r="AC46" s="2">
        <f t="shared" si="49"/>
        <v>0</v>
      </c>
      <c r="AD46" s="2">
        <f t="shared" si="49"/>
        <v>0</v>
      </c>
      <c r="AE46" s="2">
        <f t="shared" si="49"/>
        <v>0</v>
      </c>
      <c r="AF46" s="2">
        <f t="shared" si="49"/>
        <v>0</v>
      </c>
      <c r="AG46" s="2">
        <f t="shared" si="49"/>
        <v>0</v>
      </c>
      <c r="AH46" s="2">
        <f t="shared" si="49"/>
        <v>0</v>
      </c>
      <c r="AI46" s="2">
        <f t="shared" si="49"/>
        <v>0</v>
      </c>
      <c r="AJ46" s="2">
        <f t="shared" si="49"/>
        <v>0</v>
      </c>
      <c r="AK46" s="2">
        <f t="shared" si="49"/>
        <v>0</v>
      </c>
      <c r="AL46" s="2">
        <f t="shared" si="49"/>
        <v>0</v>
      </c>
      <c r="AM46" s="2">
        <f t="shared" si="49"/>
        <v>0</v>
      </c>
      <c r="AN46" s="2">
        <f t="shared" si="49"/>
        <v>0</v>
      </c>
      <c r="AO46" s="2">
        <f t="shared" si="49"/>
        <v>0</v>
      </c>
      <c r="AP46" s="2">
        <f t="shared" si="49"/>
        <v>0</v>
      </c>
      <c r="AQ46" s="2">
        <f t="shared" si="49"/>
        <v>0</v>
      </c>
      <c r="AR46" s="2">
        <f t="shared" si="49"/>
        <v>0</v>
      </c>
      <c r="AS46" s="2">
        <f t="shared" si="49"/>
        <v>0</v>
      </c>
      <c r="AT46" s="2">
        <f t="shared" si="49"/>
        <v>0</v>
      </c>
      <c r="AU46" s="2">
        <f t="shared" si="49"/>
        <v>0</v>
      </c>
      <c r="AV46" s="2">
        <f t="shared" si="49"/>
        <v>0</v>
      </c>
    </row>
    <row r="47" spans="1:48" s="105" customFormat="1" x14ac:dyDescent="0.25">
      <c r="A47" s="357" t="s">
        <v>1973</v>
      </c>
      <c r="B47" s="105" t="s">
        <v>1988</v>
      </c>
      <c r="C47" s="105" t="s">
        <v>1060</v>
      </c>
      <c r="D47" s="105">
        <f t="shared" si="47"/>
        <v>0</v>
      </c>
      <c r="E47" s="105">
        <f t="shared" si="47"/>
        <v>0</v>
      </c>
      <c r="F47" s="105">
        <f t="shared" si="47"/>
        <v>0</v>
      </c>
      <c r="G47" s="105">
        <f t="shared" si="47"/>
        <v>0</v>
      </c>
      <c r="H47" s="105">
        <f t="shared" si="47"/>
        <v>0</v>
      </c>
      <c r="I47" s="105">
        <f t="shared" si="47"/>
        <v>0</v>
      </c>
      <c r="J47" s="105">
        <f t="shared" si="47"/>
        <v>0</v>
      </c>
      <c r="K47" s="105">
        <f t="shared" si="47"/>
        <v>0</v>
      </c>
      <c r="L47" s="105">
        <f t="shared" si="47"/>
        <v>0</v>
      </c>
      <c r="M47" s="105">
        <f t="shared" si="47"/>
        <v>0</v>
      </c>
      <c r="N47" s="358">
        <f t="shared" ref="N47:AV47" si="50">IFERROR(IF($M47-$D47&gt;=0,($M47-$D47)/COUNT($E$1:$M$1)+M47,$F400*$E400^N$1),0)</f>
        <v>0</v>
      </c>
      <c r="O47" s="358">
        <f t="shared" si="50"/>
        <v>0</v>
      </c>
      <c r="P47" s="358">
        <f t="shared" si="50"/>
        <v>0</v>
      </c>
      <c r="Q47" s="358">
        <f t="shared" si="50"/>
        <v>0</v>
      </c>
      <c r="R47" s="358">
        <f t="shared" si="50"/>
        <v>0</v>
      </c>
      <c r="S47" s="358">
        <f t="shared" si="50"/>
        <v>0</v>
      </c>
      <c r="T47" s="358">
        <f t="shared" si="50"/>
        <v>0</v>
      </c>
      <c r="U47" s="358">
        <f t="shared" si="50"/>
        <v>0</v>
      </c>
      <c r="V47" s="358">
        <f t="shared" si="50"/>
        <v>0</v>
      </c>
      <c r="W47" s="358">
        <f t="shared" si="50"/>
        <v>0</v>
      </c>
      <c r="X47" s="358">
        <f t="shared" si="50"/>
        <v>0</v>
      </c>
      <c r="Y47" s="358">
        <f t="shared" si="50"/>
        <v>0</v>
      </c>
      <c r="Z47" s="358">
        <f t="shared" si="50"/>
        <v>0</v>
      </c>
      <c r="AA47" s="358">
        <f t="shared" si="50"/>
        <v>0</v>
      </c>
      <c r="AB47" s="358">
        <f t="shared" si="50"/>
        <v>0</v>
      </c>
      <c r="AC47" s="358">
        <f t="shared" si="50"/>
        <v>0</v>
      </c>
      <c r="AD47" s="358">
        <f t="shared" si="50"/>
        <v>0</v>
      </c>
      <c r="AE47" s="358">
        <f t="shared" si="50"/>
        <v>0</v>
      </c>
      <c r="AF47" s="358">
        <f t="shared" si="50"/>
        <v>0</v>
      </c>
      <c r="AG47" s="358">
        <f t="shared" si="50"/>
        <v>0</v>
      </c>
      <c r="AH47" s="358">
        <f t="shared" si="50"/>
        <v>0</v>
      </c>
      <c r="AI47" s="358">
        <f t="shared" si="50"/>
        <v>0</v>
      </c>
      <c r="AJ47" s="358">
        <f t="shared" si="50"/>
        <v>0</v>
      </c>
      <c r="AK47" s="358">
        <f t="shared" si="50"/>
        <v>0</v>
      </c>
      <c r="AL47" s="358">
        <f t="shared" si="50"/>
        <v>0</v>
      </c>
      <c r="AM47" s="358">
        <f t="shared" si="50"/>
        <v>0</v>
      </c>
      <c r="AN47" s="358">
        <f t="shared" si="50"/>
        <v>0</v>
      </c>
      <c r="AO47" s="358">
        <f t="shared" si="50"/>
        <v>0</v>
      </c>
      <c r="AP47" s="358">
        <f t="shared" si="50"/>
        <v>0</v>
      </c>
      <c r="AQ47" s="358">
        <f t="shared" si="50"/>
        <v>0</v>
      </c>
      <c r="AR47" s="358">
        <f t="shared" si="50"/>
        <v>0</v>
      </c>
      <c r="AS47" s="358">
        <f t="shared" si="50"/>
        <v>0</v>
      </c>
      <c r="AT47" s="358">
        <f t="shared" si="50"/>
        <v>0</v>
      </c>
      <c r="AU47" s="358">
        <f t="shared" si="50"/>
        <v>0</v>
      </c>
      <c r="AV47" s="358">
        <f t="shared" si="50"/>
        <v>0</v>
      </c>
    </row>
    <row r="48" spans="1:48" x14ac:dyDescent="0.25">
      <c r="A48" s="354" t="s">
        <v>1974</v>
      </c>
      <c r="B48" t="s">
        <v>469</v>
      </c>
      <c r="C48" t="s">
        <v>1060</v>
      </c>
      <c r="D48">
        <f t="shared" si="47"/>
        <v>0</v>
      </c>
      <c r="E48">
        <f t="shared" si="47"/>
        <v>0</v>
      </c>
      <c r="F48">
        <f t="shared" si="47"/>
        <v>0</v>
      </c>
      <c r="G48">
        <f t="shared" si="47"/>
        <v>0</v>
      </c>
      <c r="H48">
        <f t="shared" si="47"/>
        <v>0</v>
      </c>
      <c r="I48">
        <f t="shared" si="47"/>
        <v>0</v>
      </c>
      <c r="J48">
        <f t="shared" si="47"/>
        <v>0</v>
      </c>
      <c r="K48">
        <f t="shared" si="47"/>
        <v>0</v>
      </c>
      <c r="L48">
        <f t="shared" si="47"/>
        <v>0</v>
      </c>
      <c r="M48">
        <f t="shared" si="47"/>
        <v>0</v>
      </c>
      <c r="N48" s="2">
        <f t="shared" ref="N48:AV48" si="51">IFERROR(IF($M48-$D48&gt;=0,($M48-$D48)/COUNT($E$1:$M$1)+M48,$F401*$E401^N$1),0)</f>
        <v>0</v>
      </c>
      <c r="O48" s="2">
        <f t="shared" si="51"/>
        <v>0</v>
      </c>
      <c r="P48" s="2">
        <f t="shared" si="51"/>
        <v>0</v>
      </c>
      <c r="Q48" s="2">
        <f t="shared" si="51"/>
        <v>0</v>
      </c>
      <c r="R48" s="2">
        <f t="shared" si="51"/>
        <v>0</v>
      </c>
      <c r="S48" s="2">
        <f t="shared" si="51"/>
        <v>0</v>
      </c>
      <c r="T48" s="2">
        <f t="shared" si="51"/>
        <v>0</v>
      </c>
      <c r="U48" s="2">
        <f t="shared" si="51"/>
        <v>0</v>
      </c>
      <c r="V48" s="2">
        <f t="shared" si="51"/>
        <v>0</v>
      </c>
      <c r="W48" s="2">
        <f t="shared" si="51"/>
        <v>0</v>
      </c>
      <c r="X48" s="2">
        <f t="shared" si="51"/>
        <v>0</v>
      </c>
      <c r="Y48" s="2">
        <f t="shared" si="51"/>
        <v>0</v>
      </c>
      <c r="Z48" s="2">
        <f t="shared" si="51"/>
        <v>0</v>
      </c>
      <c r="AA48" s="2">
        <f t="shared" si="51"/>
        <v>0</v>
      </c>
      <c r="AB48" s="2">
        <f t="shared" si="51"/>
        <v>0</v>
      </c>
      <c r="AC48" s="2">
        <f t="shared" si="51"/>
        <v>0</v>
      </c>
      <c r="AD48" s="2">
        <f t="shared" si="51"/>
        <v>0</v>
      </c>
      <c r="AE48" s="2">
        <f t="shared" si="51"/>
        <v>0</v>
      </c>
      <c r="AF48" s="2">
        <f t="shared" si="51"/>
        <v>0</v>
      </c>
      <c r="AG48" s="2">
        <f t="shared" si="51"/>
        <v>0</v>
      </c>
      <c r="AH48" s="2">
        <f t="shared" si="51"/>
        <v>0</v>
      </c>
      <c r="AI48" s="2">
        <f t="shared" si="51"/>
        <v>0</v>
      </c>
      <c r="AJ48" s="2">
        <f t="shared" si="51"/>
        <v>0</v>
      </c>
      <c r="AK48" s="2">
        <f t="shared" si="51"/>
        <v>0</v>
      </c>
      <c r="AL48" s="2">
        <f t="shared" si="51"/>
        <v>0</v>
      </c>
      <c r="AM48" s="2">
        <f t="shared" si="51"/>
        <v>0</v>
      </c>
      <c r="AN48" s="2">
        <f t="shared" si="51"/>
        <v>0</v>
      </c>
      <c r="AO48" s="2">
        <f t="shared" si="51"/>
        <v>0</v>
      </c>
      <c r="AP48" s="2">
        <f t="shared" si="51"/>
        <v>0</v>
      </c>
      <c r="AQ48" s="2">
        <f t="shared" si="51"/>
        <v>0</v>
      </c>
      <c r="AR48" s="2">
        <f t="shared" si="51"/>
        <v>0</v>
      </c>
      <c r="AS48" s="2">
        <f t="shared" si="51"/>
        <v>0</v>
      </c>
      <c r="AT48" s="2">
        <f t="shared" si="51"/>
        <v>0</v>
      </c>
      <c r="AU48" s="2">
        <f t="shared" si="51"/>
        <v>0</v>
      </c>
      <c r="AV48" s="2">
        <f t="shared" si="51"/>
        <v>0</v>
      </c>
    </row>
    <row r="49" spans="1:48" x14ac:dyDescent="0.25">
      <c r="A49" s="354" t="s">
        <v>1976</v>
      </c>
      <c r="B49" t="s">
        <v>469</v>
      </c>
      <c r="C49" t="s">
        <v>1060</v>
      </c>
      <c r="D49">
        <f t="shared" si="47"/>
        <v>0</v>
      </c>
      <c r="E49">
        <f t="shared" si="47"/>
        <v>0</v>
      </c>
      <c r="F49">
        <f t="shared" si="47"/>
        <v>0</v>
      </c>
      <c r="G49">
        <f t="shared" si="47"/>
        <v>0</v>
      </c>
      <c r="H49">
        <f t="shared" si="47"/>
        <v>0</v>
      </c>
      <c r="I49">
        <f t="shared" si="47"/>
        <v>0</v>
      </c>
      <c r="J49">
        <f t="shared" si="47"/>
        <v>0</v>
      </c>
      <c r="K49">
        <f t="shared" si="47"/>
        <v>0</v>
      </c>
      <c r="L49">
        <f t="shared" si="47"/>
        <v>0</v>
      </c>
      <c r="M49">
        <f t="shared" si="47"/>
        <v>0</v>
      </c>
      <c r="N49" s="2">
        <f t="shared" ref="N49:AV49" si="52">IFERROR(IF($M49-$D49&gt;=0,($M49-$D49)/COUNT($E$1:$M$1)+M49,$F402*$E402^N$1),0)</f>
        <v>0</v>
      </c>
      <c r="O49" s="2">
        <f t="shared" si="52"/>
        <v>0</v>
      </c>
      <c r="P49" s="2">
        <f t="shared" si="52"/>
        <v>0</v>
      </c>
      <c r="Q49" s="2">
        <f t="shared" si="52"/>
        <v>0</v>
      </c>
      <c r="R49" s="2">
        <f t="shared" si="52"/>
        <v>0</v>
      </c>
      <c r="S49" s="2">
        <f t="shared" si="52"/>
        <v>0</v>
      </c>
      <c r="T49" s="2">
        <f t="shared" si="52"/>
        <v>0</v>
      </c>
      <c r="U49" s="2">
        <f t="shared" si="52"/>
        <v>0</v>
      </c>
      <c r="V49" s="2">
        <f t="shared" si="52"/>
        <v>0</v>
      </c>
      <c r="W49" s="2">
        <f t="shared" si="52"/>
        <v>0</v>
      </c>
      <c r="X49" s="2">
        <f t="shared" si="52"/>
        <v>0</v>
      </c>
      <c r="Y49" s="2">
        <f t="shared" si="52"/>
        <v>0</v>
      </c>
      <c r="Z49" s="2">
        <f t="shared" si="52"/>
        <v>0</v>
      </c>
      <c r="AA49" s="2">
        <f t="shared" si="52"/>
        <v>0</v>
      </c>
      <c r="AB49" s="2">
        <f t="shared" si="52"/>
        <v>0</v>
      </c>
      <c r="AC49" s="2">
        <f t="shared" si="52"/>
        <v>0</v>
      </c>
      <c r="AD49" s="2">
        <f t="shared" si="52"/>
        <v>0</v>
      </c>
      <c r="AE49" s="2">
        <f t="shared" si="52"/>
        <v>0</v>
      </c>
      <c r="AF49" s="2">
        <f t="shared" si="52"/>
        <v>0</v>
      </c>
      <c r="AG49" s="2">
        <f t="shared" si="52"/>
        <v>0</v>
      </c>
      <c r="AH49" s="2">
        <f t="shared" si="52"/>
        <v>0</v>
      </c>
      <c r="AI49" s="2">
        <f t="shared" si="52"/>
        <v>0</v>
      </c>
      <c r="AJ49" s="2">
        <f t="shared" si="52"/>
        <v>0</v>
      </c>
      <c r="AK49" s="2">
        <f t="shared" si="52"/>
        <v>0</v>
      </c>
      <c r="AL49" s="2">
        <f t="shared" si="52"/>
        <v>0</v>
      </c>
      <c r="AM49" s="2">
        <f t="shared" si="52"/>
        <v>0</v>
      </c>
      <c r="AN49" s="2">
        <f t="shared" si="52"/>
        <v>0</v>
      </c>
      <c r="AO49" s="2">
        <f t="shared" si="52"/>
        <v>0</v>
      </c>
      <c r="AP49" s="2">
        <f t="shared" si="52"/>
        <v>0</v>
      </c>
      <c r="AQ49" s="2">
        <f t="shared" si="52"/>
        <v>0</v>
      </c>
      <c r="AR49" s="2">
        <f t="shared" si="52"/>
        <v>0</v>
      </c>
      <c r="AS49" s="2">
        <f t="shared" si="52"/>
        <v>0</v>
      </c>
      <c r="AT49" s="2">
        <f t="shared" si="52"/>
        <v>0</v>
      </c>
      <c r="AU49" s="2">
        <f t="shared" si="52"/>
        <v>0</v>
      </c>
      <c r="AV49" s="2">
        <f t="shared" si="52"/>
        <v>0</v>
      </c>
    </row>
    <row r="50" spans="1:48" x14ac:dyDescent="0.25">
      <c r="A50" s="354" t="s">
        <v>1688</v>
      </c>
      <c r="B50" t="s">
        <v>1709</v>
      </c>
      <c r="C50" t="s">
        <v>1061</v>
      </c>
      <c r="D50">
        <f t="shared" ref="D50:M59" si="53">IFERROR(INDEX($B$231:$AA$243,MATCH($A50,$A$231:$A$243,0),MATCH(D$1,$B$175:$AA$175,0)),0)</f>
        <v>0</v>
      </c>
      <c r="E50">
        <f t="shared" si="53"/>
        <v>0</v>
      </c>
      <c r="F50">
        <f t="shared" si="53"/>
        <v>0</v>
      </c>
      <c r="G50">
        <f t="shared" si="53"/>
        <v>0</v>
      </c>
      <c r="H50">
        <f t="shared" si="53"/>
        <v>0</v>
      </c>
      <c r="I50">
        <f t="shared" si="53"/>
        <v>0</v>
      </c>
      <c r="J50">
        <f t="shared" si="53"/>
        <v>0</v>
      </c>
      <c r="K50">
        <f t="shared" si="53"/>
        <v>0</v>
      </c>
      <c r="L50">
        <f t="shared" si="53"/>
        <v>0</v>
      </c>
      <c r="M50">
        <f t="shared" si="53"/>
        <v>0</v>
      </c>
      <c r="N50" s="2">
        <f t="shared" ref="N50:AV50" si="54">IFERROR(IF($M50-$D50&gt;=0,($M50-$D50)/COUNT($E$1:$M$1)+M50,$F403*$E403^N$1),0)</f>
        <v>0</v>
      </c>
      <c r="O50" s="2">
        <f t="shared" si="54"/>
        <v>0</v>
      </c>
      <c r="P50" s="2">
        <f t="shared" si="54"/>
        <v>0</v>
      </c>
      <c r="Q50" s="2">
        <f t="shared" si="54"/>
        <v>0</v>
      </c>
      <c r="R50" s="2">
        <f t="shared" si="54"/>
        <v>0</v>
      </c>
      <c r="S50" s="2">
        <f t="shared" si="54"/>
        <v>0</v>
      </c>
      <c r="T50" s="2">
        <f t="shared" si="54"/>
        <v>0</v>
      </c>
      <c r="U50" s="2">
        <f t="shared" si="54"/>
        <v>0</v>
      </c>
      <c r="V50" s="2">
        <f t="shared" si="54"/>
        <v>0</v>
      </c>
      <c r="W50" s="2">
        <f t="shared" si="54"/>
        <v>0</v>
      </c>
      <c r="X50" s="2">
        <f t="shared" si="54"/>
        <v>0</v>
      </c>
      <c r="Y50" s="2">
        <f t="shared" si="54"/>
        <v>0</v>
      </c>
      <c r="Z50" s="2">
        <f t="shared" si="54"/>
        <v>0</v>
      </c>
      <c r="AA50" s="2">
        <f t="shared" si="54"/>
        <v>0</v>
      </c>
      <c r="AB50" s="2">
        <f t="shared" si="54"/>
        <v>0</v>
      </c>
      <c r="AC50" s="2">
        <f t="shared" si="54"/>
        <v>0</v>
      </c>
      <c r="AD50" s="2">
        <f t="shared" si="54"/>
        <v>0</v>
      </c>
      <c r="AE50" s="2">
        <f t="shared" si="54"/>
        <v>0</v>
      </c>
      <c r="AF50" s="2">
        <f t="shared" si="54"/>
        <v>0</v>
      </c>
      <c r="AG50" s="2">
        <f t="shared" si="54"/>
        <v>0</v>
      </c>
      <c r="AH50" s="2">
        <f t="shared" si="54"/>
        <v>0</v>
      </c>
      <c r="AI50" s="2">
        <f t="shared" si="54"/>
        <v>0</v>
      </c>
      <c r="AJ50" s="2">
        <f t="shared" si="54"/>
        <v>0</v>
      </c>
      <c r="AK50" s="2">
        <f t="shared" si="54"/>
        <v>0</v>
      </c>
      <c r="AL50" s="2">
        <f t="shared" si="54"/>
        <v>0</v>
      </c>
      <c r="AM50" s="2">
        <f t="shared" si="54"/>
        <v>0</v>
      </c>
      <c r="AN50" s="2">
        <f t="shared" si="54"/>
        <v>0</v>
      </c>
      <c r="AO50" s="2">
        <f t="shared" si="54"/>
        <v>0</v>
      </c>
      <c r="AP50" s="2">
        <f t="shared" si="54"/>
        <v>0</v>
      </c>
      <c r="AQ50" s="2">
        <f t="shared" si="54"/>
        <v>0</v>
      </c>
      <c r="AR50" s="2">
        <f t="shared" si="54"/>
        <v>0</v>
      </c>
      <c r="AS50" s="2">
        <f t="shared" si="54"/>
        <v>0</v>
      </c>
      <c r="AT50" s="2">
        <f t="shared" si="54"/>
        <v>0</v>
      </c>
      <c r="AU50" s="2">
        <f t="shared" si="54"/>
        <v>0</v>
      </c>
      <c r="AV50" s="2">
        <f t="shared" si="54"/>
        <v>0</v>
      </c>
    </row>
    <row r="51" spans="1:48" x14ac:dyDescent="0.25">
      <c r="A51" s="354" t="s">
        <v>1689</v>
      </c>
      <c r="B51" t="s">
        <v>273</v>
      </c>
      <c r="C51" t="s">
        <v>1061</v>
      </c>
      <c r="D51">
        <f t="shared" si="53"/>
        <v>37</v>
      </c>
      <c r="E51">
        <f t="shared" si="53"/>
        <v>44</v>
      </c>
      <c r="F51">
        <f t="shared" si="53"/>
        <v>38</v>
      </c>
      <c r="G51">
        <f t="shared" si="53"/>
        <v>32</v>
      </c>
      <c r="H51">
        <f t="shared" si="53"/>
        <v>39</v>
      </c>
      <c r="I51">
        <f t="shared" si="53"/>
        <v>37</v>
      </c>
      <c r="J51">
        <f t="shared" si="53"/>
        <v>35</v>
      </c>
      <c r="K51">
        <f t="shared" si="53"/>
        <v>36</v>
      </c>
      <c r="L51">
        <f t="shared" si="53"/>
        <v>37</v>
      </c>
      <c r="M51">
        <f t="shared" si="53"/>
        <v>39</v>
      </c>
      <c r="N51" s="2">
        <f t="shared" ref="N51:AV51" si="55">IFERROR(IF($M51-$D51&gt;=0,($M51-$D51)/COUNT($E$1:$M$1)+M51,$F404*$E404^N$1),0)</f>
        <v>39.222222222222221</v>
      </c>
      <c r="O51" s="2">
        <f t="shared" si="55"/>
        <v>39.444444444444443</v>
      </c>
      <c r="P51" s="2">
        <f t="shared" si="55"/>
        <v>39.666666666666664</v>
      </c>
      <c r="Q51" s="2">
        <f t="shared" si="55"/>
        <v>39.888888888888886</v>
      </c>
      <c r="R51" s="2">
        <f t="shared" si="55"/>
        <v>40.111111111111107</v>
      </c>
      <c r="S51" s="2">
        <f t="shared" si="55"/>
        <v>40.333333333333329</v>
      </c>
      <c r="T51" s="2">
        <f t="shared" si="55"/>
        <v>40.55555555555555</v>
      </c>
      <c r="U51" s="2">
        <f t="shared" si="55"/>
        <v>40.777777777777771</v>
      </c>
      <c r="V51" s="2">
        <f t="shared" si="55"/>
        <v>40.999999999999993</v>
      </c>
      <c r="W51" s="2">
        <f t="shared" si="55"/>
        <v>41.222222222222214</v>
      </c>
      <c r="X51" s="2">
        <f t="shared" si="55"/>
        <v>41.444444444444436</v>
      </c>
      <c r="Y51" s="2">
        <f t="shared" si="55"/>
        <v>41.666666666666657</v>
      </c>
      <c r="Z51" s="2">
        <f t="shared" si="55"/>
        <v>41.888888888888879</v>
      </c>
      <c r="AA51" s="2">
        <f t="shared" si="55"/>
        <v>42.1111111111111</v>
      </c>
      <c r="AB51" s="2">
        <f t="shared" si="55"/>
        <v>42.333333333333321</v>
      </c>
      <c r="AC51" s="2">
        <f t="shared" si="55"/>
        <v>42.555555555555543</v>
      </c>
      <c r="AD51" s="2">
        <f t="shared" si="55"/>
        <v>42.777777777777764</v>
      </c>
      <c r="AE51" s="2">
        <f t="shared" si="55"/>
        <v>42.999999999999986</v>
      </c>
      <c r="AF51" s="2">
        <f t="shared" si="55"/>
        <v>43.222222222222207</v>
      </c>
      <c r="AG51" s="2">
        <f t="shared" si="55"/>
        <v>43.444444444444429</v>
      </c>
      <c r="AH51" s="2">
        <f t="shared" si="55"/>
        <v>43.66666666666665</v>
      </c>
      <c r="AI51" s="2">
        <f t="shared" si="55"/>
        <v>43.888888888888872</v>
      </c>
      <c r="AJ51" s="2">
        <f t="shared" si="55"/>
        <v>44.111111111111093</v>
      </c>
      <c r="AK51" s="2">
        <f t="shared" si="55"/>
        <v>44.333333333333314</v>
      </c>
      <c r="AL51" s="2">
        <f t="shared" si="55"/>
        <v>44.555555555555536</v>
      </c>
      <c r="AM51" s="2">
        <f t="shared" si="55"/>
        <v>44.777777777777757</v>
      </c>
      <c r="AN51" s="2">
        <f t="shared" si="55"/>
        <v>44.999999999999979</v>
      </c>
      <c r="AO51" s="2">
        <f t="shared" si="55"/>
        <v>45.2222222222222</v>
      </c>
      <c r="AP51" s="2">
        <f t="shared" si="55"/>
        <v>45.444444444444422</v>
      </c>
      <c r="AQ51" s="2">
        <f t="shared" si="55"/>
        <v>45.666666666666643</v>
      </c>
      <c r="AR51" s="2">
        <f t="shared" si="55"/>
        <v>45.888888888888864</v>
      </c>
      <c r="AS51" s="2">
        <f t="shared" si="55"/>
        <v>46.111111111111086</v>
      </c>
      <c r="AT51" s="2">
        <f t="shared" si="55"/>
        <v>46.333333333333307</v>
      </c>
      <c r="AU51" s="2">
        <f t="shared" si="55"/>
        <v>46.555555555555529</v>
      </c>
      <c r="AV51" s="2">
        <f t="shared" si="55"/>
        <v>46.77777777777775</v>
      </c>
    </row>
    <row r="52" spans="1:48" x14ac:dyDescent="0.25">
      <c r="A52" s="355" t="s">
        <v>1978</v>
      </c>
      <c r="B52" t="s">
        <v>469</v>
      </c>
      <c r="C52" t="s">
        <v>1061</v>
      </c>
      <c r="D52">
        <f t="shared" si="53"/>
        <v>0</v>
      </c>
      <c r="E52">
        <f t="shared" si="53"/>
        <v>0</v>
      </c>
      <c r="F52">
        <f t="shared" si="53"/>
        <v>0</v>
      </c>
      <c r="G52">
        <f t="shared" si="53"/>
        <v>0</v>
      </c>
      <c r="H52">
        <f t="shared" si="53"/>
        <v>0</v>
      </c>
      <c r="I52">
        <f t="shared" si="53"/>
        <v>0</v>
      </c>
      <c r="J52">
        <f t="shared" si="53"/>
        <v>0</v>
      </c>
      <c r="K52">
        <f t="shared" si="53"/>
        <v>0</v>
      </c>
      <c r="L52">
        <f t="shared" si="53"/>
        <v>0</v>
      </c>
      <c r="M52">
        <f t="shared" si="53"/>
        <v>0</v>
      </c>
      <c r="N52" s="2">
        <f t="shared" ref="N52:AV52" si="56">IFERROR(IF($M52-$D52&gt;=0,($M52-$D52)/COUNT($E$1:$M$1)+M52,$F405*$E405^N$1),0)</f>
        <v>0</v>
      </c>
      <c r="O52" s="2">
        <f t="shared" si="56"/>
        <v>0</v>
      </c>
      <c r="P52" s="2">
        <f t="shared" si="56"/>
        <v>0</v>
      </c>
      <c r="Q52" s="2">
        <f t="shared" si="56"/>
        <v>0</v>
      </c>
      <c r="R52" s="2">
        <f t="shared" si="56"/>
        <v>0</v>
      </c>
      <c r="S52" s="2">
        <f t="shared" si="56"/>
        <v>0</v>
      </c>
      <c r="T52" s="2">
        <f t="shared" si="56"/>
        <v>0</v>
      </c>
      <c r="U52" s="2">
        <f t="shared" si="56"/>
        <v>0</v>
      </c>
      <c r="V52" s="2">
        <f t="shared" si="56"/>
        <v>0</v>
      </c>
      <c r="W52" s="2">
        <f t="shared" si="56"/>
        <v>0</v>
      </c>
      <c r="X52" s="2">
        <f t="shared" si="56"/>
        <v>0</v>
      </c>
      <c r="Y52" s="2">
        <f t="shared" si="56"/>
        <v>0</v>
      </c>
      <c r="Z52" s="2">
        <f t="shared" si="56"/>
        <v>0</v>
      </c>
      <c r="AA52" s="2">
        <f t="shared" si="56"/>
        <v>0</v>
      </c>
      <c r="AB52" s="2">
        <f t="shared" si="56"/>
        <v>0</v>
      </c>
      <c r="AC52" s="2">
        <f t="shared" si="56"/>
        <v>0</v>
      </c>
      <c r="AD52" s="2">
        <f t="shared" si="56"/>
        <v>0</v>
      </c>
      <c r="AE52" s="2">
        <f t="shared" si="56"/>
        <v>0</v>
      </c>
      <c r="AF52" s="2">
        <f t="shared" si="56"/>
        <v>0</v>
      </c>
      <c r="AG52" s="2">
        <f t="shared" si="56"/>
        <v>0</v>
      </c>
      <c r="AH52" s="2">
        <f t="shared" si="56"/>
        <v>0</v>
      </c>
      <c r="AI52" s="2">
        <f t="shared" si="56"/>
        <v>0</v>
      </c>
      <c r="AJ52" s="2">
        <f t="shared" si="56"/>
        <v>0</v>
      </c>
      <c r="AK52" s="2">
        <f t="shared" si="56"/>
        <v>0</v>
      </c>
      <c r="AL52" s="2">
        <f t="shared" si="56"/>
        <v>0</v>
      </c>
      <c r="AM52" s="2">
        <f t="shared" si="56"/>
        <v>0</v>
      </c>
      <c r="AN52" s="2">
        <f t="shared" si="56"/>
        <v>0</v>
      </c>
      <c r="AO52" s="2">
        <f t="shared" si="56"/>
        <v>0</v>
      </c>
      <c r="AP52" s="2">
        <f t="shared" si="56"/>
        <v>0</v>
      </c>
      <c r="AQ52" s="2">
        <f t="shared" si="56"/>
        <v>0</v>
      </c>
      <c r="AR52" s="2">
        <f t="shared" si="56"/>
        <v>0</v>
      </c>
      <c r="AS52" s="2">
        <f t="shared" si="56"/>
        <v>0</v>
      </c>
      <c r="AT52" s="2">
        <f t="shared" si="56"/>
        <v>0</v>
      </c>
      <c r="AU52" s="2">
        <f t="shared" si="56"/>
        <v>0</v>
      </c>
      <c r="AV52" s="2">
        <f t="shared" si="56"/>
        <v>0</v>
      </c>
    </row>
    <row r="53" spans="1:48" x14ac:dyDescent="0.25">
      <c r="A53" s="354" t="s">
        <v>1975</v>
      </c>
      <c r="B53" t="s">
        <v>469</v>
      </c>
      <c r="C53" t="s">
        <v>1061</v>
      </c>
      <c r="D53">
        <f t="shared" si="53"/>
        <v>0</v>
      </c>
      <c r="E53">
        <f t="shared" si="53"/>
        <v>0</v>
      </c>
      <c r="F53">
        <f t="shared" si="53"/>
        <v>0</v>
      </c>
      <c r="G53">
        <f t="shared" si="53"/>
        <v>0</v>
      </c>
      <c r="H53">
        <f t="shared" si="53"/>
        <v>0</v>
      </c>
      <c r="I53">
        <f t="shared" si="53"/>
        <v>0</v>
      </c>
      <c r="J53">
        <f t="shared" si="53"/>
        <v>0</v>
      </c>
      <c r="K53">
        <f t="shared" si="53"/>
        <v>0</v>
      </c>
      <c r="L53">
        <f t="shared" si="53"/>
        <v>0</v>
      </c>
      <c r="M53">
        <f t="shared" si="53"/>
        <v>0</v>
      </c>
      <c r="N53" s="2">
        <f t="shared" ref="N53:AV53" si="57">IFERROR(IF($M53-$D53&gt;=0,($M53-$D53)/COUNT($E$1:$M$1)+M53,$F406*$E406^N$1),0)</f>
        <v>0</v>
      </c>
      <c r="O53" s="2">
        <f t="shared" si="57"/>
        <v>0</v>
      </c>
      <c r="P53" s="2">
        <f t="shared" si="57"/>
        <v>0</v>
      </c>
      <c r="Q53" s="2">
        <f t="shared" si="57"/>
        <v>0</v>
      </c>
      <c r="R53" s="2">
        <f t="shared" si="57"/>
        <v>0</v>
      </c>
      <c r="S53" s="2">
        <f t="shared" si="57"/>
        <v>0</v>
      </c>
      <c r="T53" s="2">
        <f t="shared" si="57"/>
        <v>0</v>
      </c>
      <c r="U53" s="2">
        <f t="shared" si="57"/>
        <v>0</v>
      </c>
      <c r="V53" s="2">
        <f t="shared" si="57"/>
        <v>0</v>
      </c>
      <c r="W53" s="2">
        <f t="shared" si="57"/>
        <v>0</v>
      </c>
      <c r="X53" s="2">
        <f t="shared" si="57"/>
        <v>0</v>
      </c>
      <c r="Y53" s="2">
        <f t="shared" si="57"/>
        <v>0</v>
      </c>
      <c r="Z53" s="2">
        <f t="shared" si="57"/>
        <v>0</v>
      </c>
      <c r="AA53" s="2">
        <f t="shared" si="57"/>
        <v>0</v>
      </c>
      <c r="AB53" s="2">
        <f t="shared" si="57"/>
        <v>0</v>
      </c>
      <c r="AC53" s="2">
        <f t="shared" si="57"/>
        <v>0</v>
      </c>
      <c r="AD53" s="2">
        <f t="shared" si="57"/>
        <v>0</v>
      </c>
      <c r="AE53" s="2">
        <f t="shared" si="57"/>
        <v>0</v>
      </c>
      <c r="AF53" s="2">
        <f t="shared" si="57"/>
        <v>0</v>
      </c>
      <c r="AG53" s="2">
        <f t="shared" si="57"/>
        <v>0</v>
      </c>
      <c r="AH53" s="2">
        <f t="shared" si="57"/>
        <v>0</v>
      </c>
      <c r="AI53" s="2">
        <f t="shared" si="57"/>
        <v>0</v>
      </c>
      <c r="AJ53" s="2">
        <f t="shared" si="57"/>
        <v>0</v>
      </c>
      <c r="AK53" s="2">
        <f t="shared" si="57"/>
        <v>0</v>
      </c>
      <c r="AL53" s="2">
        <f t="shared" si="57"/>
        <v>0</v>
      </c>
      <c r="AM53" s="2">
        <f t="shared" si="57"/>
        <v>0</v>
      </c>
      <c r="AN53" s="2">
        <f t="shared" si="57"/>
        <v>0</v>
      </c>
      <c r="AO53" s="2">
        <f t="shared" si="57"/>
        <v>0</v>
      </c>
      <c r="AP53" s="2">
        <f t="shared" si="57"/>
        <v>0</v>
      </c>
      <c r="AQ53" s="2">
        <f t="shared" si="57"/>
        <v>0</v>
      </c>
      <c r="AR53" s="2">
        <f t="shared" si="57"/>
        <v>0</v>
      </c>
      <c r="AS53" s="2">
        <f t="shared" si="57"/>
        <v>0</v>
      </c>
      <c r="AT53" s="2">
        <f t="shared" si="57"/>
        <v>0</v>
      </c>
      <c r="AU53" s="2">
        <f t="shared" si="57"/>
        <v>0</v>
      </c>
      <c r="AV53" s="2">
        <f t="shared" si="57"/>
        <v>0</v>
      </c>
    </row>
    <row r="54" spans="1:48" x14ac:dyDescent="0.25">
      <c r="A54" s="354" t="s">
        <v>1692</v>
      </c>
      <c r="B54" t="s">
        <v>1710</v>
      </c>
      <c r="C54" t="s">
        <v>1061</v>
      </c>
      <c r="D54">
        <f t="shared" si="53"/>
        <v>0</v>
      </c>
      <c r="E54">
        <f t="shared" si="53"/>
        <v>0</v>
      </c>
      <c r="F54">
        <f t="shared" si="53"/>
        <v>0</v>
      </c>
      <c r="G54">
        <f t="shared" si="53"/>
        <v>0</v>
      </c>
      <c r="H54">
        <f t="shared" si="53"/>
        <v>0</v>
      </c>
      <c r="I54">
        <f t="shared" si="53"/>
        <v>0</v>
      </c>
      <c r="J54">
        <f t="shared" si="53"/>
        <v>0</v>
      </c>
      <c r="K54">
        <f t="shared" si="53"/>
        <v>0</v>
      </c>
      <c r="L54">
        <f t="shared" si="53"/>
        <v>0</v>
      </c>
      <c r="M54">
        <f t="shared" si="53"/>
        <v>0</v>
      </c>
      <c r="N54" s="2">
        <f t="shared" ref="N54:AV54" si="58">IFERROR(IF($M54-$D54&gt;=0,($M54-$D54)/COUNT($E$1:$M$1)+M54,$F407*$E407^N$1),0)</f>
        <v>0</v>
      </c>
      <c r="O54" s="2">
        <f t="shared" si="58"/>
        <v>0</v>
      </c>
      <c r="P54" s="2">
        <f t="shared" si="58"/>
        <v>0</v>
      </c>
      <c r="Q54" s="2">
        <f t="shared" si="58"/>
        <v>0</v>
      </c>
      <c r="R54" s="2">
        <f t="shared" si="58"/>
        <v>0</v>
      </c>
      <c r="S54" s="2">
        <f t="shared" si="58"/>
        <v>0</v>
      </c>
      <c r="T54" s="2">
        <f t="shared" si="58"/>
        <v>0</v>
      </c>
      <c r="U54" s="2">
        <f t="shared" si="58"/>
        <v>0</v>
      </c>
      <c r="V54" s="2">
        <f t="shared" si="58"/>
        <v>0</v>
      </c>
      <c r="W54" s="2">
        <f t="shared" si="58"/>
        <v>0</v>
      </c>
      <c r="X54" s="2">
        <f t="shared" si="58"/>
        <v>0</v>
      </c>
      <c r="Y54" s="2">
        <f t="shared" si="58"/>
        <v>0</v>
      </c>
      <c r="Z54" s="2">
        <f t="shared" si="58"/>
        <v>0</v>
      </c>
      <c r="AA54" s="2">
        <f t="shared" si="58"/>
        <v>0</v>
      </c>
      <c r="AB54" s="2">
        <f t="shared" si="58"/>
        <v>0</v>
      </c>
      <c r="AC54" s="2">
        <f t="shared" si="58"/>
        <v>0</v>
      </c>
      <c r="AD54" s="2">
        <f t="shared" si="58"/>
        <v>0</v>
      </c>
      <c r="AE54" s="2">
        <f t="shared" si="58"/>
        <v>0</v>
      </c>
      <c r="AF54" s="2">
        <f t="shared" si="58"/>
        <v>0</v>
      </c>
      <c r="AG54" s="2">
        <f t="shared" si="58"/>
        <v>0</v>
      </c>
      <c r="AH54" s="2">
        <f t="shared" si="58"/>
        <v>0</v>
      </c>
      <c r="AI54" s="2">
        <f t="shared" si="58"/>
        <v>0</v>
      </c>
      <c r="AJ54" s="2">
        <f t="shared" si="58"/>
        <v>0</v>
      </c>
      <c r="AK54" s="2">
        <f t="shared" si="58"/>
        <v>0</v>
      </c>
      <c r="AL54" s="2">
        <f t="shared" si="58"/>
        <v>0</v>
      </c>
      <c r="AM54" s="2">
        <f t="shared" si="58"/>
        <v>0</v>
      </c>
      <c r="AN54" s="2">
        <f t="shared" si="58"/>
        <v>0</v>
      </c>
      <c r="AO54" s="2">
        <f t="shared" si="58"/>
        <v>0</v>
      </c>
      <c r="AP54" s="2">
        <f t="shared" si="58"/>
        <v>0</v>
      </c>
      <c r="AQ54" s="2">
        <f t="shared" si="58"/>
        <v>0</v>
      </c>
      <c r="AR54" s="2">
        <f t="shared" si="58"/>
        <v>0</v>
      </c>
      <c r="AS54" s="2">
        <f t="shared" si="58"/>
        <v>0</v>
      </c>
      <c r="AT54" s="2">
        <f t="shared" si="58"/>
        <v>0</v>
      </c>
      <c r="AU54" s="2">
        <f t="shared" si="58"/>
        <v>0</v>
      </c>
      <c r="AV54" s="2">
        <f t="shared" si="58"/>
        <v>0</v>
      </c>
    </row>
    <row r="55" spans="1:48" x14ac:dyDescent="0.25">
      <c r="A55" s="354" t="s">
        <v>1693</v>
      </c>
      <c r="B55" t="s">
        <v>1710</v>
      </c>
      <c r="C55" t="s">
        <v>1061</v>
      </c>
      <c r="D55">
        <f t="shared" si="53"/>
        <v>0</v>
      </c>
      <c r="E55">
        <f t="shared" si="53"/>
        <v>0</v>
      </c>
      <c r="F55">
        <f t="shared" si="53"/>
        <v>0</v>
      </c>
      <c r="G55">
        <f t="shared" si="53"/>
        <v>0</v>
      </c>
      <c r="H55">
        <f t="shared" si="53"/>
        <v>0</v>
      </c>
      <c r="I55">
        <f t="shared" si="53"/>
        <v>0</v>
      </c>
      <c r="J55">
        <f t="shared" si="53"/>
        <v>0</v>
      </c>
      <c r="K55">
        <f t="shared" si="53"/>
        <v>0</v>
      </c>
      <c r="L55">
        <f t="shared" si="53"/>
        <v>0</v>
      </c>
      <c r="M55">
        <f t="shared" si="53"/>
        <v>0</v>
      </c>
      <c r="N55" s="2">
        <f t="shared" ref="N55:AV55" si="59">IFERROR(IF($M55-$D55&gt;=0,($M55-$D55)/COUNT($E$1:$M$1)+M55,$F408*$E408^N$1),0)</f>
        <v>0</v>
      </c>
      <c r="O55" s="2">
        <f t="shared" si="59"/>
        <v>0</v>
      </c>
      <c r="P55" s="2">
        <f t="shared" si="59"/>
        <v>0</v>
      </c>
      <c r="Q55" s="2">
        <f t="shared" si="59"/>
        <v>0</v>
      </c>
      <c r="R55" s="2">
        <f t="shared" si="59"/>
        <v>0</v>
      </c>
      <c r="S55" s="2">
        <f t="shared" si="59"/>
        <v>0</v>
      </c>
      <c r="T55" s="2">
        <f t="shared" si="59"/>
        <v>0</v>
      </c>
      <c r="U55" s="2">
        <f t="shared" si="59"/>
        <v>0</v>
      </c>
      <c r="V55" s="2">
        <f t="shared" si="59"/>
        <v>0</v>
      </c>
      <c r="W55" s="2">
        <f t="shared" si="59"/>
        <v>0</v>
      </c>
      <c r="X55" s="2">
        <f t="shared" si="59"/>
        <v>0</v>
      </c>
      <c r="Y55" s="2">
        <f t="shared" si="59"/>
        <v>0</v>
      </c>
      <c r="Z55" s="2">
        <f t="shared" si="59"/>
        <v>0</v>
      </c>
      <c r="AA55" s="2">
        <f t="shared" si="59"/>
        <v>0</v>
      </c>
      <c r="AB55" s="2">
        <f t="shared" si="59"/>
        <v>0</v>
      </c>
      <c r="AC55" s="2">
        <f t="shared" si="59"/>
        <v>0</v>
      </c>
      <c r="AD55" s="2">
        <f t="shared" si="59"/>
        <v>0</v>
      </c>
      <c r="AE55" s="2">
        <f t="shared" si="59"/>
        <v>0</v>
      </c>
      <c r="AF55" s="2">
        <f t="shared" si="59"/>
        <v>0</v>
      </c>
      <c r="AG55" s="2">
        <f t="shared" si="59"/>
        <v>0</v>
      </c>
      <c r="AH55" s="2">
        <f t="shared" si="59"/>
        <v>0</v>
      </c>
      <c r="AI55" s="2">
        <f t="shared" si="59"/>
        <v>0</v>
      </c>
      <c r="AJ55" s="2">
        <f t="shared" si="59"/>
        <v>0</v>
      </c>
      <c r="AK55" s="2">
        <f t="shared" si="59"/>
        <v>0</v>
      </c>
      <c r="AL55" s="2">
        <f t="shared" si="59"/>
        <v>0</v>
      </c>
      <c r="AM55" s="2">
        <f t="shared" si="59"/>
        <v>0</v>
      </c>
      <c r="AN55" s="2">
        <f t="shared" si="59"/>
        <v>0</v>
      </c>
      <c r="AO55" s="2">
        <f t="shared" si="59"/>
        <v>0</v>
      </c>
      <c r="AP55" s="2">
        <f t="shared" si="59"/>
        <v>0</v>
      </c>
      <c r="AQ55" s="2">
        <f t="shared" si="59"/>
        <v>0</v>
      </c>
      <c r="AR55" s="2">
        <f t="shared" si="59"/>
        <v>0</v>
      </c>
      <c r="AS55" s="2">
        <f t="shared" si="59"/>
        <v>0</v>
      </c>
      <c r="AT55" s="2">
        <f t="shared" si="59"/>
        <v>0</v>
      </c>
      <c r="AU55" s="2">
        <f t="shared" si="59"/>
        <v>0</v>
      </c>
      <c r="AV55" s="2">
        <f t="shared" si="59"/>
        <v>0</v>
      </c>
    </row>
    <row r="56" spans="1:48" x14ac:dyDescent="0.25">
      <c r="A56" s="354" t="s">
        <v>1694</v>
      </c>
      <c r="B56" t="s">
        <v>273</v>
      </c>
      <c r="C56" t="s">
        <v>1061</v>
      </c>
      <c r="D56">
        <f t="shared" si="53"/>
        <v>0</v>
      </c>
      <c r="E56">
        <f t="shared" si="53"/>
        <v>0</v>
      </c>
      <c r="F56">
        <f t="shared" si="53"/>
        <v>0</v>
      </c>
      <c r="G56">
        <f t="shared" si="53"/>
        <v>0</v>
      </c>
      <c r="H56">
        <f t="shared" si="53"/>
        <v>0</v>
      </c>
      <c r="I56">
        <f t="shared" si="53"/>
        <v>0</v>
      </c>
      <c r="J56">
        <f t="shared" si="53"/>
        <v>0</v>
      </c>
      <c r="K56">
        <f t="shared" si="53"/>
        <v>0</v>
      </c>
      <c r="L56">
        <f t="shared" si="53"/>
        <v>0</v>
      </c>
      <c r="M56">
        <f t="shared" si="53"/>
        <v>0</v>
      </c>
      <c r="N56" s="2">
        <f t="shared" ref="N56:AV56" si="60">IFERROR(IF($M56-$D56&gt;=0,($M56-$D56)/COUNT($E$1:$M$1)+M56,$F409*$E409^N$1),0)</f>
        <v>0</v>
      </c>
      <c r="O56" s="2">
        <f t="shared" si="60"/>
        <v>0</v>
      </c>
      <c r="P56" s="2">
        <f t="shared" si="60"/>
        <v>0</v>
      </c>
      <c r="Q56" s="2">
        <f t="shared" si="60"/>
        <v>0</v>
      </c>
      <c r="R56" s="2">
        <f t="shared" si="60"/>
        <v>0</v>
      </c>
      <c r="S56" s="2">
        <f t="shared" si="60"/>
        <v>0</v>
      </c>
      <c r="T56" s="2">
        <f t="shared" si="60"/>
        <v>0</v>
      </c>
      <c r="U56" s="2">
        <f t="shared" si="60"/>
        <v>0</v>
      </c>
      <c r="V56" s="2">
        <f t="shared" si="60"/>
        <v>0</v>
      </c>
      <c r="W56" s="2">
        <f t="shared" si="60"/>
        <v>0</v>
      </c>
      <c r="X56" s="2">
        <f t="shared" si="60"/>
        <v>0</v>
      </c>
      <c r="Y56" s="2">
        <f t="shared" si="60"/>
        <v>0</v>
      </c>
      <c r="Z56" s="2">
        <f t="shared" si="60"/>
        <v>0</v>
      </c>
      <c r="AA56" s="2">
        <f t="shared" si="60"/>
        <v>0</v>
      </c>
      <c r="AB56" s="2">
        <f t="shared" si="60"/>
        <v>0</v>
      </c>
      <c r="AC56" s="2">
        <f t="shared" si="60"/>
        <v>0</v>
      </c>
      <c r="AD56" s="2">
        <f t="shared" si="60"/>
        <v>0</v>
      </c>
      <c r="AE56" s="2">
        <f t="shared" si="60"/>
        <v>0</v>
      </c>
      <c r="AF56" s="2">
        <f t="shared" si="60"/>
        <v>0</v>
      </c>
      <c r="AG56" s="2">
        <f t="shared" si="60"/>
        <v>0</v>
      </c>
      <c r="AH56" s="2">
        <f t="shared" si="60"/>
        <v>0</v>
      </c>
      <c r="AI56" s="2">
        <f t="shared" si="60"/>
        <v>0</v>
      </c>
      <c r="AJ56" s="2">
        <f t="shared" si="60"/>
        <v>0</v>
      </c>
      <c r="AK56" s="2">
        <f t="shared" si="60"/>
        <v>0</v>
      </c>
      <c r="AL56" s="2">
        <f t="shared" si="60"/>
        <v>0</v>
      </c>
      <c r="AM56" s="2">
        <f t="shared" si="60"/>
        <v>0</v>
      </c>
      <c r="AN56" s="2">
        <f t="shared" si="60"/>
        <v>0</v>
      </c>
      <c r="AO56" s="2">
        <f t="shared" si="60"/>
        <v>0</v>
      </c>
      <c r="AP56" s="2">
        <f t="shared" si="60"/>
        <v>0</v>
      </c>
      <c r="AQ56" s="2">
        <f t="shared" si="60"/>
        <v>0</v>
      </c>
      <c r="AR56" s="2">
        <f t="shared" si="60"/>
        <v>0</v>
      </c>
      <c r="AS56" s="2">
        <f t="shared" si="60"/>
        <v>0</v>
      </c>
      <c r="AT56" s="2">
        <f t="shared" si="60"/>
        <v>0</v>
      </c>
      <c r="AU56" s="2">
        <f t="shared" si="60"/>
        <v>0</v>
      </c>
      <c r="AV56" s="2">
        <f t="shared" si="60"/>
        <v>0</v>
      </c>
    </row>
    <row r="57" spans="1:48" x14ac:dyDescent="0.25">
      <c r="A57" s="355" t="s">
        <v>1977</v>
      </c>
      <c r="B57" t="s">
        <v>469</v>
      </c>
      <c r="C57" t="s">
        <v>1061</v>
      </c>
      <c r="D57">
        <f t="shared" si="53"/>
        <v>0</v>
      </c>
      <c r="E57">
        <f t="shared" si="53"/>
        <v>0</v>
      </c>
      <c r="F57">
        <f t="shared" si="53"/>
        <v>0</v>
      </c>
      <c r="G57">
        <f t="shared" si="53"/>
        <v>0</v>
      </c>
      <c r="H57">
        <f t="shared" si="53"/>
        <v>0</v>
      </c>
      <c r="I57">
        <f t="shared" si="53"/>
        <v>0</v>
      </c>
      <c r="J57">
        <f t="shared" si="53"/>
        <v>0</v>
      </c>
      <c r="K57">
        <f t="shared" si="53"/>
        <v>0</v>
      </c>
      <c r="L57">
        <f t="shared" si="53"/>
        <v>0</v>
      </c>
      <c r="M57">
        <f t="shared" si="53"/>
        <v>0</v>
      </c>
      <c r="N57" s="2">
        <f t="shared" ref="N57:AV57" si="61">IFERROR(IF($M57-$D57&gt;=0,($M57-$D57)/COUNT($E$1:$M$1)+M57,$F410*$E410^N$1),0)</f>
        <v>0</v>
      </c>
      <c r="O57" s="2">
        <f t="shared" si="61"/>
        <v>0</v>
      </c>
      <c r="P57" s="2">
        <f t="shared" si="61"/>
        <v>0</v>
      </c>
      <c r="Q57" s="2">
        <f t="shared" si="61"/>
        <v>0</v>
      </c>
      <c r="R57" s="2">
        <f t="shared" si="61"/>
        <v>0</v>
      </c>
      <c r="S57" s="2">
        <f t="shared" si="61"/>
        <v>0</v>
      </c>
      <c r="T57" s="2">
        <f t="shared" si="61"/>
        <v>0</v>
      </c>
      <c r="U57" s="2">
        <f t="shared" si="61"/>
        <v>0</v>
      </c>
      <c r="V57" s="2">
        <f t="shared" si="61"/>
        <v>0</v>
      </c>
      <c r="W57" s="2">
        <f t="shared" si="61"/>
        <v>0</v>
      </c>
      <c r="X57" s="2">
        <f t="shared" si="61"/>
        <v>0</v>
      </c>
      <c r="Y57" s="2">
        <f t="shared" si="61"/>
        <v>0</v>
      </c>
      <c r="Z57" s="2">
        <f t="shared" si="61"/>
        <v>0</v>
      </c>
      <c r="AA57" s="2">
        <f t="shared" si="61"/>
        <v>0</v>
      </c>
      <c r="AB57" s="2">
        <f t="shared" si="61"/>
        <v>0</v>
      </c>
      <c r="AC57" s="2">
        <f t="shared" si="61"/>
        <v>0</v>
      </c>
      <c r="AD57" s="2">
        <f t="shared" si="61"/>
        <v>0</v>
      </c>
      <c r="AE57" s="2">
        <f t="shared" si="61"/>
        <v>0</v>
      </c>
      <c r="AF57" s="2">
        <f t="shared" si="61"/>
        <v>0</v>
      </c>
      <c r="AG57" s="2">
        <f t="shared" si="61"/>
        <v>0</v>
      </c>
      <c r="AH57" s="2">
        <f t="shared" si="61"/>
        <v>0</v>
      </c>
      <c r="AI57" s="2">
        <f t="shared" si="61"/>
        <v>0</v>
      </c>
      <c r="AJ57" s="2">
        <f t="shared" si="61"/>
        <v>0</v>
      </c>
      <c r="AK57" s="2">
        <f t="shared" si="61"/>
        <v>0</v>
      </c>
      <c r="AL57" s="2">
        <f t="shared" si="61"/>
        <v>0</v>
      </c>
      <c r="AM57" s="2">
        <f t="shared" si="61"/>
        <v>0</v>
      </c>
      <c r="AN57" s="2">
        <f t="shared" si="61"/>
        <v>0</v>
      </c>
      <c r="AO57" s="2">
        <f t="shared" si="61"/>
        <v>0</v>
      </c>
      <c r="AP57" s="2">
        <f t="shared" si="61"/>
        <v>0</v>
      </c>
      <c r="AQ57" s="2">
        <f t="shared" si="61"/>
        <v>0</v>
      </c>
      <c r="AR57" s="2">
        <f t="shared" si="61"/>
        <v>0</v>
      </c>
      <c r="AS57" s="2">
        <f t="shared" si="61"/>
        <v>0</v>
      </c>
      <c r="AT57" s="2">
        <f t="shared" si="61"/>
        <v>0</v>
      </c>
      <c r="AU57" s="2">
        <f t="shared" si="61"/>
        <v>0</v>
      </c>
      <c r="AV57" s="2">
        <f t="shared" si="61"/>
        <v>0</v>
      </c>
    </row>
    <row r="58" spans="1:48" x14ac:dyDescent="0.25">
      <c r="A58" s="354" t="s">
        <v>1696</v>
      </c>
      <c r="B58" t="s">
        <v>273</v>
      </c>
      <c r="C58" t="s">
        <v>1061</v>
      </c>
      <c r="D58">
        <f t="shared" si="53"/>
        <v>0</v>
      </c>
      <c r="E58">
        <f t="shared" si="53"/>
        <v>0</v>
      </c>
      <c r="F58">
        <f t="shared" si="53"/>
        <v>0</v>
      </c>
      <c r="G58">
        <f t="shared" si="53"/>
        <v>0</v>
      </c>
      <c r="H58">
        <f t="shared" si="53"/>
        <v>0</v>
      </c>
      <c r="I58">
        <f t="shared" si="53"/>
        <v>0</v>
      </c>
      <c r="J58">
        <f t="shared" si="53"/>
        <v>0</v>
      </c>
      <c r="K58">
        <f t="shared" si="53"/>
        <v>0</v>
      </c>
      <c r="L58">
        <f t="shared" si="53"/>
        <v>0</v>
      </c>
      <c r="M58">
        <f t="shared" si="53"/>
        <v>0</v>
      </c>
      <c r="N58" s="2">
        <f t="shared" ref="N58:AV58" si="62">IFERROR(IF($M58-$D58&gt;=0,($M58-$D58)/COUNT($E$1:$M$1)+M58,$F411*$E411^N$1),0)</f>
        <v>0</v>
      </c>
      <c r="O58" s="2">
        <f t="shared" si="62"/>
        <v>0</v>
      </c>
      <c r="P58" s="2">
        <f t="shared" si="62"/>
        <v>0</v>
      </c>
      <c r="Q58" s="2">
        <f t="shared" si="62"/>
        <v>0</v>
      </c>
      <c r="R58" s="2">
        <f t="shared" si="62"/>
        <v>0</v>
      </c>
      <c r="S58" s="2">
        <f t="shared" si="62"/>
        <v>0</v>
      </c>
      <c r="T58" s="2">
        <f t="shared" si="62"/>
        <v>0</v>
      </c>
      <c r="U58" s="2">
        <f t="shared" si="62"/>
        <v>0</v>
      </c>
      <c r="V58" s="2">
        <f t="shared" si="62"/>
        <v>0</v>
      </c>
      <c r="W58" s="2">
        <f t="shared" si="62"/>
        <v>0</v>
      </c>
      <c r="X58" s="2">
        <f t="shared" si="62"/>
        <v>0</v>
      </c>
      <c r="Y58" s="2">
        <f t="shared" si="62"/>
        <v>0</v>
      </c>
      <c r="Z58" s="2">
        <f t="shared" si="62"/>
        <v>0</v>
      </c>
      <c r="AA58" s="2">
        <f t="shared" si="62"/>
        <v>0</v>
      </c>
      <c r="AB58" s="2">
        <f t="shared" si="62"/>
        <v>0</v>
      </c>
      <c r="AC58" s="2">
        <f t="shared" si="62"/>
        <v>0</v>
      </c>
      <c r="AD58" s="2">
        <f t="shared" si="62"/>
        <v>0</v>
      </c>
      <c r="AE58" s="2">
        <f t="shared" si="62"/>
        <v>0</v>
      </c>
      <c r="AF58" s="2">
        <f t="shared" si="62"/>
        <v>0</v>
      </c>
      <c r="AG58" s="2">
        <f t="shared" si="62"/>
        <v>0</v>
      </c>
      <c r="AH58" s="2">
        <f t="shared" si="62"/>
        <v>0</v>
      </c>
      <c r="AI58" s="2">
        <f t="shared" si="62"/>
        <v>0</v>
      </c>
      <c r="AJ58" s="2">
        <f t="shared" si="62"/>
        <v>0</v>
      </c>
      <c r="AK58" s="2">
        <f t="shared" si="62"/>
        <v>0</v>
      </c>
      <c r="AL58" s="2">
        <f t="shared" si="62"/>
        <v>0</v>
      </c>
      <c r="AM58" s="2">
        <f t="shared" si="62"/>
        <v>0</v>
      </c>
      <c r="AN58" s="2">
        <f t="shared" si="62"/>
        <v>0</v>
      </c>
      <c r="AO58" s="2">
        <f t="shared" si="62"/>
        <v>0</v>
      </c>
      <c r="AP58" s="2">
        <f t="shared" si="62"/>
        <v>0</v>
      </c>
      <c r="AQ58" s="2">
        <f t="shared" si="62"/>
        <v>0</v>
      </c>
      <c r="AR58" s="2">
        <f t="shared" si="62"/>
        <v>0</v>
      </c>
      <c r="AS58" s="2">
        <f t="shared" si="62"/>
        <v>0</v>
      </c>
      <c r="AT58" s="2">
        <f t="shared" si="62"/>
        <v>0</v>
      </c>
      <c r="AU58" s="2">
        <f t="shared" si="62"/>
        <v>0</v>
      </c>
      <c r="AV58" s="2">
        <f t="shared" si="62"/>
        <v>0</v>
      </c>
    </row>
    <row r="59" spans="1:48" x14ac:dyDescent="0.25">
      <c r="A59" s="354" t="s">
        <v>1697</v>
      </c>
      <c r="B59" t="s">
        <v>272</v>
      </c>
      <c r="C59" t="s">
        <v>1061</v>
      </c>
      <c r="D59">
        <f t="shared" si="53"/>
        <v>0</v>
      </c>
      <c r="E59">
        <f t="shared" si="53"/>
        <v>0</v>
      </c>
      <c r="F59">
        <f t="shared" si="53"/>
        <v>0</v>
      </c>
      <c r="G59">
        <f t="shared" si="53"/>
        <v>0</v>
      </c>
      <c r="H59">
        <f t="shared" si="53"/>
        <v>0</v>
      </c>
      <c r="I59">
        <f t="shared" si="53"/>
        <v>0</v>
      </c>
      <c r="J59">
        <f t="shared" si="53"/>
        <v>0</v>
      </c>
      <c r="K59">
        <f t="shared" si="53"/>
        <v>0</v>
      </c>
      <c r="L59">
        <f t="shared" si="53"/>
        <v>0</v>
      </c>
      <c r="M59">
        <f t="shared" si="53"/>
        <v>0</v>
      </c>
      <c r="N59" s="2">
        <f t="shared" ref="N59:AV59" si="63">IFERROR(IF($M59-$D59&gt;=0,($M59-$D59)/COUNT($E$1:$M$1)+M59,$F412*$E412^N$1),0)</f>
        <v>0</v>
      </c>
      <c r="O59" s="2">
        <f t="shared" si="63"/>
        <v>0</v>
      </c>
      <c r="P59" s="2">
        <f t="shared" si="63"/>
        <v>0</v>
      </c>
      <c r="Q59" s="2">
        <f t="shared" si="63"/>
        <v>0</v>
      </c>
      <c r="R59" s="2">
        <f t="shared" si="63"/>
        <v>0</v>
      </c>
      <c r="S59" s="2">
        <f t="shared" si="63"/>
        <v>0</v>
      </c>
      <c r="T59" s="2">
        <f t="shared" si="63"/>
        <v>0</v>
      </c>
      <c r="U59" s="2">
        <f t="shared" si="63"/>
        <v>0</v>
      </c>
      <c r="V59" s="2">
        <f t="shared" si="63"/>
        <v>0</v>
      </c>
      <c r="W59" s="2">
        <f t="shared" si="63"/>
        <v>0</v>
      </c>
      <c r="X59" s="2">
        <f t="shared" si="63"/>
        <v>0</v>
      </c>
      <c r="Y59" s="2">
        <f t="shared" si="63"/>
        <v>0</v>
      </c>
      <c r="Z59" s="2">
        <f t="shared" si="63"/>
        <v>0</v>
      </c>
      <c r="AA59" s="2">
        <f t="shared" si="63"/>
        <v>0</v>
      </c>
      <c r="AB59" s="2">
        <f t="shared" si="63"/>
        <v>0</v>
      </c>
      <c r="AC59" s="2">
        <f t="shared" si="63"/>
        <v>0</v>
      </c>
      <c r="AD59" s="2">
        <f t="shared" si="63"/>
        <v>0</v>
      </c>
      <c r="AE59" s="2">
        <f t="shared" si="63"/>
        <v>0</v>
      </c>
      <c r="AF59" s="2">
        <f t="shared" si="63"/>
        <v>0</v>
      </c>
      <c r="AG59" s="2">
        <f t="shared" si="63"/>
        <v>0</v>
      </c>
      <c r="AH59" s="2">
        <f t="shared" si="63"/>
        <v>0</v>
      </c>
      <c r="AI59" s="2">
        <f t="shared" si="63"/>
        <v>0</v>
      </c>
      <c r="AJ59" s="2">
        <f t="shared" si="63"/>
        <v>0</v>
      </c>
      <c r="AK59" s="2">
        <f t="shared" si="63"/>
        <v>0</v>
      </c>
      <c r="AL59" s="2">
        <f t="shared" si="63"/>
        <v>0</v>
      </c>
      <c r="AM59" s="2">
        <f t="shared" si="63"/>
        <v>0</v>
      </c>
      <c r="AN59" s="2">
        <f t="shared" si="63"/>
        <v>0</v>
      </c>
      <c r="AO59" s="2">
        <f t="shared" si="63"/>
        <v>0</v>
      </c>
      <c r="AP59" s="2">
        <f t="shared" si="63"/>
        <v>0</v>
      </c>
      <c r="AQ59" s="2">
        <f t="shared" si="63"/>
        <v>0</v>
      </c>
      <c r="AR59" s="2">
        <f t="shared" si="63"/>
        <v>0</v>
      </c>
      <c r="AS59" s="2">
        <f t="shared" si="63"/>
        <v>0</v>
      </c>
      <c r="AT59" s="2">
        <f t="shared" si="63"/>
        <v>0</v>
      </c>
      <c r="AU59" s="2">
        <f t="shared" si="63"/>
        <v>0</v>
      </c>
      <c r="AV59" s="2">
        <f t="shared" si="63"/>
        <v>0</v>
      </c>
    </row>
    <row r="60" spans="1:48" x14ac:dyDescent="0.25">
      <c r="A60" s="354" t="s">
        <v>1698</v>
      </c>
      <c r="B60" t="s">
        <v>469</v>
      </c>
      <c r="C60" t="s">
        <v>1061</v>
      </c>
      <c r="D60">
        <f t="shared" ref="D60:M68" si="64">IFERROR(INDEX($B$231:$AA$243,MATCH($A60,$A$231:$A$243,0),MATCH(D$1,$B$175:$AA$175,0)),0)</f>
        <v>0</v>
      </c>
      <c r="E60">
        <f t="shared" si="64"/>
        <v>0</v>
      </c>
      <c r="F60">
        <f t="shared" si="64"/>
        <v>0</v>
      </c>
      <c r="G60">
        <f t="shared" si="64"/>
        <v>0</v>
      </c>
      <c r="H60">
        <f t="shared" si="64"/>
        <v>0</v>
      </c>
      <c r="I60">
        <f t="shared" si="64"/>
        <v>0</v>
      </c>
      <c r="J60">
        <f t="shared" si="64"/>
        <v>0</v>
      </c>
      <c r="K60">
        <f t="shared" si="64"/>
        <v>0</v>
      </c>
      <c r="L60">
        <f t="shared" si="64"/>
        <v>0</v>
      </c>
      <c r="M60">
        <f t="shared" si="64"/>
        <v>0</v>
      </c>
      <c r="N60" s="2">
        <f t="shared" ref="N60:AV60" si="65">IFERROR(IF($M60-$D60&gt;=0,($M60-$D60)/COUNT($E$1:$M$1)+M60,$F413*$E413^N$1),0)</f>
        <v>0</v>
      </c>
      <c r="O60" s="2">
        <f t="shared" si="65"/>
        <v>0</v>
      </c>
      <c r="P60" s="2">
        <f t="shared" si="65"/>
        <v>0</v>
      </c>
      <c r="Q60" s="2">
        <f t="shared" si="65"/>
        <v>0</v>
      </c>
      <c r="R60" s="2">
        <f t="shared" si="65"/>
        <v>0</v>
      </c>
      <c r="S60" s="2">
        <f t="shared" si="65"/>
        <v>0</v>
      </c>
      <c r="T60" s="2">
        <f t="shared" si="65"/>
        <v>0</v>
      </c>
      <c r="U60" s="2">
        <f t="shared" si="65"/>
        <v>0</v>
      </c>
      <c r="V60" s="2">
        <f t="shared" si="65"/>
        <v>0</v>
      </c>
      <c r="W60" s="2">
        <f t="shared" si="65"/>
        <v>0</v>
      </c>
      <c r="X60" s="2">
        <f t="shared" si="65"/>
        <v>0</v>
      </c>
      <c r="Y60" s="2">
        <f t="shared" si="65"/>
        <v>0</v>
      </c>
      <c r="Z60" s="2">
        <f t="shared" si="65"/>
        <v>0</v>
      </c>
      <c r="AA60" s="2">
        <f t="shared" si="65"/>
        <v>0</v>
      </c>
      <c r="AB60" s="2">
        <f t="shared" si="65"/>
        <v>0</v>
      </c>
      <c r="AC60" s="2">
        <f t="shared" si="65"/>
        <v>0</v>
      </c>
      <c r="AD60" s="2">
        <f t="shared" si="65"/>
        <v>0</v>
      </c>
      <c r="AE60" s="2">
        <f t="shared" si="65"/>
        <v>0</v>
      </c>
      <c r="AF60" s="2">
        <f t="shared" si="65"/>
        <v>0</v>
      </c>
      <c r="AG60" s="2">
        <f t="shared" si="65"/>
        <v>0</v>
      </c>
      <c r="AH60" s="2">
        <f t="shared" si="65"/>
        <v>0</v>
      </c>
      <c r="AI60" s="2">
        <f t="shared" si="65"/>
        <v>0</v>
      </c>
      <c r="AJ60" s="2">
        <f t="shared" si="65"/>
        <v>0</v>
      </c>
      <c r="AK60" s="2">
        <f t="shared" si="65"/>
        <v>0</v>
      </c>
      <c r="AL60" s="2">
        <f t="shared" si="65"/>
        <v>0</v>
      </c>
      <c r="AM60" s="2">
        <f t="shared" si="65"/>
        <v>0</v>
      </c>
      <c r="AN60" s="2">
        <f t="shared" si="65"/>
        <v>0</v>
      </c>
      <c r="AO60" s="2">
        <f t="shared" si="65"/>
        <v>0</v>
      </c>
      <c r="AP60" s="2">
        <f t="shared" si="65"/>
        <v>0</v>
      </c>
      <c r="AQ60" s="2">
        <f t="shared" si="65"/>
        <v>0</v>
      </c>
      <c r="AR60" s="2">
        <f t="shared" si="65"/>
        <v>0</v>
      </c>
      <c r="AS60" s="2">
        <f t="shared" si="65"/>
        <v>0</v>
      </c>
      <c r="AT60" s="2">
        <f t="shared" si="65"/>
        <v>0</v>
      </c>
      <c r="AU60" s="2">
        <f t="shared" si="65"/>
        <v>0</v>
      </c>
      <c r="AV60" s="2">
        <f t="shared" si="65"/>
        <v>0</v>
      </c>
    </row>
    <row r="61" spans="1:48" x14ac:dyDescent="0.25">
      <c r="A61" s="354" t="s">
        <v>1699</v>
      </c>
      <c r="B61" t="s">
        <v>469</v>
      </c>
      <c r="C61" t="s">
        <v>1061</v>
      </c>
      <c r="D61">
        <f t="shared" si="64"/>
        <v>0</v>
      </c>
      <c r="E61">
        <f t="shared" si="64"/>
        <v>0</v>
      </c>
      <c r="F61">
        <f t="shared" si="64"/>
        <v>0</v>
      </c>
      <c r="G61">
        <f t="shared" si="64"/>
        <v>0</v>
      </c>
      <c r="H61">
        <f t="shared" si="64"/>
        <v>0</v>
      </c>
      <c r="I61">
        <f t="shared" si="64"/>
        <v>0</v>
      </c>
      <c r="J61">
        <f t="shared" si="64"/>
        <v>0</v>
      </c>
      <c r="K61">
        <f t="shared" si="64"/>
        <v>0</v>
      </c>
      <c r="L61">
        <f t="shared" si="64"/>
        <v>0</v>
      </c>
      <c r="M61">
        <f t="shared" si="64"/>
        <v>0</v>
      </c>
      <c r="N61" s="2">
        <f t="shared" ref="N61:AV61" si="66">IFERROR(IF($M61-$D61&gt;=0,($M61-$D61)/COUNT($E$1:$M$1)+M61,$F414*$E414^N$1),0)</f>
        <v>0</v>
      </c>
      <c r="O61" s="2">
        <f t="shared" si="66"/>
        <v>0</v>
      </c>
      <c r="P61" s="2">
        <f t="shared" si="66"/>
        <v>0</v>
      </c>
      <c r="Q61" s="2">
        <f t="shared" si="66"/>
        <v>0</v>
      </c>
      <c r="R61" s="2">
        <f t="shared" si="66"/>
        <v>0</v>
      </c>
      <c r="S61" s="2">
        <f t="shared" si="66"/>
        <v>0</v>
      </c>
      <c r="T61" s="2">
        <f t="shared" si="66"/>
        <v>0</v>
      </c>
      <c r="U61" s="2">
        <f t="shared" si="66"/>
        <v>0</v>
      </c>
      <c r="V61" s="2">
        <f t="shared" si="66"/>
        <v>0</v>
      </c>
      <c r="W61" s="2">
        <f t="shared" si="66"/>
        <v>0</v>
      </c>
      <c r="X61" s="2">
        <f t="shared" si="66"/>
        <v>0</v>
      </c>
      <c r="Y61" s="2">
        <f t="shared" si="66"/>
        <v>0</v>
      </c>
      <c r="Z61" s="2">
        <f t="shared" si="66"/>
        <v>0</v>
      </c>
      <c r="AA61" s="2">
        <f t="shared" si="66"/>
        <v>0</v>
      </c>
      <c r="AB61" s="2">
        <f t="shared" si="66"/>
        <v>0</v>
      </c>
      <c r="AC61" s="2">
        <f t="shared" si="66"/>
        <v>0</v>
      </c>
      <c r="AD61" s="2">
        <f t="shared" si="66"/>
        <v>0</v>
      </c>
      <c r="AE61" s="2">
        <f t="shared" si="66"/>
        <v>0</v>
      </c>
      <c r="AF61" s="2">
        <f t="shared" si="66"/>
        <v>0</v>
      </c>
      <c r="AG61" s="2">
        <f t="shared" si="66"/>
        <v>0</v>
      </c>
      <c r="AH61" s="2">
        <f t="shared" si="66"/>
        <v>0</v>
      </c>
      <c r="AI61" s="2">
        <f t="shared" si="66"/>
        <v>0</v>
      </c>
      <c r="AJ61" s="2">
        <f t="shared" si="66"/>
        <v>0</v>
      </c>
      <c r="AK61" s="2">
        <f t="shared" si="66"/>
        <v>0</v>
      </c>
      <c r="AL61" s="2">
        <f t="shared" si="66"/>
        <v>0</v>
      </c>
      <c r="AM61" s="2">
        <f t="shared" si="66"/>
        <v>0</v>
      </c>
      <c r="AN61" s="2">
        <f t="shared" si="66"/>
        <v>0</v>
      </c>
      <c r="AO61" s="2">
        <f t="shared" si="66"/>
        <v>0</v>
      </c>
      <c r="AP61" s="2">
        <f t="shared" si="66"/>
        <v>0</v>
      </c>
      <c r="AQ61" s="2">
        <f t="shared" si="66"/>
        <v>0</v>
      </c>
      <c r="AR61" s="2">
        <f t="shared" si="66"/>
        <v>0</v>
      </c>
      <c r="AS61" s="2">
        <f t="shared" si="66"/>
        <v>0</v>
      </c>
      <c r="AT61" s="2">
        <f t="shared" si="66"/>
        <v>0</v>
      </c>
      <c r="AU61" s="2">
        <f t="shared" si="66"/>
        <v>0</v>
      </c>
      <c r="AV61" s="2">
        <f t="shared" si="66"/>
        <v>0</v>
      </c>
    </row>
    <row r="62" spans="1:48" x14ac:dyDescent="0.25">
      <c r="A62" s="354" t="s">
        <v>1700</v>
      </c>
      <c r="B62" t="s">
        <v>469</v>
      </c>
      <c r="C62" t="s">
        <v>1061</v>
      </c>
      <c r="D62">
        <f t="shared" si="64"/>
        <v>0</v>
      </c>
      <c r="E62">
        <f t="shared" si="64"/>
        <v>0</v>
      </c>
      <c r="F62">
        <f t="shared" si="64"/>
        <v>0</v>
      </c>
      <c r="G62">
        <f t="shared" si="64"/>
        <v>0</v>
      </c>
      <c r="H62">
        <f t="shared" si="64"/>
        <v>0</v>
      </c>
      <c r="I62">
        <f t="shared" si="64"/>
        <v>0</v>
      </c>
      <c r="J62">
        <f t="shared" si="64"/>
        <v>0</v>
      </c>
      <c r="K62">
        <f t="shared" si="64"/>
        <v>0</v>
      </c>
      <c r="L62">
        <f t="shared" si="64"/>
        <v>0</v>
      </c>
      <c r="M62">
        <f t="shared" si="64"/>
        <v>0</v>
      </c>
      <c r="N62" s="2">
        <f t="shared" ref="N62:AV62" si="67">IFERROR(IF($M62-$D62&gt;=0,($M62-$D62)/COUNT($E$1:$M$1)+M62,$F415*$E415^N$1),0)</f>
        <v>0</v>
      </c>
      <c r="O62" s="2">
        <f t="shared" si="67"/>
        <v>0</v>
      </c>
      <c r="P62" s="2">
        <f t="shared" si="67"/>
        <v>0</v>
      </c>
      <c r="Q62" s="2">
        <f t="shared" si="67"/>
        <v>0</v>
      </c>
      <c r="R62" s="2">
        <f t="shared" si="67"/>
        <v>0</v>
      </c>
      <c r="S62" s="2">
        <f t="shared" si="67"/>
        <v>0</v>
      </c>
      <c r="T62" s="2">
        <f t="shared" si="67"/>
        <v>0</v>
      </c>
      <c r="U62" s="2">
        <f t="shared" si="67"/>
        <v>0</v>
      </c>
      <c r="V62" s="2">
        <f t="shared" si="67"/>
        <v>0</v>
      </c>
      <c r="W62" s="2">
        <f t="shared" si="67"/>
        <v>0</v>
      </c>
      <c r="X62" s="2">
        <f t="shared" si="67"/>
        <v>0</v>
      </c>
      <c r="Y62" s="2">
        <f t="shared" si="67"/>
        <v>0</v>
      </c>
      <c r="Z62" s="2">
        <f t="shared" si="67"/>
        <v>0</v>
      </c>
      <c r="AA62" s="2">
        <f t="shared" si="67"/>
        <v>0</v>
      </c>
      <c r="AB62" s="2">
        <f t="shared" si="67"/>
        <v>0</v>
      </c>
      <c r="AC62" s="2">
        <f t="shared" si="67"/>
        <v>0</v>
      </c>
      <c r="AD62" s="2">
        <f t="shared" si="67"/>
        <v>0</v>
      </c>
      <c r="AE62" s="2">
        <f t="shared" si="67"/>
        <v>0</v>
      </c>
      <c r="AF62" s="2">
        <f t="shared" si="67"/>
        <v>0</v>
      </c>
      <c r="AG62" s="2">
        <f t="shared" si="67"/>
        <v>0</v>
      </c>
      <c r="AH62" s="2">
        <f t="shared" si="67"/>
        <v>0</v>
      </c>
      <c r="AI62" s="2">
        <f t="shared" si="67"/>
        <v>0</v>
      </c>
      <c r="AJ62" s="2">
        <f t="shared" si="67"/>
        <v>0</v>
      </c>
      <c r="AK62" s="2">
        <f t="shared" si="67"/>
        <v>0</v>
      </c>
      <c r="AL62" s="2">
        <f t="shared" si="67"/>
        <v>0</v>
      </c>
      <c r="AM62" s="2">
        <f t="shared" si="67"/>
        <v>0</v>
      </c>
      <c r="AN62" s="2">
        <f t="shared" si="67"/>
        <v>0</v>
      </c>
      <c r="AO62" s="2">
        <f t="shared" si="67"/>
        <v>0</v>
      </c>
      <c r="AP62" s="2">
        <f t="shared" si="67"/>
        <v>0</v>
      </c>
      <c r="AQ62" s="2">
        <f t="shared" si="67"/>
        <v>0</v>
      </c>
      <c r="AR62" s="2">
        <f t="shared" si="67"/>
        <v>0</v>
      </c>
      <c r="AS62" s="2">
        <f t="shared" si="67"/>
        <v>0</v>
      </c>
      <c r="AT62" s="2">
        <f t="shared" si="67"/>
        <v>0</v>
      </c>
      <c r="AU62" s="2">
        <f t="shared" si="67"/>
        <v>0</v>
      </c>
      <c r="AV62" s="2">
        <f t="shared" si="67"/>
        <v>0</v>
      </c>
    </row>
    <row r="63" spans="1:48" x14ac:dyDescent="0.25">
      <c r="A63" s="354" t="s">
        <v>1701</v>
      </c>
      <c r="B63" t="s">
        <v>273</v>
      </c>
      <c r="C63" t="s">
        <v>1061</v>
      </c>
      <c r="D63">
        <f t="shared" si="64"/>
        <v>0</v>
      </c>
      <c r="E63">
        <f t="shared" si="64"/>
        <v>0</v>
      </c>
      <c r="F63">
        <f t="shared" si="64"/>
        <v>0</v>
      </c>
      <c r="G63">
        <f t="shared" si="64"/>
        <v>0</v>
      </c>
      <c r="H63">
        <f t="shared" si="64"/>
        <v>0</v>
      </c>
      <c r="I63">
        <f t="shared" si="64"/>
        <v>0</v>
      </c>
      <c r="J63">
        <f t="shared" si="64"/>
        <v>0</v>
      </c>
      <c r="K63">
        <f t="shared" si="64"/>
        <v>0</v>
      </c>
      <c r="L63">
        <f t="shared" si="64"/>
        <v>0</v>
      </c>
      <c r="M63">
        <f t="shared" si="64"/>
        <v>0</v>
      </c>
      <c r="N63" s="2">
        <f t="shared" ref="N63:AV63" si="68">IFERROR(IF($M63-$D63&gt;=0,($M63-$D63)/COUNT($E$1:$M$1)+M63,$F416*$E416^N$1),0)</f>
        <v>0</v>
      </c>
      <c r="O63" s="2">
        <f t="shared" si="68"/>
        <v>0</v>
      </c>
      <c r="P63" s="2">
        <f t="shared" si="68"/>
        <v>0</v>
      </c>
      <c r="Q63" s="2">
        <f t="shared" si="68"/>
        <v>0</v>
      </c>
      <c r="R63" s="2">
        <f t="shared" si="68"/>
        <v>0</v>
      </c>
      <c r="S63" s="2">
        <f t="shared" si="68"/>
        <v>0</v>
      </c>
      <c r="T63" s="2">
        <f t="shared" si="68"/>
        <v>0</v>
      </c>
      <c r="U63" s="2">
        <f t="shared" si="68"/>
        <v>0</v>
      </c>
      <c r="V63" s="2">
        <f t="shared" si="68"/>
        <v>0</v>
      </c>
      <c r="W63" s="2">
        <f t="shared" si="68"/>
        <v>0</v>
      </c>
      <c r="X63" s="2">
        <f t="shared" si="68"/>
        <v>0</v>
      </c>
      <c r="Y63" s="2">
        <f t="shared" si="68"/>
        <v>0</v>
      </c>
      <c r="Z63" s="2">
        <f t="shared" si="68"/>
        <v>0</v>
      </c>
      <c r="AA63" s="2">
        <f t="shared" si="68"/>
        <v>0</v>
      </c>
      <c r="AB63" s="2">
        <f t="shared" si="68"/>
        <v>0</v>
      </c>
      <c r="AC63" s="2">
        <f t="shared" si="68"/>
        <v>0</v>
      </c>
      <c r="AD63" s="2">
        <f t="shared" si="68"/>
        <v>0</v>
      </c>
      <c r="AE63" s="2">
        <f t="shared" si="68"/>
        <v>0</v>
      </c>
      <c r="AF63" s="2">
        <f t="shared" si="68"/>
        <v>0</v>
      </c>
      <c r="AG63" s="2">
        <f t="shared" si="68"/>
        <v>0</v>
      </c>
      <c r="AH63" s="2">
        <f t="shared" si="68"/>
        <v>0</v>
      </c>
      <c r="AI63" s="2">
        <f t="shared" si="68"/>
        <v>0</v>
      </c>
      <c r="AJ63" s="2">
        <f t="shared" si="68"/>
        <v>0</v>
      </c>
      <c r="AK63" s="2">
        <f t="shared" si="68"/>
        <v>0</v>
      </c>
      <c r="AL63" s="2">
        <f t="shared" si="68"/>
        <v>0</v>
      </c>
      <c r="AM63" s="2">
        <f t="shared" si="68"/>
        <v>0</v>
      </c>
      <c r="AN63" s="2">
        <f t="shared" si="68"/>
        <v>0</v>
      </c>
      <c r="AO63" s="2">
        <f t="shared" si="68"/>
        <v>0</v>
      </c>
      <c r="AP63" s="2">
        <f t="shared" si="68"/>
        <v>0</v>
      </c>
      <c r="AQ63" s="2">
        <f t="shared" si="68"/>
        <v>0</v>
      </c>
      <c r="AR63" s="2">
        <f t="shared" si="68"/>
        <v>0</v>
      </c>
      <c r="AS63" s="2">
        <f t="shared" si="68"/>
        <v>0</v>
      </c>
      <c r="AT63" s="2">
        <f t="shared" si="68"/>
        <v>0</v>
      </c>
      <c r="AU63" s="2">
        <f t="shared" si="68"/>
        <v>0</v>
      </c>
      <c r="AV63" s="2">
        <f t="shared" si="68"/>
        <v>0</v>
      </c>
    </row>
    <row r="64" spans="1:48" x14ac:dyDescent="0.25">
      <c r="A64" s="354" t="s">
        <v>1702</v>
      </c>
      <c r="B64" t="s">
        <v>469</v>
      </c>
      <c r="C64" t="s">
        <v>1061</v>
      </c>
      <c r="D64">
        <f t="shared" si="64"/>
        <v>0</v>
      </c>
      <c r="E64">
        <f t="shared" si="64"/>
        <v>0</v>
      </c>
      <c r="F64">
        <f t="shared" si="64"/>
        <v>0</v>
      </c>
      <c r="G64">
        <f t="shared" si="64"/>
        <v>0</v>
      </c>
      <c r="H64">
        <f t="shared" si="64"/>
        <v>0</v>
      </c>
      <c r="I64">
        <f t="shared" si="64"/>
        <v>0</v>
      </c>
      <c r="J64">
        <f t="shared" si="64"/>
        <v>0</v>
      </c>
      <c r="K64">
        <f t="shared" si="64"/>
        <v>0</v>
      </c>
      <c r="L64">
        <f t="shared" si="64"/>
        <v>0</v>
      </c>
      <c r="M64">
        <f t="shared" si="64"/>
        <v>0</v>
      </c>
      <c r="N64" s="2">
        <f t="shared" ref="N64:AV64" si="69">IFERROR(IF($M64-$D64&gt;=0,($M64-$D64)/COUNT($E$1:$M$1)+M64,$F417*$E417^N$1),0)</f>
        <v>0</v>
      </c>
      <c r="O64" s="2">
        <f t="shared" si="69"/>
        <v>0</v>
      </c>
      <c r="P64" s="2">
        <f t="shared" si="69"/>
        <v>0</v>
      </c>
      <c r="Q64" s="2">
        <f t="shared" si="69"/>
        <v>0</v>
      </c>
      <c r="R64" s="2">
        <f t="shared" si="69"/>
        <v>0</v>
      </c>
      <c r="S64" s="2">
        <f t="shared" si="69"/>
        <v>0</v>
      </c>
      <c r="T64" s="2">
        <f t="shared" si="69"/>
        <v>0</v>
      </c>
      <c r="U64" s="2">
        <f t="shared" si="69"/>
        <v>0</v>
      </c>
      <c r="V64" s="2">
        <f t="shared" si="69"/>
        <v>0</v>
      </c>
      <c r="W64" s="2">
        <f t="shared" si="69"/>
        <v>0</v>
      </c>
      <c r="X64" s="2">
        <f t="shared" si="69"/>
        <v>0</v>
      </c>
      <c r="Y64" s="2">
        <f t="shared" si="69"/>
        <v>0</v>
      </c>
      <c r="Z64" s="2">
        <f t="shared" si="69"/>
        <v>0</v>
      </c>
      <c r="AA64" s="2">
        <f t="shared" si="69"/>
        <v>0</v>
      </c>
      <c r="AB64" s="2">
        <f t="shared" si="69"/>
        <v>0</v>
      </c>
      <c r="AC64" s="2">
        <f t="shared" si="69"/>
        <v>0</v>
      </c>
      <c r="AD64" s="2">
        <f t="shared" si="69"/>
        <v>0</v>
      </c>
      <c r="AE64" s="2">
        <f t="shared" si="69"/>
        <v>0</v>
      </c>
      <c r="AF64" s="2">
        <f t="shared" si="69"/>
        <v>0</v>
      </c>
      <c r="AG64" s="2">
        <f t="shared" si="69"/>
        <v>0</v>
      </c>
      <c r="AH64" s="2">
        <f t="shared" si="69"/>
        <v>0</v>
      </c>
      <c r="AI64" s="2">
        <f t="shared" si="69"/>
        <v>0</v>
      </c>
      <c r="AJ64" s="2">
        <f t="shared" si="69"/>
        <v>0</v>
      </c>
      <c r="AK64" s="2">
        <f t="shared" si="69"/>
        <v>0</v>
      </c>
      <c r="AL64" s="2">
        <f t="shared" si="69"/>
        <v>0</v>
      </c>
      <c r="AM64" s="2">
        <f t="shared" si="69"/>
        <v>0</v>
      </c>
      <c r="AN64" s="2">
        <f t="shared" si="69"/>
        <v>0</v>
      </c>
      <c r="AO64" s="2">
        <f t="shared" si="69"/>
        <v>0</v>
      </c>
      <c r="AP64" s="2">
        <f t="shared" si="69"/>
        <v>0</v>
      </c>
      <c r="AQ64" s="2">
        <f t="shared" si="69"/>
        <v>0</v>
      </c>
      <c r="AR64" s="2">
        <f t="shared" si="69"/>
        <v>0</v>
      </c>
      <c r="AS64" s="2">
        <f t="shared" si="69"/>
        <v>0</v>
      </c>
      <c r="AT64" s="2">
        <f t="shared" si="69"/>
        <v>0</v>
      </c>
      <c r="AU64" s="2">
        <f t="shared" si="69"/>
        <v>0</v>
      </c>
      <c r="AV64" s="2">
        <f t="shared" si="69"/>
        <v>0</v>
      </c>
    </row>
    <row r="65" spans="1:48" x14ac:dyDescent="0.25">
      <c r="A65" s="354" t="s">
        <v>1703</v>
      </c>
      <c r="B65" t="s">
        <v>459</v>
      </c>
      <c r="C65" t="s">
        <v>1061</v>
      </c>
      <c r="D65">
        <f t="shared" si="64"/>
        <v>0</v>
      </c>
      <c r="E65">
        <f t="shared" si="64"/>
        <v>0</v>
      </c>
      <c r="F65">
        <f t="shared" si="64"/>
        <v>0</v>
      </c>
      <c r="G65">
        <f t="shared" si="64"/>
        <v>0</v>
      </c>
      <c r="H65">
        <f t="shared" si="64"/>
        <v>0</v>
      </c>
      <c r="I65">
        <f t="shared" si="64"/>
        <v>0</v>
      </c>
      <c r="J65">
        <f t="shared" si="64"/>
        <v>0</v>
      </c>
      <c r="K65">
        <f t="shared" si="64"/>
        <v>0</v>
      </c>
      <c r="L65">
        <f t="shared" si="64"/>
        <v>0</v>
      </c>
      <c r="M65">
        <f t="shared" si="64"/>
        <v>0</v>
      </c>
      <c r="N65" s="2">
        <f t="shared" ref="N65:AV65" si="70">IFERROR(IF($M65-$D65&gt;=0,($M65-$D65)/COUNT($E$1:$M$1)+M65,$F418*$E418^N$1),0)</f>
        <v>0</v>
      </c>
      <c r="O65" s="2">
        <f t="shared" si="70"/>
        <v>0</v>
      </c>
      <c r="P65" s="2">
        <f t="shared" si="70"/>
        <v>0</v>
      </c>
      <c r="Q65" s="2">
        <f t="shared" si="70"/>
        <v>0</v>
      </c>
      <c r="R65" s="2">
        <f t="shared" si="70"/>
        <v>0</v>
      </c>
      <c r="S65" s="2">
        <f t="shared" si="70"/>
        <v>0</v>
      </c>
      <c r="T65" s="2">
        <f t="shared" si="70"/>
        <v>0</v>
      </c>
      <c r="U65" s="2">
        <f t="shared" si="70"/>
        <v>0</v>
      </c>
      <c r="V65" s="2">
        <f t="shared" si="70"/>
        <v>0</v>
      </c>
      <c r="W65" s="2">
        <f t="shared" si="70"/>
        <v>0</v>
      </c>
      <c r="X65" s="2">
        <f t="shared" si="70"/>
        <v>0</v>
      </c>
      <c r="Y65" s="2">
        <f t="shared" si="70"/>
        <v>0</v>
      </c>
      <c r="Z65" s="2">
        <f t="shared" si="70"/>
        <v>0</v>
      </c>
      <c r="AA65" s="2">
        <f t="shared" si="70"/>
        <v>0</v>
      </c>
      <c r="AB65" s="2">
        <f t="shared" si="70"/>
        <v>0</v>
      </c>
      <c r="AC65" s="2">
        <f t="shared" si="70"/>
        <v>0</v>
      </c>
      <c r="AD65" s="2">
        <f t="shared" si="70"/>
        <v>0</v>
      </c>
      <c r="AE65" s="2">
        <f t="shared" si="70"/>
        <v>0</v>
      </c>
      <c r="AF65" s="2">
        <f t="shared" si="70"/>
        <v>0</v>
      </c>
      <c r="AG65" s="2">
        <f t="shared" si="70"/>
        <v>0</v>
      </c>
      <c r="AH65" s="2">
        <f t="shared" si="70"/>
        <v>0</v>
      </c>
      <c r="AI65" s="2">
        <f t="shared" si="70"/>
        <v>0</v>
      </c>
      <c r="AJ65" s="2">
        <f t="shared" si="70"/>
        <v>0</v>
      </c>
      <c r="AK65" s="2">
        <f t="shared" si="70"/>
        <v>0</v>
      </c>
      <c r="AL65" s="2">
        <f t="shared" si="70"/>
        <v>0</v>
      </c>
      <c r="AM65" s="2">
        <f t="shared" si="70"/>
        <v>0</v>
      </c>
      <c r="AN65" s="2">
        <f t="shared" si="70"/>
        <v>0</v>
      </c>
      <c r="AO65" s="2">
        <f t="shared" si="70"/>
        <v>0</v>
      </c>
      <c r="AP65" s="2">
        <f t="shared" si="70"/>
        <v>0</v>
      </c>
      <c r="AQ65" s="2">
        <f t="shared" si="70"/>
        <v>0</v>
      </c>
      <c r="AR65" s="2">
        <f t="shared" si="70"/>
        <v>0</v>
      </c>
      <c r="AS65" s="2">
        <f t="shared" si="70"/>
        <v>0</v>
      </c>
      <c r="AT65" s="2">
        <f t="shared" si="70"/>
        <v>0</v>
      </c>
      <c r="AU65" s="2">
        <f t="shared" si="70"/>
        <v>0</v>
      </c>
      <c r="AV65" s="2">
        <f t="shared" si="70"/>
        <v>0</v>
      </c>
    </row>
    <row r="66" spans="1:48" x14ac:dyDescent="0.25">
      <c r="A66" s="354" t="s">
        <v>1704</v>
      </c>
      <c r="B66" t="s">
        <v>463</v>
      </c>
      <c r="C66" t="s">
        <v>1061</v>
      </c>
      <c r="D66">
        <f t="shared" si="64"/>
        <v>0</v>
      </c>
      <c r="E66">
        <f t="shared" si="64"/>
        <v>0</v>
      </c>
      <c r="F66">
        <f t="shared" si="64"/>
        <v>0</v>
      </c>
      <c r="G66">
        <f t="shared" si="64"/>
        <v>0</v>
      </c>
      <c r="H66">
        <f t="shared" si="64"/>
        <v>0</v>
      </c>
      <c r="I66">
        <f t="shared" si="64"/>
        <v>0</v>
      </c>
      <c r="J66">
        <f t="shared" si="64"/>
        <v>0</v>
      </c>
      <c r="K66">
        <f t="shared" si="64"/>
        <v>0</v>
      </c>
      <c r="L66">
        <f t="shared" si="64"/>
        <v>0</v>
      </c>
      <c r="M66">
        <f t="shared" si="64"/>
        <v>0</v>
      </c>
      <c r="N66" s="2">
        <f t="shared" ref="N66:AV66" si="71">IFERROR(IF($M66-$D66&gt;=0,($M66-$D66)/COUNT($E$1:$M$1)+M66,$F419*$E419^N$1),0)</f>
        <v>0</v>
      </c>
      <c r="O66" s="2">
        <f t="shared" si="71"/>
        <v>0</v>
      </c>
      <c r="P66" s="2">
        <f t="shared" si="71"/>
        <v>0</v>
      </c>
      <c r="Q66" s="2">
        <f t="shared" si="71"/>
        <v>0</v>
      </c>
      <c r="R66" s="2">
        <f t="shared" si="71"/>
        <v>0</v>
      </c>
      <c r="S66" s="2">
        <f t="shared" si="71"/>
        <v>0</v>
      </c>
      <c r="T66" s="2">
        <f t="shared" si="71"/>
        <v>0</v>
      </c>
      <c r="U66" s="2">
        <f t="shared" si="71"/>
        <v>0</v>
      </c>
      <c r="V66" s="2">
        <f t="shared" si="71"/>
        <v>0</v>
      </c>
      <c r="W66" s="2">
        <f t="shared" si="71"/>
        <v>0</v>
      </c>
      <c r="X66" s="2">
        <f t="shared" si="71"/>
        <v>0</v>
      </c>
      <c r="Y66" s="2">
        <f t="shared" si="71"/>
        <v>0</v>
      </c>
      <c r="Z66" s="2">
        <f t="shared" si="71"/>
        <v>0</v>
      </c>
      <c r="AA66" s="2">
        <f t="shared" si="71"/>
        <v>0</v>
      </c>
      <c r="AB66" s="2">
        <f t="shared" si="71"/>
        <v>0</v>
      </c>
      <c r="AC66" s="2">
        <f t="shared" si="71"/>
        <v>0</v>
      </c>
      <c r="AD66" s="2">
        <f t="shared" si="71"/>
        <v>0</v>
      </c>
      <c r="AE66" s="2">
        <f t="shared" si="71"/>
        <v>0</v>
      </c>
      <c r="AF66" s="2">
        <f t="shared" si="71"/>
        <v>0</v>
      </c>
      <c r="AG66" s="2">
        <f t="shared" si="71"/>
        <v>0</v>
      </c>
      <c r="AH66" s="2">
        <f t="shared" si="71"/>
        <v>0</v>
      </c>
      <c r="AI66" s="2">
        <f t="shared" si="71"/>
        <v>0</v>
      </c>
      <c r="AJ66" s="2">
        <f t="shared" si="71"/>
        <v>0</v>
      </c>
      <c r="AK66" s="2">
        <f t="shared" si="71"/>
        <v>0</v>
      </c>
      <c r="AL66" s="2">
        <f t="shared" si="71"/>
        <v>0</v>
      </c>
      <c r="AM66" s="2">
        <f t="shared" si="71"/>
        <v>0</v>
      </c>
      <c r="AN66" s="2">
        <f t="shared" si="71"/>
        <v>0</v>
      </c>
      <c r="AO66" s="2">
        <f t="shared" si="71"/>
        <v>0</v>
      </c>
      <c r="AP66" s="2">
        <f t="shared" si="71"/>
        <v>0</v>
      </c>
      <c r="AQ66" s="2">
        <f t="shared" si="71"/>
        <v>0</v>
      </c>
      <c r="AR66" s="2">
        <f t="shared" si="71"/>
        <v>0</v>
      </c>
      <c r="AS66" s="2">
        <f t="shared" si="71"/>
        <v>0</v>
      </c>
      <c r="AT66" s="2">
        <f t="shared" si="71"/>
        <v>0</v>
      </c>
      <c r="AU66" s="2">
        <f t="shared" si="71"/>
        <v>0</v>
      </c>
      <c r="AV66" s="2">
        <f t="shared" si="71"/>
        <v>0</v>
      </c>
    </row>
    <row r="67" spans="1:48" x14ac:dyDescent="0.25">
      <c r="A67" s="354" t="s">
        <v>1705</v>
      </c>
      <c r="B67" t="s">
        <v>463</v>
      </c>
      <c r="C67" t="s">
        <v>1061</v>
      </c>
      <c r="D67">
        <f t="shared" si="64"/>
        <v>6</v>
      </c>
      <c r="E67">
        <f t="shared" si="64"/>
        <v>6</v>
      </c>
      <c r="F67">
        <f t="shared" si="64"/>
        <v>6</v>
      </c>
      <c r="G67">
        <f t="shared" si="64"/>
        <v>6</v>
      </c>
      <c r="H67">
        <f t="shared" si="64"/>
        <v>5</v>
      </c>
      <c r="I67">
        <f t="shared" si="64"/>
        <v>6</v>
      </c>
      <c r="J67">
        <f t="shared" si="64"/>
        <v>6</v>
      </c>
      <c r="K67">
        <f t="shared" si="64"/>
        <v>6</v>
      </c>
      <c r="L67">
        <f t="shared" si="64"/>
        <v>6</v>
      </c>
      <c r="M67">
        <f t="shared" si="64"/>
        <v>6</v>
      </c>
      <c r="N67" s="2">
        <f t="shared" ref="N67:AV67" si="72">IFERROR(IF($M67-$D67&gt;=0,($M67-$D67)/COUNT($E$1:$M$1)+M67,$F420*$E420^N$1),0)</f>
        <v>6</v>
      </c>
      <c r="O67" s="2">
        <f t="shared" si="72"/>
        <v>6</v>
      </c>
      <c r="P67" s="2">
        <f t="shared" si="72"/>
        <v>6</v>
      </c>
      <c r="Q67" s="2">
        <f t="shared" si="72"/>
        <v>6</v>
      </c>
      <c r="R67" s="2">
        <f t="shared" si="72"/>
        <v>6</v>
      </c>
      <c r="S67" s="2">
        <f t="shared" si="72"/>
        <v>6</v>
      </c>
      <c r="T67" s="2">
        <f t="shared" si="72"/>
        <v>6</v>
      </c>
      <c r="U67" s="2">
        <f t="shared" si="72"/>
        <v>6</v>
      </c>
      <c r="V67" s="2">
        <f t="shared" si="72"/>
        <v>6</v>
      </c>
      <c r="W67" s="2">
        <f t="shared" si="72"/>
        <v>6</v>
      </c>
      <c r="X67" s="2">
        <f t="shared" si="72"/>
        <v>6</v>
      </c>
      <c r="Y67" s="2">
        <f t="shared" si="72"/>
        <v>6</v>
      </c>
      <c r="Z67" s="2">
        <f t="shared" si="72"/>
        <v>6</v>
      </c>
      <c r="AA67" s="2">
        <f t="shared" si="72"/>
        <v>6</v>
      </c>
      <c r="AB67" s="2">
        <f t="shared" si="72"/>
        <v>6</v>
      </c>
      <c r="AC67" s="2">
        <f t="shared" si="72"/>
        <v>6</v>
      </c>
      <c r="AD67" s="2">
        <f t="shared" si="72"/>
        <v>6</v>
      </c>
      <c r="AE67" s="2">
        <f t="shared" si="72"/>
        <v>6</v>
      </c>
      <c r="AF67" s="2">
        <f t="shared" si="72"/>
        <v>6</v>
      </c>
      <c r="AG67" s="2">
        <f t="shared" si="72"/>
        <v>6</v>
      </c>
      <c r="AH67" s="2">
        <f t="shared" si="72"/>
        <v>6</v>
      </c>
      <c r="AI67" s="2">
        <f t="shared" si="72"/>
        <v>6</v>
      </c>
      <c r="AJ67" s="2">
        <f t="shared" si="72"/>
        <v>6</v>
      </c>
      <c r="AK67" s="2">
        <f t="shared" si="72"/>
        <v>6</v>
      </c>
      <c r="AL67" s="2">
        <f t="shared" si="72"/>
        <v>6</v>
      </c>
      <c r="AM67" s="2">
        <f t="shared" si="72"/>
        <v>6</v>
      </c>
      <c r="AN67" s="2">
        <f t="shared" si="72"/>
        <v>6</v>
      </c>
      <c r="AO67" s="2">
        <f t="shared" si="72"/>
        <v>6</v>
      </c>
      <c r="AP67" s="2">
        <f t="shared" si="72"/>
        <v>6</v>
      </c>
      <c r="AQ67" s="2">
        <f t="shared" si="72"/>
        <v>6</v>
      </c>
      <c r="AR67" s="2">
        <f t="shared" si="72"/>
        <v>6</v>
      </c>
      <c r="AS67" s="2">
        <f t="shared" si="72"/>
        <v>6</v>
      </c>
      <c r="AT67" s="2">
        <f t="shared" si="72"/>
        <v>6</v>
      </c>
      <c r="AU67" s="2">
        <f t="shared" si="72"/>
        <v>6</v>
      </c>
      <c r="AV67" s="2">
        <f t="shared" si="72"/>
        <v>6</v>
      </c>
    </row>
    <row r="68" spans="1:48" x14ac:dyDescent="0.25">
      <c r="A68" s="356" t="s">
        <v>1985</v>
      </c>
      <c r="B68" t="s">
        <v>469</v>
      </c>
      <c r="C68" t="s">
        <v>1061</v>
      </c>
      <c r="D68">
        <f t="shared" si="64"/>
        <v>14</v>
      </c>
      <c r="E68">
        <f t="shared" si="64"/>
        <v>14</v>
      </c>
      <c r="F68">
        <f t="shared" si="64"/>
        <v>14</v>
      </c>
      <c r="G68">
        <f t="shared" si="64"/>
        <v>14</v>
      </c>
      <c r="H68">
        <f t="shared" si="64"/>
        <v>14</v>
      </c>
      <c r="I68">
        <f t="shared" si="64"/>
        <v>14</v>
      </c>
      <c r="J68">
        <f t="shared" si="64"/>
        <v>14</v>
      </c>
      <c r="K68">
        <f t="shared" si="64"/>
        <v>14</v>
      </c>
      <c r="L68">
        <f t="shared" si="64"/>
        <v>14</v>
      </c>
      <c r="M68">
        <f t="shared" si="64"/>
        <v>14</v>
      </c>
      <c r="N68" s="2">
        <f t="shared" ref="N68:AV68" si="73">IFERROR(IF($M68-$D68&gt;=0,($M68-$D68)/COUNT($E$1:$M$1)+M68,$F421*$E421^N$1),0)</f>
        <v>14</v>
      </c>
      <c r="O68" s="2">
        <f t="shared" si="73"/>
        <v>14</v>
      </c>
      <c r="P68" s="2">
        <f t="shared" si="73"/>
        <v>14</v>
      </c>
      <c r="Q68" s="2">
        <f t="shared" si="73"/>
        <v>14</v>
      </c>
      <c r="R68" s="2">
        <f t="shared" si="73"/>
        <v>14</v>
      </c>
      <c r="S68" s="2">
        <f t="shared" si="73"/>
        <v>14</v>
      </c>
      <c r="T68" s="2">
        <f t="shared" si="73"/>
        <v>14</v>
      </c>
      <c r="U68" s="2">
        <f t="shared" si="73"/>
        <v>14</v>
      </c>
      <c r="V68" s="2">
        <f t="shared" si="73"/>
        <v>14</v>
      </c>
      <c r="W68" s="2">
        <f t="shared" si="73"/>
        <v>14</v>
      </c>
      <c r="X68" s="2">
        <f t="shared" si="73"/>
        <v>14</v>
      </c>
      <c r="Y68" s="2">
        <f t="shared" si="73"/>
        <v>14</v>
      </c>
      <c r="Z68" s="2">
        <f t="shared" si="73"/>
        <v>14</v>
      </c>
      <c r="AA68" s="2">
        <f t="shared" si="73"/>
        <v>14</v>
      </c>
      <c r="AB68" s="2">
        <f t="shared" si="73"/>
        <v>14</v>
      </c>
      <c r="AC68" s="2">
        <f t="shared" si="73"/>
        <v>14</v>
      </c>
      <c r="AD68" s="2">
        <f t="shared" si="73"/>
        <v>14</v>
      </c>
      <c r="AE68" s="2">
        <f t="shared" si="73"/>
        <v>14</v>
      </c>
      <c r="AF68" s="2">
        <f t="shared" si="73"/>
        <v>14</v>
      </c>
      <c r="AG68" s="2">
        <f t="shared" si="73"/>
        <v>14</v>
      </c>
      <c r="AH68" s="2">
        <f t="shared" si="73"/>
        <v>14</v>
      </c>
      <c r="AI68" s="2">
        <f t="shared" si="73"/>
        <v>14</v>
      </c>
      <c r="AJ68" s="2">
        <f t="shared" si="73"/>
        <v>14</v>
      </c>
      <c r="AK68" s="2">
        <f t="shared" si="73"/>
        <v>14</v>
      </c>
      <c r="AL68" s="2">
        <f t="shared" si="73"/>
        <v>14</v>
      </c>
      <c r="AM68" s="2">
        <f t="shared" si="73"/>
        <v>14</v>
      </c>
      <c r="AN68" s="2">
        <f t="shared" si="73"/>
        <v>14</v>
      </c>
      <c r="AO68" s="2">
        <f t="shared" si="73"/>
        <v>14</v>
      </c>
      <c r="AP68" s="2">
        <f t="shared" si="73"/>
        <v>14</v>
      </c>
      <c r="AQ68" s="2">
        <f t="shared" si="73"/>
        <v>14</v>
      </c>
      <c r="AR68" s="2">
        <f t="shared" si="73"/>
        <v>14</v>
      </c>
      <c r="AS68" s="2">
        <f t="shared" si="73"/>
        <v>14</v>
      </c>
      <c r="AT68" s="2">
        <f t="shared" si="73"/>
        <v>14</v>
      </c>
      <c r="AU68" s="2">
        <f t="shared" si="73"/>
        <v>14</v>
      </c>
      <c r="AV68" s="2">
        <f t="shared" si="73"/>
        <v>14</v>
      </c>
    </row>
    <row r="69" spans="1:48" x14ac:dyDescent="0.25">
      <c r="A69" s="354" t="s">
        <v>1971</v>
      </c>
      <c r="B69" t="s">
        <v>1710</v>
      </c>
      <c r="C69" t="s">
        <v>1061</v>
      </c>
      <c r="D69">
        <f t="shared" ref="D69:M73" si="74">IFERROR(INDEX($B$231:$AA$243,MATCH($A69,$A$231:$A$243,0),MATCH(D$1,$B$175:$AA$175,0)),0)</f>
        <v>0</v>
      </c>
      <c r="E69">
        <f t="shared" si="74"/>
        <v>0</v>
      </c>
      <c r="F69">
        <f t="shared" si="74"/>
        <v>0</v>
      </c>
      <c r="G69">
        <f t="shared" si="74"/>
        <v>0</v>
      </c>
      <c r="H69">
        <f t="shared" si="74"/>
        <v>0</v>
      </c>
      <c r="I69">
        <f t="shared" si="74"/>
        <v>0</v>
      </c>
      <c r="J69">
        <f t="shared" si="74"/>
        <v>0</v>
      </c>
      <c r="K69">
        <f t="shared" si="74"/>
        <v>0</v>
      </c>
      <c r="L69">
        <f t="shared" si="74"/>
        <v>0</v>
      </c>
      <c r="M69">
        <f t="shared" si="74"/>
        <v>0</v>
      </c>
      <c r="N69" s="2">
        <f t="shared" ref="N69:AV69" si="75">IFERROR(IF($M69-$D69&gt;=0,($M69-$D69)/COUNT($E$1:$M$1)+M69,$F422*$E422^N$1),0)</f>
        <v>0</v>
      </c>
      <c r="O69" s="2">
        <f t="shared" si="75"/>
        <v>0</v>
      </c>
      <c r="P69" s="2">
        <f t="shared" si="75"/>
        <v>0</v>
      </c>
      <c r="Q69" s="2">
        <f t="shared" si="75"/>
        <v>0</v>
      </c>
      <c r="R69" s="2">
        <f t="shared" si="75"/>
        <v>0</v>
      </c>
      <c r="S69" s="2">
        <f t="shared" si="75"/>
        <v>0</v>
      </c>
      <c r="T69" s="2">
        <f t="shared" si="75"/>
        <v>0</v>
      </c>
      <c r="U69" s="2">
        <f t="shared" si="75"/>
        <v>0</v>
      </c>
      <c r="V69" s="2">
        <f t="shared" si="75"/>
        <v>0</v>
      </c>
      <c r="W69" s="2">
        <f t="shared" si="75"/>
        <v>0</v>
      </c>
      <c r="X69" s="2">
        <f t="shared" si="75"/>
        <v>0</v>
      </c>
      <c r="Y69" s="2">
        <f t="shared" si="75"/>
        <v>0</v>
      </c>
      <c r="Z69" s="2">
        <f t="shared" si="75"/>
        <v>0</v>
      </c>
      <c r="AA69" s="2">
        <f t="shared" si="75"/>
        <v>0</v>
      </c>
      <c r="AB69" s="2">
        <f t="shared" si="75"/>
        <v>0</v>
      </c>
      <c r="AC69" s="2">
        <f t="shared" si="75"/>
        <v>0</v>
      </c>
      <c r="AD69" s="2">
        <f t="shared" si="75"/>
        <v>0</v>
      </c>
      <c r="AE69" s="2">
        <f t="shared" si="75"/>
        <v>0</v>
      </c>
      <c r="AF69" s="2">
        <f t="shared" si="75"/>
        <v>0</v>
      </c>
      <c r="AG69" s="2">
        <f t="shared" si="75"/>
        <v>0</v>
      </c>
      <c r="AH69" s="2">
        <f t="shared" si="75"/>
        <v>0</v>
      </c>
      <c r="AI69" s="2">
        <f t="shared" si="75"/>
        <v>0</v>
      </c>
      <c r="AJ69" s="2">
        <f t="shared" si="75"/>
        <v>0</v>
      </c>
      <c r="AK69" s="2">
        <f t="shared" si="75"/>
        <v>0</v>
      </c>
      <c r="AL69" s="2">
        <f t="shared" si="75"/>
        <v>0</v>
      </c>
      <c r="AM69" s="2">
        <f t="shared" si="75"/>
        <v>0</v>
      </c>
      <c r="AN69" s="2">
        <f t="shared" si="75"/>
        <v>0</v>
      </c>
      <c r="AO69" s="2">
        <f t="shared" si="75"/>
        <v>0</v>
      </c>
      <c r="AP69" s="2">
        <f t="shared" si="75"/>
        <v>0</v>
      </c>
      <c r="AQ69" s="2">
        <f t="shared" si="75"/>
        <v>0</v>
      </c>
      <c r="AR69" s="2">
        <f t="shared" si="75"/>
        <v>0</v>
      </c>
      <c r="AS69" s="2">
        <f t="shared" si="75"/>
        <v>0</v>
      </c>
      <c r="AT69" s="2">
        <f t="shared" si="75"/>
        <v>0</v>
      </c>
      <c r="AU69" s="2">
        <f t="shared" si="75"/>
        <v>0</v>
      </c>
      <c r="AV69" s="2">
        <f t="shared" si="75"/>
        <v>0</v>
      </c>
    </row>
    <row r="70" spans="1:48" x14ac:dyDescent="0.25">
      <c r="A70" s="354" t="s">
        <v>1972</v>
      </c>
      <c r="B70" t="s">
        <v>469</v>
      </c>
      <c r="C70" t="s">
        <v>1061</v>
      </c>
      <c r="D70">
        <f t="shared" si="74"/>
        <v>0</v>
      </c>
      <c r="E70">
        <f t="shared" si="74"/>
        <v>0</v>
      </c>
      <c r="F70">
        <f t="shared" si="74"/>
        <v>0</v>
      </c>
      <c r="G70">
        <f t="shared" si="74"/>
        <v>0</v>
      </c>
      <c r="H70">
        <f t="shared" si="74"/>
        <v>0</v>
      </c>
      <c r="I70">
        <f t="shared" si="74"/>
        <v>0</v>
      </c>
      <c r="J70">
        <f t="shared" si="74"/>
        <v>0</v>
      </c>
      <c r="K70">
        <f t="shared" si="74"/>
        <v>0</v>
      </c>
      <c r="L70">
        <f t="shared" si="74"/>
        <v>0</v>
      </c>
      <c r="M70">
        <f t="shared" si="74"/>
        <v>0</v>
      </c>
      <c r="N70" s="2">
        <f t="shared" ref="N70:AV70" si="76">IFERROR(IF($M70-$D70&gt;=0,($M70-$D70)/COUNT($E$1:$M$1)+M70,$F423*$E423^N$1),0)</f>
        <v>0</v>
      </c>
      <c r="O70" s="2">
        <f t="shared" si="76"/>
        <v>0</v>
      </c>
      <c r="P70" s="2">
        <f t="shared" si="76"/>
        <v>0</v>
      </c>
      <c r="Q70" s="2">
        <f t="shared" si="76"/>
        <v>0</v>
      </c>
      <c r="R70" s="2">
        <f t="shared" si="76"/>
        <v>0</v>
      </c>
      <c r="S70" s="2">
        <f t="shared" si="76"/>
        <v>0</v>
      </c>
      <c r="T70" s="2">
        <f t="shared" si="76"/>
        <v>0</v>
      </c>
      <c r="U70" s="2">
        <f t="shared" si="76"/>
        <v>0</v>
      </c>
      <c r="V70" s="2">
        <f t="shared" si="76"/>
        <v>0</v>
      </c>
      <c r="W70" s="2">
        <f t="shared" si="76"/>
        <v>0</v>
      </c>
      <c r="X70" s="2">
        <f t="shared" si="76"/>
        <v>0</v>
      </c>
      <c r="Y70" s="2">
        <f t="shared" si="76"/>
        <v>0</v>
      </c>
      <c r="Z70" s="2">
        <f t="shared" si="76"/>
        <v>0</v>
      </c>
      <c r="AA70" s="2">
        <f t="shared" si="76"/>
        <v>0</v>
      </c>
      <c r="AB70" s="2">
        <f t="shared" si="76"/>
        <v>0</v>
      </c>
      <c r="AC70" s="2">
        <f t="shared" si="76"/>
        <v>0</v>
      </c>
      <c r="AD70" s="2">
        <f t="shared" si="76"/>
        <v>0</v>
      </c>
      <c r="AE70" s="2">
        <f t="shared" si="76"/>
        <v>0</v>
      </c>
      <c r="AF70" s="2">
        <f t="shared" si="76"/>
        <v>0</v>
      </c>
      <c r="AG70" s="2">
        <f t="shared" si="76"/>
        <v>0</v>
      </c>
      <c r="AH70" s="2">
        <f t="shared" si="76"/>
        <v>0</v>
      </c>
      <c r="AI70" s="2">
        <f t="shared" si="76"/>
        <v>0</v>
      </c>
      <c r="AJ70" s="2">
        <f t="shared" si="76"/>
        <v>0</v>
      </c>
      <c r="AK70" s="2">
        <f t="shared" si="76"/>
        <v>0</v>
      </c>
      <c r="AL70" s="2">
        <f t="shared" si="76"/>
        <v>0</v>
      </c>
      <c r="AM70" s="2">
        <f t="shared" si="76"/>
        <v>0</v>
      </c>
      <c r="AN70" s="2">
        <f t="shared" si="76"/>
        <v>0</v>
      </c>
      <c r="AO70" s="2">
        <f t="shared" si="76"/>
        <v>0</v>
      </c>
      <c r="AP70" s="2">
        <f t="shared" si="76"/>
        <v>0</v>
      </c>
      <c r="AQ70" s="2">
        <f t="shared" si="76"/>
        <v>0</v>
      </c>
      <c r="AR70" s="2">
        <f t="shared" si="76"/>
        <v>0</v>
      </c>
      <c r="AS70" s="2">
        <f t="shared" si="76"/>
        <v>0</v>
      </c>
      <c r="AT70" s="2">
        <f t="shared" si="76"/>
        <v>0</v>
      </c>
      <c r="AU70" s="2">
        <f t="shared" si="76"/>
        <v>0</v>
      </c>
      <c r="AV70" s="2">
        <f t="shared" si="76"/>
        <v>0</v>
      </c>
    </row>
    <row r="71" spans="1:48" s="105" customFormat="1" x14ac:dyDescent="0.25">
      <c r="A71" s="357" t="s">
        <v>1973</v>
      </c>
      <c r="B71" s="105" t="s">
        <v>1988</v>
      </c>
      <c r="C71" s="105" t="s">
        <v>1061</v>
      </c>
      <c r="D71" s="105">
        <f t="shared" si="74"/>
        <v>1</v>
      </c>
      <c r="E71" s="105">
        <f t="shared" si="74"/>
        <v>1</v>
      </c>
      <c r="F71" s="105">
        <f t="shared" si="74"/>
        <v>1</v>
      </c>
      <c r="G71" s="105">
        <f t="shared" si="74"/>
        <v>1</v>
      </c>
      <c r="H71" s="105">
        <f t="shared" si="74"/>
        <v>1</v>
      </c>
      <c r="I71" s="105">
        <f t="shared" si="74"/>
        <v>1</v>
      </c>
      <c r="J71" s="105">
        <f t="shared" si="74"/>
        <v>1</v>
      </c>
      <c r="K71" s="105">
        <f t="shared" si="74"/>
        <v>1</v>
      </c>
      <c r="L71" s="105">
        <f t="shared" si="74"/>
        <v>1</v>
      </c>
      <c r="M71" s="105">
        <f t="shared" si="74"/>
        <v>1</v>
      </c>
      <c r="N71" s="358">
        <f t="shared" ref="N71:AV71" si="77">IFERROR(IF($M71-$D71&gt;=0,($M71-$D71)/COUNT($E$1:$M$1)+M71,$F424*$E424^N$1),0)</f>
        <v>1</v>
      </c>
      <c r="O71" s="358">
        <f t="shared" si="77"/>
        <v>1</v>
      </c>
      <c r="P71" s="358">
        <f t="shared" si="77"/>
        <v>1</v>
      </c>
      <c r="Q71" s="358">
        <f t="shared" si="77"/>
        <v>1</v>
      </c>
      <c r="R71" s="358">
        <f t="shared" si="77"/>
        <v>1</v>
      </c>
      <c r="S71" s="358">
        <f t="shared" si="77"/>
        <v>1</v>
      </c>
      <c r="T71" s="358">
        <f t="shared" si="77"/>
        <v>1</v>
      </c>
      <c r="U71" s="358">
        <f t="shared" si="77"/>
        <v>1</v>
      </c>
      <c r="V71" s="358">
        <f t="shared" si="77"/>
        <v>1</v>
      </c>
      <c r="W71" s="358">
        <f t="shared" si="77"/>
        <v>1</v>
      </c>
      <c r="X71" s="358">
        <f t="shared" si="77"/>
        <v>1</v>
      </c>
      <c r="Y71" s="358">
        <f t="shared" si="77"/>
        <v>1</v>
      </c>
      <c r="Z71" s="358">
        <f t="shared" si="77"/>
        <v>1</v>
      </c>
      <c r="AA71" s="358">
        <f t="shared" si="77"/>
        <v>1</v>
      </c>
      <c r="AB71" s="358">
        <f t="shared" si="77"/>
        <v>1</v>
      </c>
      <c r="AC71" s="358">
        <f t="shared" si="77"/>
        <v>1</v>
      </c>
      <c r="AD71" s="358">
        <f t="shared" si="77"/>
        <v>1</v>
      </c>
      <c r="AE71" s="358">
        <f t="shared" si="77"/>
        <v>1</v>
      </c>
      <c r="AF71" s="358">
        <f t="shared" si="77"/>
        <v>1</v>
      </c>
      <c r="AG71" s="358">
        <f t="shared" si="77"/>
        <v>1</v>
      </c>
      <c r="AH71" s="358">
        <f t="shared" si="77"/>
        <v>1</v>
      </c>
      <c r="AI71" s="358">
        <f t="shared" si="77"/>
        <v>1</v>
      </c>
      <c r="AJ71" s="358">
        <f t="shared" si="77"/>
        <v>1</v>
      </c>
      <c r="AK71" s="358">
        <f t="shared" si="77"/>
        <v>1</v>
      </c>
      <c r="AL71" s="358">
        <f t="shared" si="77"/>
        <v>1</v>
      </c>
      <c r="AM71" s="358">
        <f t="shared" si="77"/>
        <v>1</v>
      </c>
      <c r="AN71" s="358">
        <f t="shared" si="77"/>
        <v>1</v>
      </c>
      <c r="AO71" s="358">
        <f t="shared" si="77"/>
        <v>1</v>
      </c>
      <c r="AP71" s="358">
        <f t="shared" si="77"/>
        <v>1</v>
      </c>
      <c r="AQ71" s="358">
        <f t="shared" si="77"/>
        <v>1</v>
      </c>
      <c r="AR71" s="358">
        <f t="shared" si="77"/>
        <v>1</v>
      </c>
      <c r="AS71" s="358">
        <f t="shared" si="77"/>
        <v>1</v>
      </c>
      <c r="AT71" s="358">
        <f t="shared" si="77"/>
        <v>1</v>
      </c>
      <c r="AU71" s="358">
        <f t="shared" si="77"/>
        <v>1</v>
      </c>
      <c r="AV71" s="358">
        <f t="shared" si="77"/>
        <v>1</v>
      </c>
    </row>
    <row r="72" spans="1:48" x14ac:dyDescent="0.25">
      <c r="A72" s="354" t="s">
        <v>1974</v>
      </c>
      <c r="B72" t="s">
        <v>469</v>
      </c>
      <c r="C72" t="s">
        <v>1061</v>
      </c>
      <c r="D72">
        <f t="shared" si="74"/>
        <v>0</v>
      </c>
      <c r="E72">
        <f t="shared" si="74"/>
        <v>0</v>
      </c>
      <c r="F72">
        <f t="shared" si="74"/>
        <v>0</v>
      </c>
      <c r="G72">
        <f t="shared" si="74"/>
        <v>0</v>
      </c>
      <c r="H72">
        <f t="shared" si="74"/>
        <v>0</v>
      </c>
      <c r="I72">
        <f t="shared" si="74"/>
        <v>0</v>
      </c>
      <c r="J72">
        <f t="shared" si="74"/>
        <v>0</v>
      </c>
      <c r="K72">
        <f t="shared" si="74"/>
        <v>0</v>
      </c>
      <c r="L72">
        <f t="shared" si="74"/>
        <v>0</v>
      </c>
      <c r="M72">
        <f t="shared" si="74"/>
        <v>0</v>
      </c>
      <c r="N72" s="2">
        <f t="shared" ref="N72:AV72" si="78">IFERROR(IF($M72-$D72&gt;=0,($M72-$D72)/COUNT($E$1:$M$1)+M72,$F425*$E425^N$1),0)</f>
        <v>0</v>
      </c>
      <c r="O72" s="2">
        <f t="shared" si="78"/>
        <v>0</v>
      </c>
      <c r="P72" s="2">
        <f t="shared" si="78"/>
        <v>0</v>
      </c>
      <c r="Q72" s="2">
        <f t="shared" si="78"/>
        <v>0</v>
      </c>
      <c r="R72" s="2">
        <f t="shared" si="78"/>
        <v>0</v>
      </c>
      <c r="S72" s="2">
        <f t="shared" si="78"/>
        <v>0</v>
      </c>
      <c r="T72" s="2">
        <f t="shared" si="78"/>
        <v>0</v>
      </c>
      <c r="U72" s="2">
        <f t="shared" si="78"/>
        <v>0</v>
      </c>
      <c r="V72" s="2">
        <f t="shared" si="78"/>
        <v>0</v>
      </c>
      <c r="W72" s="2">
        <f t="shared" si="78"/>
        <v>0</v>
      </c>
      <c r="X72" s="2">
        <f t="shared" si="78"/>
        <v>0</v>
      </c>
      <c r="Y72" s="2">
        <f t="shared" si="78"/>
        <v>0</v>
      </c>
      <c r="Z72" s="2">
        <f t="shared" si="78"/>
        <v>0</v>
      </c>
      <c r="AA72" s="2">
        <f t="shared" si="78"/>
        <v>0</v>
      </c>
      <c r="AB72" s="2">
        <f t="shared" si="78"/>
        <v>0</v>
      </c>
      <c r="AC72" s="2">
        <f t="shared" si="78"/>
        <v>0</v>
      </c>
      <c r="AD72" s="2">
        <f t="shared" si="78"/>
        <v>0</v>
      </c>
      <c r="AE72" s="2">
        <f t="shared" si="78"/>
        <v>0</v>
      </c>
      <c r="AF72" s="2">
        <f t="shared" si="78"/>
        <v>0</v>
      </c>
      <c r="AG72" s="2">
        <f t="shared" si="78"/>
        <v>0</v>
      </c>
      <c r="AH72" s="2">
        <f t="shared" si="78"/>
        <v>0</v>
      </c>
      <c r="AI72" s="2">
        <f t="shared" si="78"/>
        <v>0</v>
      </c>
      <c r="AJ72" s="2">
        <f t="shared" si="78"/>
        <v>0</v>
      </c>
      <c r="AK72" s="2">
        <f t="shared" si="78"/>
        <v>0</v>
      </c>
      <c r="AL72" s="2">
        <f t="shared" si="78"/>
        <v>0</v>
      </c>
      <c r="AM72" s="2">
        <f t="shared" si="78"/>
        <v>0</v>
      </c>
      <c r="AN72" s="2">
        <f t="shared" si="78"/>
        <v>0</v>
      </c>
      <c r="AO72" s="2">
        <f t="shared" si="78"/>
        <v>0</v>
      </c>
      <c r="AP72" s="2">
        <f t="shared" si="78"/>
        <v>0</v>
      </c>
      <c r="AQ72" s="2">
        <f t="shared" si="78"/>
        <v>0</v>
      </c>
      <c r="AR72" s="2">
        <f t="shared" si="78"/>
        <v>0</v>
      </c>
      <c r="AS72" s="2">
        <f t="shared" si="78"/>
        <v>0</v>
      </c>
      <c r="AT72" s="2">
        <f t="shared" si="78"/>
        <v>0</v>
      </c>
      <c r="AU72" s="2">
        <f t="shared" si="78"/>
        <v>0</v>
      </c>
      <c r="AV72" s="2">
        <f t="shared" si="78"/>
        <v>0</v>
      </c>
    </row>
    <row r="73" spans="1:48" x14ac:dyDescent="0.25">
      <c r="A73" s="354" t="s">
        <v>1976</v>
      </c>
      <c r="B73" t="s">
        <v>469</v>
      </c>
      <c r="C73" t="s">
        <v>1061</v>
      </c>
      <c r="D73">
        <f t="shared" si="74"/>
        <v>0</v>
      </c>
      <c r="E73">
        <f t="shared" si="74"/>
        <v>0</v>
      </c>
      <c r="F73">
        <f t="shared" si="74"/>
        <v>0</v>
      </c>
      <c r="G73">
        <f t="shared" si="74"/>
        <v>0</v>
      </c>
      <c r="H73">
        <f t="shared" si="74"/>
        <v>0</v>
      </c>
      <c r="I73">
        <f t="shared" si="74"/>
        <v>0</v>
      </c>
      <c r="J73">
        <f t="shared" si="74"/>
        <v>0</v>
      </c>
      <c r="K73">
        <f t="shared" si="74"/>
        <v>0</v>
      </c>
      <c r="L73">
        <f t="shared" si="74"/>
        <v>0</v>
      </c>
      <c r="M73">
        <f t="shared" si="74"/>
        <v>0</v>
      </c>
      <c r="N73" s="2">
        <f t="shared" ref="N73:AV73" si="79">IFERROR(IF($M73-$D73&gt;=0,($M73-$D73)/COUNT($E$1:$M$1)+M73,$F426*$E426^N$1),0)</f>
        <v>0</v>
      </c>
      <c r="O73" s="2">
        <f t="shared" si="79"/>
        <v>0</v>
      </c>
      <c r="P73" s="2">
        <f t="shared" si="79"/>
        <v>0</v>
      </c>
      <c r="Q73" s="2">
        <f t="shared" si="79"/>
        <v>0</v>
      </c>
      <c r="R73" s="2">
        <f t="shared" si="79"/>
        <v>0</v>
      </c>
      <c r="S73" s="2">
        <f t="shared" si="79"/>
        <v>0</v>
      </c>
      <c r="T73" s="2">
        <f t="shared" si="79"/>
        <v>0</v>
      </c>
      <c r="U73" s="2">
        <f t="shared" si="79"/>
        <v>0</v>
      </c>
      <c r="V73" s="2">
        <f t="shared" si="79"/>
        <v>0</v>
      </c>
      <c r="W73" s="2">
        <f t="shared" si="79"/>
        <v>0</v>
      </c>
      <c r="X73" s="2">
        <f t="shared" si="79"/>
        <v>0</v>
      </c>
      <c r="Y73" s="2">
        <f t="shared" si="79"/>
        <v>0</v>
      </c>
      <c r="Z73" s="2">
        <f t="shared" si="79"/>
        <v>0</v>
      </c>
      <c r="AA73" s="2">
        <f t="shared" si="79"/>
        <v>0</v>
      </c>
      <c r="AB73" s="2">
        <f t="shared" si="79"/>
        <v>0</v>
      </c>
      <c r="AC73" s="2">
        <f t="shared" si="79"/>
        <v>0</v>
      </c>
      <c r="AD73" s="2">
        <f t="shared" si="79"/>
        <v>0</v>
      </c>
      <c r="AE73" s="2">
        <f t="shared" si="79"/>
        <v>0</v>
      </c>
      <c r="AF73" s="2">
        <f t="shared" si="79"/>
        <v>0</v>
      </c>
      <c r="AG73" s="2">
        <f t="shared" si="79"/>
        <v>0</v>
      </c>
      <c r="AH73" s="2">
        <f t="shared" si="79"/>
        <v>0</v>
      </c>
      <c r="AI73" s="2">
        <f t="shared" si="79"/>
        <v>0</v>
      </c>
      <c r="AJ73" s="2">
        <f t="shared" si="79"/>
        <v>0</v>
      </c>
      <c r="AK73" s="2">
        <f t="shared" si="79"/>
        <v>0</v>
      </c>
      <c r="AL73" s="2">
        <f t="shared" si="79"/>
        <v>0</v>
      </c>
      <c r="AM73" s="2">
        <f t="shared" si="79"/>
        <v>0</v>
      </c>
      <c r="AN73" s="2">
        <f t="shared" si="79"/>
        <v>0</v>
      </c>
      <c r="AO73" s="2">
        <f t="shared" si="79"/>
        <v>0</v>
      </c>
      <c r="AP73" s="2">
        <f t="shared" si="79"/>
        <v>0</v>
      </c>
      <c r="AQ73" s="2">
        <f t="shared" si="79"/>
        <v>0</v>
      </c>
      <c r="AR73" s="2">
        <f t="shared" si="79"/>
        <v>0</v>
      </c>
      <c r="AS73" s="2">
        <f t="shared" si="79"/>
        <v>0</v>
      </c>
      <c r="AT73" s="2">
        <f t="shared" si="79"/>
        <v>0</v>
      </c>
      <c r="AU73" s="2">
        <f t="shared" si="79"/>
        <v>0</v>
      </c>
      <c r="AV73" s="2">
        <f t="shared" si="79"/>
        <v>0</v>
      </c>
    </row>
    <row r="74" spans="1:48" x14ac:dyDescent="0.25">
      <c r="A74" s="354" t="s">
        <v>1688</v>
      </c>
      <c r="B74" t="s">
        <v>1709</v>
      </c>
      <c r="C74" t="s">
        <v>1779</v>
      </c>
      <c r="D74">
        <f t="shared" ref="D74:M83" si="80">IFERROR(INDEX($B$245:$AA$248,MATCH($A74,$A$245:$A$248,0),MATCH(D$1,$B$175:$AA$175,0)),0)</f>
        <v>0</v>
      </c>
      <c r="E74">
        <f t="shared" si="80"/>
        <v>0</v>
      </c>
      <c r="F74">
        <f t="shared" si="80"/>
        <v>0</v>
      </c>
      <c r="G74">
        <f t="shared" si="80"/>
        <v>0</v>
      </c>
      <c r="H74">
        <f t="shared" si="80"/>
        <v>0</v>
      </c>
      <c r="I74">
        <f t="shared" si="80"/>
        <v>0</v>
      </c>
      <c r="J74">
        <f t="shared" si="80"/>
        <v>0</v>
      </c>
      <c r="K74">
        <f t="shared" si="80"/>
        <v>0</v>
      </c>
      <c r="L74">
        <f t="shared" si="80"/>
        <v>0</v>
      </c>
      <c r="M74">
        <f t="shared" si="80"/>
        <v>0</v>
      </c>
      <c r="N74" s="2">
        <f t="shared" ref="N74:AV74" si="81">IFERROR(IF($M74-$D74&gt;=0,($M74-$D74)/COUNT($E$1:$M$1)+M74,$F427*$E427^N$1),0)</f>
        <v>0</v>
      </c>
      <c r="O74" s="2">
        <f t="shared" si="81"/>
        <v>0</v>
      </c>
      <c r="P74" s="2">
        <f t="shared" si="81"/>
        <v>0</v>
      </c>
      <c r="Q74" s="2">
        <f t="shared" si="81"/>
        <v>0</v>
      </c>
      <c r="R74" s="2">
        <f t="shared" si="81"/>
        <v>0</v>
      </c>
      <c r="S74" s="2">
        <f t="shared" si="81"/>
        <v>0</v>
      </c>
      <c r="T74" s="2">
        <f t="shared" si="81"/>
        <v>0</v>
      </c>
      <c r="U74" s="2">
        <f t="shared" si="81"/>
        <v>0</v>
      </c>
      <c r="V74" s="2">
        <f t="shared" si="81"/>
        <v>0</v>
      </c>
      <c r="W74" s="2">
        <f t="shared" si="81"/>
        <v>0</v>
      </c>
      <c r="X74" s="2">
        <f t="shared" si="81"/>
        <v>0</v>
      </c>
      <c r="Y74" s="2">
        <f t="shared" si="81"/>
        <v>0</v>
      </c>
      <c r="Z74" s="2">
        <f t="shared" si="81"/>
        <v>0</v>
      </c>
      <c r="AA74" s="2">
        <f t="shared" si="81"/>
        <v>0</v>
      </c>
      <c r="AB74" s="2">
        <f t="shared" si="81"/>
        <v>0</v>
      </c>
      <c r="AC74" s="2">
        <f t="shared" si="81"/>
        <v>0</v>
      </c>
      <c r="AD74" s="2">
        <f t="shared" si="81"/>
        <v>0</v>
      </c>
      <c r="AE74" s="2">
        <f t="shared" si="81"/>
        <v>0</v>
      </c>
      <c r="AF74" s="2">
        <f t="shared" si="81"/>
        <v>0</v>
      </c>
      <c r="AG74" s="2">
        <f t="shared" si="81"/>
        <v>0</v>
      </c>
      <c r="AH74" s="2">
        <f t="shared" si="81"/>
        <v>0</v>
      </c>
      <c r="AI74" s="2">
        <f t="shared" si="81"/>
        <v>0</v>
      </c>
      <c r="AJ74" s="2">
        <f t="shared" si="81"/>
        <v>0</v>
      </c>
      <c r="AK74" s="2">
        <f t="shared" si="81"/>
        <v>0</v>
      </c>
      <c r="AL74" s="2">
        <f t="shared" si="81"/>
        <v>0</v>
      </c>
      <c r="AM74" s="2">
        <f t="shared" si="81"/>
        <v>0</v>
      </c>
      <c r="AN74" s="2">
        <f t="shared" si="81"/>
        <v>0</v>
      </c>
      <c r="AO74" s="2">
        <f t="shared" si="81"/>
        <v>0</v>
      </c>
      <c r="AP74" s="2">
        <f t="shared" si="81"/>
        <v>0</v>
      </c>
      <c r="AQ74" s="2">
        <f t="shared" si="81"/>
        <v>0</v>
      </c>
      <c r="AR74" s="2">
        <f t="shared" si="81"/>
        <v>0</v>
      </c>
      <c r="AS74" s="2">
        <f t="shared" si="81"/>
        <v>0</v>
      </c>
      <c r="AT74" s="2">
        <f t="shared" si="81"/>
        <v>0</v>
      </c>
      <c r="AU74" s="2">
        <f t="shared" si="81"/>
        <v>0</v>
      </c>
      <c r="AV74" s="2">
        <f t="shared" si="81"/>
        <v>0</v>
      </c>
    </row>
    <row r="75" spans="1:48" x14ac:dyDescent="0.25">
      <c r="A75" s="354" t="s">
        <v>1689</v>
      </c>
      <c r="B75" t="s">
        <v>273</v>
      </c>
      <c r="C75" t="s">
        <v>1779</v>
      </c>
      <c r="D75">
        <f t="shared" si="80"/>
        <v>0</v>
      </c>
      <c r="E75">
        <f t="shared" si="80"/>
        <v>0</v>
      </c>
      <c r="F75">
        <f t="shared" si="80"/>
        <v>0</v>
      </c>
      <c r="G75">
        <f t="shared" si="80"/>
        <v>0</v>
      </c>
      <c r="H75">
        <f t="shared" si="80"/>
        <v>0</v>
      </c>
      <c r="I75">
        <f t="shared" si="80"/>
        <v>0</v>
      </c>
      <c r="J75">
        <f t="shared" si="80"/>
        <v>0</v>
      </c>
      <c r="K75">
        <f t="shared" si="80"/>
        <v>0</v>
      </c>
      <c r="L75">
        <f t="shared" si="80"/>
        <v>0</v>
      </c>
      <c r="M75">
        <f t="shared" si="80"/>
        <v>0</v>
      </c>
      <c r="N75" s="2">
        <f t="shared" ref="N75:AV75" si="82">IFERROR(IF($M75-$D75&gt;=0,($M75-$D75)/COUNT($E$1:$M$1)+M75,$F428*$E428^N$1),0)</f>
        <v>0</v>
      </c>
      <c r="O75" s="2">
        <f t="shared" si="82"/>
        <v>0</v>
      </c>
      <c r="P75" s="2">
        <f t="shared" si="82"/>
        <v>0</v>
      </c>
      <c r="Q75" s="2">
        <f t="shared" si="82"/>
        <v>0</v>
      </c>
      <c r="R75" s="2">
        <f t="shared" si="82"/>
        <v>0</v>
      </c>
      <c r="S75" s="2">
        <f t="shared" si="82"/>
        <v>0</v>
      </c>
      <c r="T75" s="2">
        <f t="shared" si="82"/>
        <v>0</v>
      </c>
      <c r="U75" s="2">
        <f t="shared" si="82"/>
        <v>0</v>
      </c>
      <c r="V75" s="2">
        <f t="shared" si="82"/>
        <v>0</v>
      </c>
      <c r="W75" s="2">
        <f t="shared" si="82"/>
        <v>0</v>
      </c>
      <c r="X75" s="2">
        <f t="shared" si="82"/>
        <v>0</v>
      </c>
      <c r="Y75" s="2">
        <f t="shared" si="82"/>
        <v>0</v>
      </c>
      <c r="Z75" s="2">
        <f t="shared" si="82"/>
        <v>0</v>
      </c>
      <c r="AA75" s="2">
        <f t="shared" si="82"/>
        <v>0</v>
      </c>
      <c r="AB75" s="2">
        <f t="shared" si="82"/>
        <v>0</v>
      </c>
      <c r="AC75" s="2">
        <f t="shared" si="82"/>
        <v>0</v>
      </c>
      <c r="AD75" s="2">
        <f t="shared" si="82"/>
        <v>0</v>
      </c>
      <c r="AE75" s="2">
        <f t="shared" si="82"/>
        <v>0</v>
      </c>
      <c r="AF75" s="2">
        <f t="shared" si="82"/>
        <v>0</v>
      </c>
      <c r="AG75" s="2">
        <f t="shared" si="82"/>
        <v>0</v>
      </c>
      <c r="AH75" s="2">
        <f t="shared" si="82"/>
        <v>0</v>
      </c>
      <c r="AI75" s="2">
        <f t="shared" si="82"/>
        <v>0</v>
      </c>
      <c r="AJ75" s="2">
        <f t="shared" si="82"/>
        <v>0</v>
      </c>
      <c r="AK75" s="2">
        <f t="shared" si="82"/>
        <v>0</v>
      </c>
      <c r="AL75" s="2">
        <f t="shared" si="82"/>
        <v>0</v>
      </c>
      <c r="AM75" s="2">
        <f t="shared" si="82"/>
        <v>0</v>
      </c>
      <c r="AN75" s="2">
        <f t="shared" si="82"/>
        <v>0</v>
      </c>
      <c r="AO75" s="2">
        <f t="shared" si="82"/>
        <v>0</v>
      </c>
      <c r="AP75" s="2">
        <f t="shared" si="82"/>
        <v>0</v>
      </c>
      <c r="AQ75" s="2">
        <f t="shared" si="82"/>
        <v>0</v>
      </c>
      <c r="AR75" s="2">
        <f t="shared" si="82"/>
        <v>0</v>
      </c>
      <c r="AS75" s="2">
        <f t="shared" si="82"/>
        <v>0</v>
      </c>
      <c r="AT75" s="2">
        <f t="shared" si="82"/>
        <v>0</v>
      </c>
      <c r="AU75" s="2">
        <f t="shared" si="82"/>
        <v>0</v>
      </c>
      <c r="AV75" s="2">
        <f t="shared" si="82"/>
        <v>0</v>
      </c>
    </row>
    <row r="76" spans="1:48" x14ac:dyDescent="0.25">
      <c r="A76" s="355" t="s">
        <v>1978</v>
      </c>
      <c r="B76" t="s">
        <v>469</v>
      </c>
      <c r="C76" t="s">
        <v>1779</v>
      </c>
      <c r="D76">
        <f t="shared" si="80"/>
        <v>0</v>
      </c>
      <c r="E76">
        <f t="shared" si="80"/>
        <v>0</v>
      </c>
      <c r="F76">
        <f t="shared" si="80"/>
        <v>0</v>
      </c>
      <c r="G76">
        <f t="shared" si="80"/>
        <v>0</v>
      </c>
      <c r="H76">
        <f t="shared" si="80"/>
        <v>0</v>
      </c>
      <c r="I76">
        <f t="shared" si="80"/>
        <v>0</v>
      </c>
      <c r="J76">
        <f t="shared" si="80"/>
        <v>0</v>
      </c>
      <c r="K76">
        <f t="shared" si="80"/>
        <v>0</v>
      </c>
      <c r="L76">
        <f t="shared" si="80"/>
        <v>0</v>
      </c>
      <c r="M76">
        <f t="shared" si="80"/>
        <v>0</v>
      </c>
      <c r="N76" s="2">
        <f t="shared" ref="N76:AV76" si="83">IFERROR(IF($M76-$D76&gt;=0,($M76-$D76)/COUNT($E$1:$M$1)+M76,$F429*$E429^N$1),0)</f>
        <v>0</v>
      </c>
      <c r="O76" s="2">
        <f t="shared" si="83"/>
        <v>0</v>
      </c>
      <c r="P76" s="2">
        <f t="shared" si="83"/>
        <v>0</v>
      </c>
      <c r="Q76" s="2">
        <f t="shared" si="83"/>
        <v>0</v>
      </c>
      <c r="R76" s="2">
        <f t="shared" si="83"/>
        <v>0</v>
      </c>
      <c r="S76" s="2">
        <f t="shared" si="83"/>
        <v>0</v>
      </c>
      <c r="T76" s="2">
        <f t="shared" si="83"/>
        <v>0</v>
      </c>
      <c r="U76" s="2">
        <f t="shared" si="83"/>
        <v>0</v>
      </c>
      <c r="V76" s="2">
        <f t="shared" si="83"/>
        <v>0</v>
      </c>
      <c r="W76" s="2">
        <f t="shared" si="83"/>
        <v>0</v>
      </c>
      <c r="X76" s="2">
        <f t="shared" si="83"/>
        <v>0</v>
      </c>
      <c r="Y76" s="2">
        <f t="shared" si="83"/>
        <v>0</v>
      </c>
      <c r="Z76" s="2">
        <f t="shared" si="83"/>
        <v>0</v>
      </c>
      <c r="AA76" s="2">
        <f t="shared" si="83"/>
        <v>0</v>
      </c>
      <c r="AB76" s="2">
        <f t="shared" si="83"/>
        <v>0</v>
      </c>
      <c r="AC76" s="2">
        <f t="shared" si="83"/>
        <v>0</v>
      </c>
      <c r="AD76" s="2">
        <f t="shared" si="83"/>
        <v>0</v>
      </c>
      <c r="AE76" s="2">
        <f t="shared" si="83"/>
        <v>0</v>
      </c>
      <c r="AF76" s="2">
        <f t="shared" si="83"/>
        <v>0</v>
      </c>
      <c r="AG76" s="2">
        <f t="shared" si="83"/>
        <v>0</v>
      </c>
      <c r="AH76" s="2">
        <f t="shared" si="83"/>
        <v>0</v>
      </c>
      <c r="AI76" s="2">
        <f t="shared" si="83"/>
        <v>0</v>
      </c>
      <c r="AJ76" s="2">
        <f t="shared" si="83"/>
        <v>0</v>
      </c>
      <c r="AK76" s="2">
        <f t="shared" si="83"/>
        <v>0</v>
      </c>
      <c r="AL76" s="2">
        <f t="shared" si="83"/>
        <v>0</v>
      </c>
      <c r="AM76" s="2">
        <f t="shared" si="83"/>
        <v>0</v>
      </c>
      <c r="AN76" s="2">
        <f t="shared" si="83"/>
        <v>0</v>
      </c>
      <c r="AO76" s="2">
        <f t="shared" si="83"/>
        <v>0</v>
      </c>
      <c r="AP76" s="2">
        <f t="shared" si="83"/>
        <v>0</v>
      </c>
      <c r="AQ76" s="2">
        <f t="shared" si="83"/>
        <v>0</v>
      </c>
      <c r="AR76" s="2">
        <f t="shared" si="83"/>
        <v>0</v>
      </c>
      <c r="AS76" s="2">
        <f t="shared" si="83"/>
        <v>0</v>
      </c>
      <c r="AT76" s="2">
        <f t="shared" si="83"/>
        <v>0</v>
      </c>
      <c r="AU76" s="2">
        <f t="shared" si="83"/>
        <v>0</v>
      </c>
      <c r="AV76" s="2">
        <f t="shared" si="83"/>
        <v>0</v>
      </c>
    </row>
    <row r="77" spans="1:48" x14ac:dyDescent="0.25">
      <c r="A77" s="354" t="s">
        <v>1975</v>
      </c>
      <c r="B77" t="s">
        <v>469</v>
      </c>
      <c r="C77" t="s">
        <v>1779</v>
      </c>
      <c r="D77">
        <f t="shared" si="80"/>
        <v>0</v>
      </c>
      <c r="E77">
        <f t="shared" si="80"/>
        <v>0</v>
      </c>
      <c r="F77">
        <f t="shared" si="80"/>
        <v>0</v>
      </c>
      <c r="G77">
        <f t="shared" si="80"/>
        <v>0</v>
      </c>
      <c r="H77">
        <f t="shared" si="80"/>
        <v>0</v>
      </c>
      <c r="I77">
        <f t="shared" si="80"/>
        <v>0</v>
      </c>
      <c r="J77">
        <f t="shared" si="80"/>
        <v>0</v>
      </c>
      <c r="K77">
        <f t="shared" si="80"/>
        <v>0</v>
      </c>
      <c r="L77">
        <f t="shared" si="80"/>
        <v>0</v>
      </c>
      <c r="M77">
        <f t="shared" si="80"/>
        <v>0</v>
      </c>
      <c r="N77" s="2">
        <f t="shared" ref="N77:AV77" si="84">IFERROR(IF($M77-$D77&gt;=0,($M77-$D77)/COUNT($E$1:$M$1)+M77,$F430*$E430^N$1),0)</f>
        <v>0</v>
      </c>
      <c r="O77" s="2">
        <f t="shared" si="84"/>
        <v>0</v>
      </c>
      <c r="P77" s="2">
        <f t="shared" si="84"/>
        <v>0</v>
      </c>
      <c r="Q77" s="2">
        <f t="shared" si="84"/>
        <v>0</v>
      </c>
      <c r="R77" s="2">
        <f t="shared" si="84"/>
        <v>0</v>
      </c>
      <c r="S77" s="2">
        <f t="shared" si="84"/>
        <v>0</v>
      </c>
      <c r="T77" s="2">
        <f t="shared" si="84"/>
        <v>0</v>
      </c>
      <c r="U77" s="2">
        <f t="shared" si="84"/>
        <v>0</v>
      </c>
      <c r="V77" s="2">
        <f t="shared" si="84"/>
        <v>0</v>
      </c>
      <c r="W77" s="2">
        <f t="shared" si="84"/>
        <v>0</v>
      </c>
      <c r="X77" s="2">
        <f t="shared" si="84"/>
        <v>0</v>
      </c>
      <c r="Y77" s="2">
        <f t="shared" si="84"/>
        <v>0</v>
      </c>
      <c r="Z77" s="2">
        <f t="shared" si="84"/>
        <v>0</v>
      </c>
      <c r="AA77" s="2">
        <f t="shared" si="84"/>
        <v>0</v>
      </c>
      <c r="AB77" s="2">
        <f t="shared" si="84"/>
        <v>0</v>
      </c>
      <c r="AC77" s="2">
        <f t="shared" si="84"/>
        <v>0</v>
      </c>
      <c r="AD77" s="2">
        <f t="shared" si="84"/>
        <v>0</v>
      </c>
      <c r="AE77" s="2">
        <f t="shared" si="84"/>
        <v>0</v>
      </c>
      <c r="AF77" s="2">
        <f t="shared" si="84"/>
        <v>0</v>
      </c>
      <c r="AG77" s="2">
        <f t="shared" si="84"/>
        <v>0</v>
      </c>
      <c r="AH77" s="2">
        <f t="shared" si="84"/>
        <v>0</v>
      </c>
      <c r="AI77" s="2">
        <f t="shared" si="84"/>
        <v>0</v>
      </c>
      <c r="AJ77" s="2">
        <f t="shared" si="84"/>
        <v>0</v>
      </c>
      <c r="AK77" s="2">
        <f t="shared" si="84"/>
        <v>0</v>
      </c>
      <c r="AL77" s="2">
        <f t="shared" si="84"/>
        <v>0</v>
      </c>
      <c r="AM77" s="2">
        <f t="shared" si="84"/>
        <v>0</v>
      </c>
      <c r="AN77" s="2">
        <f t="shared" si="84"/>
        <v>0</v>
      </c>
      <c r="AO77" s="2">
        <f t="shared" si="84"/>
        <v>0</v>
      </c>
      <c r="AP77" s="2">
        <f t="shared" si="84"/>
        <v>0</v>
      </c>
      <c r="AQ77" s="2">
        <f t="shared" si="84"/>
        <v>0</v>
      </c>
      <c r="AR77" s="2">
        <f t="shared" si="84"/>
        <v>0</v>
      </c>
      <c r="AS77" s="2">
        <f t="shared" si="84"/>
        <v>0</v>
      </c>
      <c r="AT77" s="2">
        <f t="shared" si="84"/>
        <v>0</v>
      </c>
      <c r="AU77" s="2">
        <f t="shared" si="84"/>
        <v>0</v>
      </c>
      <c r="AV77" s="2">
        <f t="shared" si="84"/>
        <v>0</v>
      </c>
    </row>
    <row r="78" spans="1:48" x14ac:dyDescent="0.25">
      <c r="A78" s="354" t="s">
        <v>1692</v>
      </c>
      <c r="B78" t="s">
        <v>1710</v>
      </c>
      <c r="C78" t="s">
        <v>1779</v>
      </c>
      <c r="D78">
        <f t="shared" si="80"/>
        <v>0</v>
      </c>
      <c r="E78">
        <f t="shared" si="80"/>
        <v>0</v>
      </c>
      <c r="F78">
        <f t="shared" si="80"/>
        <v>0</v>
      </c>
      <c r="G78">
        <f t="shared" si="80"/>
        <v>0</v>
      </c>
      <c r="H78">
        <f t="shared" si="80"/>
        <v>0</v>
      </c>
      <c r="I78">
        <f t="shared" si="80"/>
        <v>0</v>
      </c>
      <c r="J78">
        <f t="shared" si="80"/>
        <v>0</v>
      </c>
      <c r="K78">
        <f t="shared" si="80"/>
        <v>0</v>
      </c>
      <c r="L78">
        <f t="shared" si="80"/>
        <v>0</v>
      </c>
      <c r="M78">
        <f t="shared" si="80"/>
        <v>0</v>
      </c>
      <c r="N78" s="2">
        <f t="shared" ref="N78:AV78" si="85">IFERROR(IF($M78-$D78&gt;=0,($M78-$D78)/COUNT($E$1:$M$1)+M78,$F431*$E431^N$1),0)</f>
        <v>0</v>
      </c>
      <c r="O78" s="2">
        <f t="shared" si="85"/>
        <v>0</v>
      </c>
      <c r="P78" s="2">
        <f t="shared" si="85"/>
        <v>0</v>
      </c>
      <c r="Q78" s="2">
        <f t="shared" si="85"/>
        <v>0</v>
      </c>
      <c r="R78" s="2">
        <f t="shared" si="85"/>
        <v>0</v>
      </c>
      <c r="S78" s="2">
        <f t="shared" si="85"/>
        <v>0</v>
      </c>
      <c r="T78" s="2">
        <f t="shared" si="85"/>
        <v>0</v>
      </c>
      <c r="U78" s="2">
        <f t="shared" si="85"/>
        <v>0</v>
      </c>
      <c r="V78" s="2">
        <f t="shared" si="85"/>
        <v>0</v>
      </c>
      <c r="W78" s="2">
        <f t="shared" si="85"/>
        <v>0</v>
      </c>
      <c r="X78" s="2">
        <f t="shared" si="85"/>
        <v>0</v>
      </c>
      <c r="Y78" s="2">
        <f t="shared" si="85"/>
        <v>0</v>
      </c>
      <c r="Z78" s="2">
        <f t="shared" si="85"/>
        <v>0</v>
      </c>
      <c r="AA78" s="2">
        <f t="shared" si="85"/>
        <v>0</v>
      </c>
      <c r="AB78" s="2">
        <f t="shared" si="85"/>
        <v>0</v>
      </c>
      <c r="AC78" s="2">
        <f t="shared" si="85"/>
        <v>0</v>
      </c>
      <c r="AD78" s="2">
        <f t="shared" si="85"/>
        <v>0</v>
      </c>
      <c r="AE78" s="2">
        <f t="shared" si="85"/>
        <v>0</v>
      </c>
      <c r="AF78" s="2">
        <f t="shared" si="85"/>
        <v>0</v>
      </c>
      <c r="AG78" s="2">
        <f t="shared" si="85"/>
        <v>0</v>
      </c>
      <c r="AH78" s="2">
        <f t="shared" si="85"/>
        <v>0</v>
      </c>
      <c r="AI78" s="2">
        <f t="shared" si="85"/>
        <v>0</v>
      </c>
      <c r="AJ78" s="2">
        <f t="shared" si="85"/>
        <v>0</v>
      </c>
      <c r="AK78" s="2">
        <f t="shared" si="85"/>
        <v>0</v>
      </c>
      <c r="AL78" s="2">
        <f t="shared" si="85"/>
        <v>0</v>
      </c>
      <c r="AM78" s="2">
        <f t="shared" si="85"/>
        <v>0</v>
      </c>
      <c r="AN78" s="2">
        <f t="shared" si="85"/>
        <v>0</v>
      </c>
      <c r="AO78" s="2">
        <f t="shared" si="85"/>
        <v>0</v>
      </c>
      <c r="AP78" s="2">
        <f t="shared" si="85"/>
        <v>0</v>
      </c>
      <c r="AQ78" s="2">
        <f t="shared" si="85"/>
        <v>0</v>
      </c>
      <c r="AR78" s="2">
        <f t="shared" si="85"/>
        <v>0</v>
      </c>
      <c r="AS78" s="2">
        <f t="shared" si="85"/>
        <v>0</v>
      </c>
      <c r="AT78" s="2">
        <f t="shared" si="85"/>
        <v>0</v>
      </c>
      <c r="AU78" s="2">
        <f t="shared" si="85"/>
        <v>0</v>
      </c>
      <c r="AV78" s="2">
        <f t="shared" si="85"/>
        <v>0</v>
      </c>
    </row>
    <row r="79" spans="1:48" x14ac:dyDescent="0.25">
      <c r="A79" s="354" t="s">
        <v>1693</v>
      </c>
      <c r="B79" t="s">
        <v>1710</v>
      </c>
      <c r="C79" t="s">
        <v>1779</v>
      </c>
      <c r="D79">
        <f t="shared" si="80"/>
        <v>0</v>
      </c>
      <c r="E79">
        <f t="shared" si="80"/>
        <v>0</v>
      </c>
      <c r="F79">
        <f t="shared" si="80"/>
        <v>0</v>
      </c>
      <c r="G79">
        <f t="shared" si="80"/>
        <v>0</v>
      </c>
      <c r="H79">
        <f t="shared" si="80"/>
        <v>0</v>
      </c>
      <c r="I79">
        <f t="shared" si="80"/>
        <v>0</v>
      </c>
      <c r="J79">
        <f t="shared" si="80"/>
        <v>0</v>
      </c>
      <c r="K79">
        <f t="shared" si="80"/>
        <v>0</v>
      </c>
      <c r="L79">
        <f t="shared" si="80"/>
        <v>0</v>
      </c>
      <c r="M79">
        <f t="shared" si="80"/>
        <v>0</v>
      </c>
      <c r="N79" s="2">
        <f t="shared" ref="N79:AV79" si="86">IFERROR(IF($M79-$D79&gt;=0,($M79-$D79)/COUNT($E$1:$M$1)+M79,$F432*$E432^N$1),0)</f>
        <v>0</v>
      </c>
      <c r="O79" s="2">
        <f t="shared" si="86"/>
        <v>0</v>
      </c>
      <c r="P79" s="2">
        <f t="shared" si="86"/>
        <v>0</v>
      </c>
      <c r="Q79" s="2">
        <f t="shared" si="86"/>
        <v>0</v>
      </c>
      <c r="R79" s="2">
        <f t="shared" si="86"/>
        <v>0</v>
      </c>
      <c r="S79" s="2">
        <f t="shared" si="86"/>
        <v>0</v>
      </c>
      <c r="T79" s="2">
        <f t="shared" si="86"/>
        <v>0</v>
      </c>
      <c r="U79" s="2">
        <f t="shared" si="86"/>
        <v>0</v>
      </c>
      <c r="V79" s="2">
        <f t="shared" si="86"/>
        <v>0</v>
      </c>
      <c r="W79" s="2">
        <f t="shared" si="86"/>
        <v>0</v>
      </c>
      <c r="X79" s="2">
        <f t="shared" si="86"/>
        <v>0</v>
      </c>
      <c r="Y79" s="2">
        <f t="shared" si="86"/>
        <v>0</v>
      </c>
      <c r="Z79" s="2">
        <f t="shared" si="86"/>
        <v>0</v>
      </c>
      <c r="AA79" s="2">
        <f t="shared" si="86"/>
        <v>0</v>
      </c>
      <c r="AB79" s="2">
        <f t="shared" si="86"/>
        <v>0</v>
      </c>
      <c r="AC79" s="2">
        <f t="shared" si="86"/>
        <v>0</v>
      </c>
      <c r="AD79" s="2">
        <f t="shared" si="86"/>
        <v>0</v>
      </c>
      <c r="AE79" s="2">
        <f t="shared" si="86"/>
        <v>0</v>
      </c>
      <c r="AF79" s="2">
        <f t="shared" si="86"/>
        <v>0</v>
      </c>
      <c r="AG79" s="2">
        <f t="shared" si="86"/>
        <v>0</v>
      </c>
      <c r="AH79" s="2">
        <f t="shared" si="86"/>
        <v>0</v>
      </c>
      <c r="AI79" s="2">
        <f t="shared" si="86"/>
        <v>0</v>
      </c>
      <c r="AJ79" s="2">
        <f t="shared" si="86"/>
        <v>0</v>
      </c>
      <c r="AK79" s="2">
        <f t="shared" si="86"/>
        <v>0</v>
      </c>
      <c r="AL79" s="2">
        <f t="shared" si="86"/>
        <v>0</v>
      </c>
      <c r="AM79" s="2">
        <f t="shared" si="86"/>
        <v>0</v>
      </c>
      <c r="AN79" s="2">
        <f t="shared" si="86"/>
        <v>0</v>
      </c>
      <c r="AO79" s="2">
        <f t="shared" si="86"/>
        <v>0</v>
      </c>
      <c r="AP79" s="2">
        <f t="shared" si="86"/>
        <v>0</v>
      </c>
      <c r="AQ79" s="2">
        <f t="shared" si="86"/>
        <v>0</v>
      </c>
      <c r="AR79" s="2">
        <f t="shared" si="86"/>
        <v>0</v>
      </c>
      <c r="AS79" s="2">
        <f t="shared" si="86"/>
        <v>0</v>
      </c>
      <c r="AT79" s="2">
        <f t="shared" si="86"/>
        <v>0</v>
      </c>
      <c r="AU79" s="2">
        <f t="shared" si="86"/>
        <v>0</v>
      </c>
      <c r="AV79" s="2">
        <f t="shared" si="86"/>
        <v>0</v>
      </c>
    </row>
    <row r="80" spans="1:48" x14ac:dyDescent="0.25">
      <c r="A80" s="354" t="s">
        <v>1694</v>
      </c>
      <c r="B80" t="s">
        <v>273</v>
      </c>
      <c r="C80" t="s">
        <v>1779</v>
      </c>
      <c r="D80">
        <f t="shared" si="80"/>
        <v>0</v>
      </c>
      <c r="E80">
        <f t="shared" si="80"/>
        <v>0</v>
      </c>
      <c r="F80">
        <f t="shared" si="80"/>
        <v>0</v>
      </c>
      <c r="G80">
        <f t="shared" si="80"/>
        <v>0</v>
      </c>
      <c r="H80">
        <f t="shared" si="80"/>
        <v>0</v>
      </c>
      <c r="I80">
        <f t="shared" si="80"/>
        <v>0</v>
      </c>
      <c r="J80">
        <f t="shared" si="80"/>
        <v>0</v>
      </c>
      <c r="K80">
        <f t="shared" si="80"/>
        <v>0</v>
      </c>
      <c r="L80">
        <f t="shared" si="80"/>
        <v>0</v>
      </c>
      <c r="M80">
        <f t="shared" si="80"/>
        <v>0</v>
      </c>
      <c r="N80" s="2">
        <f t="shared" ref="N80:AV80" si="87">IFERROR(IF($M80-$D80&gt;=0,($M80-$D80)/COUNT($E$1:$M$1)+M80,$F433*$E433^N$1),0)</f>
        <v>0</v>
      </c>
      <c r="O80" s="2">
        <f t="shared" si="87"/>
        <v>0</v>
      </c>
      <c r="P80" s="2">
        <f t="shared" si="87"/>
        <v>0</v>
      </c>
      <c r="Q80" s="2">
        <f t="shared" si="87"/>
        <v>0</v>
      </c>
      <c r="R80" s="2">
        <f t="shared" si="87"/>
        <v>0</v>
      </c>
      <c r="S80" s="2">
        <f t="shared" si="87"/>
        <v>0</v>
      </c>
      <c r="T80" s="2">
        <f t="shared" si="87"/>
        <v>0</v>
      </c>
      <c r="U80" s="2">
        <f t="shared" si="87"/>
        <v>0</v>
      </c>
      <c r="V80" s="2">
        <f t="shared" si="87"/>
        <v>0</v>
      </c>
      <c r="W80" s="2">
        <f t="shared" si="87"/>
        <v>0</v>
      </c>
      <c r="X80" s="2">
        <f t="shared" si="87"/>
        <v>0</v>
      </c>
      <c r="Y80" s="2">
        <f t="shared" si="87"/>
        <v>0</v>
      </c>
      <c r="Z80" s="2">
        <f t="shared" si="87"/>
        <v>0</v>
      </c>
      <c r="AA80" s="2">
        <f t="shared" si="87"/>
        <v>0</v>
      </c>
      <c r="AB80" s="2">
        <f t="shared" si="87"/>
        <v>0</v>
      </c>
      <c r="AC80" s="2">
        <f t="shared" si="87"/>
        <v>0</v>
      </c>
      <c r="AD80" s="2">
        <f t="shared" si="87"/>
        <v>0</v>
      </c>
      <c r="AE80" s="2">
        <f t="shared" si="87"/>
        <v>0</v>
      </c>
      <c r="AF80" s="2">
        <f t="shared" si="87"/>
        <v>0</v>
      </c>
      <c r="AG80" s="2">
        <f t="shared" si="87"/>
        <v>0</v>
      </c>
      <c r="AH80" s="2">
        <f t="shared" si="87"/>
        <v>0</v>
      </c>
      <c r="AI80" s="2">
        <f t="shared" si="87"/>
        <v>0</v>
      </c>
      <c r="AJ80" s="2">
        <f t="shared" si="87"/>
        <v>0</v>
      </c>
      <c r="AK80" s="2">
        <f t="shared" si="87"/>
        <v>0</v>
      </c>
      <c r="AL80" s="2">
        <f t="shared" si="87"/>
        <v>0</v>
      </c>
      <c r="AM80" s="2">
        <f t="shared" si="87"/>
        <v>0</v>
      </c>
      <c r="AN80" s="2">
        <f t="shared" si="87"/>
        <v>0</v>
      </c>
      <c r="AO80" s="2">
        <f t="shared" si="87"/>
        <v>0</v>
      </c>
      <c r="AP80" s="2">
        <f t="shared" si="87"/>
        <v>0</v>
      </c>
      <c r="AQ80" s="2">
        <f t="shared" si="87"/>
        <v>0</v>
      </c>
      <c r="AR80" s="2">
        <f t="shared" si="87"/>
        <v>0</v>
      </c>
      <c r="AS80" s="2">
        <f t="shared" si="87"/>
        <v>0</v>
      </c>
      <c r="AT80" s="2">
        <f t="shared" si="87"/>
        <v>0</v>
      </c>
      <c r="AU80" s="2">
        <f t="shared" si="87"/>
        <v>0</v>
      </c>
      <c r="AV80" s="2">
        <f t="shared" si="87"/>
        <v>0</v>
      </c>
    </row>
    <row r="81" spans="1:48" x14ac:dyDescent="0.25">
      <c r="A81" s="355" t="s">
        <v>1977</v>
      </c>
      <c r="B81" t="s">
        <v>469</v>
      </c>
      <c r="C81" t="s">
        <v>1779</v>
      </c>
      <c r="D81">
        <f t="shared" si="80"/>
        <v>0</v>
      </c>
      <c r="E81">
        <f t="shared" si="80"/>
        <v>0</v>
      </c>
      <c r="F81">
        <f t="shared" si="80"/>
        <v>0</v>
      </c>
      <c r="G81">
        <f t="shared" si="80"/>
        <v>0</v>
      </c>
      <c r="H81">
        <f t="shared" si="80"/>
        <v>0</v>
      </c>
      <c r="I81">
        <f t="shared" si="80"/>
        <v>0</v>
      </c>
      <c r="J81">
        <f t="shared" si="80"/>
        <v>0</v>
      </c>
      <c r="K81">
        <f t="shared" si="80"/>
        <v>0</v>
      </c>
      <c r="L81">
        <f t="shared" si="80"/>
        <v>0</v>
      </c>
      <c r="M81">
        <f t="shared" si="80"/>
        <v>0</v>
      </c>
      <c r="N81" s="2">
        <f t="shared" ref="N81:AV81" si="88">IFERROR(IF($M81-$D81&gt;=0,($M81-$D81)/COUNT($E$1:$M$1)+M81,$F434*$E434^N$1),0)</f>
        <v>0</v>
      </c>
      <c r="O81" s="2">
        <f t="shared" si="88"/>
        <v>0</v>
      </c>
      <c r="P81" s="2">
        <f t="shared" si="88"/>
        <v>0</v>
      </c>
      <c r="Q81" s="2">
        <f t="shared" si="88"/>
        <v>0</v>
      </c>
      <c r="R81" s="2">
        <f t="shared" si="88"/>
        <v>0</v>
      </c>
      <c r="S81" s="2">
        <f t="shared" si="88"/>
        <v>0</v>
      </c>
      <c r="T81" s="2">
        <f t="shared" si="88"/>
        <v>0</v>
      </c>
      <c r="U81" s="2">
        <f t="shared" si="88"/>
        <v>0</v>
      </c>
      <c r="V81" s="2">
        <f t="shared" si="88"/>
        <v>0</v>
      </c>
      <c r="W81" s="2">
        <f t="shared" si="88"/>
        <v>0</v>
      </c>
      <c r="X81" s="2">
        <f t="shared" si="88"/>
        <v>0</v>
      </c>
      <c r="Y81" s="2">
        <f t="shared" si="88"/>
        <v>0</v>
      </c>
      <c r="Z81" s="2">
        <f t="shared" si="88"/>
        <v>0</v>
      </c>
      <c r="AA81" s="2">
        <f t="shared" si="88"/>
        <v>0</v>
      </c>
      <c r="AB81" s="2">
        <f t="shared" si="88"/>
        <v>0</v>
      </c>
      <c r="AC81" s="2">
        <f t="shared" si="88"/>
        <v>0</v>
      </c>
      <c r="AD81" s="2">
        <f t="shared" si="88"/>
        <v>0</v>
      </c>
      <c r="AE81" s="2">
        <f t="shared" si="88"/>
        <v>0</v>
      </c>
      <c r="AF81" s="2">
        <f t="shared" si="88"/>
        <v>0</v>
      </c>
      <c r="AG81" s="2">
        <f t="shared" si="88"/>
        <v>0</v>
      </c>
      <c r="AH81" s="2">
        <f t="shared" si="88"/>
        <v>0</v>
      </c>
      <c r="AI81" s="2">
        <f t="shared" si="88"/>
        <v>0</v>
      </c>
      <c r="AJ81" s="2">
        <f t="shared" si="88"/>
        <v>0</v>
      </c>
      <c r="AK81" s="2">
        <f t="shared" si="88"/>
        <v>0</v>
      </c>
      <c r="AL81" s="2">
        <f t="shared" si="88"/>
        <v>0</v>
      </c>
      <c r="AM81" s="2">
        <f t="shared" si="88"/>
        <v>0</v>
      </c>
      <c r="AN81" s="2">
        <f t="shared" si="88"/>
        <v>0</v>
      </c>
      <c r="AO81" s="2">
        <f t="shared" si="88"/>
        <v>0</v>
      </c>
      <c r="AP81" s="2">
        <f t="shared" si="88"/>
        <v>0</v>
      </c>
      <c r="AQ81" s="2">
        <f t="shared" si="88"/>
        <v>0</v>
      </c>
      <c r="AR81" s="2">
        <f t="shared" si="88"/>
        <v>0</v>
      </c>
      <c r="AS81" s="2">
        <f t="shared" si="88"/>
        <v>0</v>
      </c>
      <c r="AT81" s="2">
        <f t="shared" si="88"/>
        <v>0</v>
      </c>
      <c r="AU81" s="2">
        <f t="shared" si="88"/>
        <v>0</v>
      </c>
      <c r="AV81" s="2">
        <f t="shared" si="88"/>
        <v>0</v>
      </c>
    </row>
    <row r="82" spans="1:48" x14ac:dyDescent="0.25">
      <c r="A82" s="354" t="s">
        <v>1696</v>
      </c>
      <c r="B82" t="s">
        <v>273</v>
      </c>
      <c r="C82" t="s">
        <v>1779</v>
      </c>
      <c r="D82">
        <f t="shared" si="80"/>
        <v>0</v>
      </c>
      <c r="E82">
        <f t="shared" si="80"/>
        <v>0</v>
      </c>
      <c r="F82">
        <f t="shared" si="80"/>
        <v>0</v>
      </c>
      <c r="G82">
        <f t="shared" si="80"/>
        <v>0</v>
      </c>
      <c r="H82">
        <f t="shared" si="80"/>
        <v>0</v>
      </c>
      <c r="I82">
        <f t="shared" si="80"/>
        <v>0</v>
      </c>
      <c r="J82">
        <f t="shared" si="80"/>
        <v>0</v>
      </c>
      <c r="K82">
        <f t="shared" si="80"/>
        <v>0</v>
      </c>
      <c r="L82">
        <f t="shared" si="80"/>
        <v>0</v>
      </c>
      <c r="M82">
        <f t="shared" si="80"/>
        <v>0</v>
      </c>
      <c r="N82" s="2">
        <f t="shared" ref="N82:AV82" si="89">IFERROR(IF($M82-$D82&gt;=0,($M82-$D82)/COUNT($E$1:$M$1)+M82,$F435*$E435^N$1),0)</f>
        <v>0</v>
      </c>
      <c r="O82" s="2">
        <f t="shared" si="89"/>
        <v>0</v>
      </c>
      <c r="P82" s="2">
        <f t="shared" si="89"/>
        <v>0</v>
      </c>
      <c r="Q82" s="2">
        <f t="shared" si="89"/>
        <v>0</v>
      </c>
      <c r="R82" s="2">
        <f t="shared" si="89"/>
        <v>0</v>
      </c>
      <c r="S82" s="2">
        <f t="shared" si="89"/>
        <v>0</v>
      </c>
      <c r="T82" s="2">
        <f t="shared" si="89"/>
        <v>0</v>
      </c>
      <c r="U82" s="2">
        <f t="shared" si="89"/>
        <v>0</v>
      </c>
      <c r="V82" s="2">
        <f t="shared" si="89"/>
        <v>0</v>
      </c>
      <c r="W82" s="2">
        <f t="shared" si="89"/>
        <v>0</v>
      </c>
      <c r="X82" s="2">
        <f t="shared" si="89"/>
        <v>0</v>
      </c>
      <c r="Y82" s="2">
        <f t="shared" si="89"/>
        <v>0</v>
      </c>
      <c r="Z82" s="2">
        <f t="shared" si="89"/>
        <v>0</v>
      </c>
      <c r="AA82" s="2">
        <f t="shared" si="89"/>
        <v>0</v>
      </c>
      <c r="AB82" s="2">
        <f t="shared" si="89"/>
        <v>0</v>
      </c>
      <c r="AC82" s="2">
        <f t="shared" si="89"/>
        <v>0</v>
      </c>
      <c r="AD82" s="2">
        <f t="shared" si="89"/>
        <v>0</v>
      </c>
      <c r="AE82" s="2">
        <f t="shared" si="89"/>
        <v>0</v>
      </c>
      <c r="AF82" s="2">
        <f t="shared" si="89"/>
        <v>0</v>
      </c>
      <c r="AG82" s="2">
        <f t="shared" si="89"/>
        <v>0</v>
      </c>
      <c r="AH82" s="2">
        <f t="shared" si="89"/>
        <v>0</v>
      </c>
      <c r="AI82" s="2">
        <f t="shared" si="89"/>
        <v>0</v>
      </c>
      <c r="AJ82" s="2">
        <f t="shared" si="89"/>
        <v>0</v>
      </c>
      <c r="AK82" s="2">
        <f t="shared" si="89"/>
        <v>0</v>
      </c>
      <c r="AL82" s="2">
        <f t="shared" si="89"/>
        <v>0</v>
      </c>
      <c r="AM82" s="2">
        <f t="shared" si="89"/>
        <v>0</v>
      </c>
      <c r="AN82" s="2">
        <f t="shared" si="89"/>
        <v>0</v>
      </c>
      <c r="AO82" s="2">
        <f t="shared" si="89"/>
        <v>0</v>
      </c>
      <c r="AP82" s="2">
        <f t="shared" si="89"/>
        <v>0</v>
      </c>
      <c r="AQ82" s="2">
        <f t="shared" si="89"/>
        <v>0</v>
      </c>
      <c r="AR82" s="2">
        <f t="shared" si="89"/>
        <v>0</v>
      </c>
      <c r="AS82" s="2">
        <f t="shared" si="89"/>
        <v>0</v>
      </c>
      <c r="AT82" s="2">
        <f t="shared" si="89"/>
        <v>0</v>
      </c>
      <c r="AU82" s="2">
        <f t="shared" si="89"/>
        <v>0</v>
      </c>
      <c r="AV82" s="2">
        <f t="shared" si="89"/>
        <v>0</v>
      </c>
    </row>
    <row r="83" spans="1:48" x14ac:dyDescent="0.25">
      <c r="A83" s="354" t="s">
        <v>1697</v>
      </c>
      <c r="B83" t="s">
        <v>272</v>
      </c>
      <c r="C83" t="s">
        <v>1779</v>
      </c>
      <c r="D83">
        <f t="shared" si="80"/>
        <v>0</v>
      </c>
      <c r="E83">
        <f t="shared" si="80"/>
        <v>0</v>
      </c>
      <c r="F83">
        <f t="shared" si="80"/>
        <v>0</v>
      </c>
      <c r="G83">
        <f t="shared" si="80"/>
        <v>0</v>
      </c>
      <c r="H83">
        <f t="shared" si="80"/>
        <v>0</v>
      </c>
      <c r="I83">
        <f t="shared" si="80"/>
        <v>0</v>
      </c>
      <c r="J83">
        <f t="shared" si="80"/>
        <v>0</v>
      </c>
      <c r="K83">
        <f t="shared" si="80"/>
        <v>0</v>
      </c>
      <c r="L83">
        <f t="shared" si="80"/>
        <v>0</v>
      </c>
      <c r="M83">
        <f t="shared" si="80"/>
        <v>0</v>
      </c>
      <c r="N83" s="2">
        <f t="shared" ref="N83:AV83" si="90">IFERROR(IF($M83-$D83&gt;=0,($M83-$D83)/COUNT($E$1:$M$1)+M83,$F436*$E436^N$1),0)</f>
        <v>0</v>
      </c>
      <c r="O83" s="2">
        <f t="shared" si="90"/>
        <v>0</v>
      </c>
      <c r="P83" s="2">
        <f t="shared" si="90"/>
        <v>0</v>
      </c>
      <c r="Q83" s="2">
        <f t="shared" si="90"/>
        <v>0</v>
      </c>
      <c r="R83" s="2">
        <f t="shared" si="90"/>
        <v>0</v>
      </c>
      <c r="S83" s="2">
        <f t="shared" si="90"/>
        <v>0</v>
      </c>
      <c r="T83" s="2">
        <f t="shared" si="90"/>
        <v>0</v>
      </c>
      <c r="U83" s="2">
        <f t="shared" si="90"/>
        <v>0</v>
      </c>
      <c r="V83" s="2">
        <f t="shared" si="90"/>
        <v>0</v>
      </c>
      <c r="W83" s="2">
        <f t="shared" si="90"/>
        <v>0</v>
      </c>
      <c r="X83" s="2">
        <f t="shared" si="90"/>
        <v>0</v>
      </c>
      <c r="Y83" s="2">
        <f t="shared" si="90"/>
        <v>0</v>
      </c>
      <c r="Z83" s="2">
        <f t="shared" si="90"/>
        <v>0</v>
      </c>
      <c r="AA83" s="2">
        <f t="shared" si="90"/>
        <v>0</v>
      </c>
      <c r="AB83" s="2">
        <f t="shared" si="90"/>
        <v>0</v>
      </c>
      <c r="AC83" s="2">
        <f t="shared" si="90"/>
        <v>0</v>
      </c>
      <c r="AD83" s="2">
        <f t="shared" si="90"/>
        <v>0</v>
      </c>
      <c r="AE83" s="2">
        <f t="shared" si="90"/>
        <v>0</v>
      </c>
      <c r="AF83" s="2">
        <f t="shared" si="90"/>
        <v>0</v>
      </c>
      <c r="AG83" s="2">
        <f t="shared" si="90"/>
        <v>0</v>
      </c>
      <c r="AH83" s="2">
        <f t="shared" si="90"/>
        <v>0</v>
      </c>
      <c r="AI83" s="2">
        <f t="shared" si="90"/>
        <v>0</v>
      </c>
      <c r="AJ83" s="2">
        <f t="shared" si="90"/>
        <v>0</v>
      </c>
      <c r="AK83" s="2">
        <f t="shared" si="90"/>
        <v>0</v>
      </c>
      <c r="AL83" s="2">
        <f t="shared" si="90"/>
        <v>0</v>
      </c>
      <c r="AM83" s="2">
        <f t="shared" si="90"/>
        <v>0</v>
      </c>
      <c r="AN83" s="2">
        <f t="shared" si="90"/>
        <v>0</v>
      </c>
      <c r="AO83" s="2">
        <f t="shared" si="90"/>
        <v>0</v>
      </c>
      <c r="AP83" s="2">
        <f t="shared" si="90"/>
        <v>0</v>
      </c>
      <c r="AQ83" s="2">
        <f t="shared" si="90"/>
        <v>0</v>
      </c>
      <c r="AR83" s="2">
        <f t="shared" si="90"/>
        <v>0</v>
      </c>
      <c r="AS83" s="2">
        <f t="shared" si="90"/>
        <v>0</v>
      </c>
      <c r="AT83" s="2">
        <f t="shared" si="90"/>
        <v>0</v>
      </c>
      <c r="AU83" s="2">
        <f t="shared" si="90"/>
        <v>0</v>
      </c>
      <c r="AV83" s="2">
        <f t="shared" si="90"/>
        <v>0</v>
      </c>
    </row>
    <row r="84" spans="1:48" x14ac:dyDescent="0.25">
      <c r="A84" s="354" t="s">
        <v>1698</v>
      </c>
      <c r="B84" t="s">
        <v>469</v>
      </c>
      <c r="C84" t="s">
        <v>1779</v>
      </c>
      <c r="D84">
        <f t="shared" ref="D84:M92" si="91">IFERROR(INDEX($B$245:$AA$248,MATCH($A84,$A$245:$A$248,0),MATCH(D$1,$B$175:$AA$175,0)),0)</f>
        <v>0</v>
      </c>
      <c r="E84">
        <f t="shared" si="91"/>
        <v>0</v>
      </c>
      <c r="F84">
        <f t="shared" si="91"/>
        <v>0</v>
      </c>
      <c r="G84">
        <f t="shared" si="91"/>
        <v>0</v>
      </c>
      <c r="H84">
        <f t="shared" si="91"/>
        <v>0</v>
      </c>
      <c r="I84">
        <f t="shared" si="91"/>
        <v>0</v>
      </c>
      <c r="J84">
        <f t="shared" si="91"/>
        <v>0</v>
      </c>
      <c r="K84">
        <f t="shared" si="91"/>
        <v>0</v>
      </c>
      <c r="L84">
        <f t="shared" si="91"/>
        <v>0</v>
      </c>
      <c r="M84">
        <f t="shared" si="91"/>
        <v>0</v>
      </c>
      <c r="N84" s="2">
        <f t="shared" ref="N84:AV84" si="92">IFERROR(IF($M84-$D84&gt;=0,($M84-$D84)/COUNT($E$1:$M$1)+M84,$F437*$E437^N$1),0)</f>
        <v>0</v>
      </c>
      <c r="O84" s="2">
        <f t="shared" si="92"/>
        <v>0</v>
      </c>
      <c r="P84" s="2">
        <f t="shared" si="92"/>
        <v>0</v>
      </c>
      <c r="Q84" s="2">
        <f t="shared" si="92"/>
        <v>0</v>
      </c>
      <c r="R84" s="2">
        <f t="shared" si="92"/>
        <v>0</v>
      </c>
      <c r="S84" s="2">
        <f t="shared" si="92"/>
        <v>0</v>
      </c>
      <c r="T84" s="2">
        <f t="shared" si="92"/>
        <v>0</v>
      </c>
      <c r="U84" s="2">
        <f t="shared" si="92"/>
        <v>0</v>
      </c>
      <c r="V84" s="2">
        <f t="shared" si="92"/>
        <v>0</v>
      </c>
      <c r="W84" s="2">
        <f t="shared" si="92"/>
        <v>0</v>
      </c>
      <c r="X84" s="2">
        <f t="shared" si="92"/>
        <v>0</v>
      </c>
      <c r="Y84" s="2">
        <f t="shared" si="92"/>
        <v>0</v>
      </c>
      <c r="Z84" s="2">
        <f t="shared" si="92"/>
        <v>0</v>
      </c>
      <c r="AA84" s="2">
        <f t="shared" si="92"/>
        <v>0</v>
      </c>
      <c r="AB84" s="2">
        <f t="shared" si="92"/>
        <v>0</v>
      </c>
      <c r="AC84" s="2">
        <f t="shared" si="92"/>
        <v>0</v>
      </c>
      <c r="AD84" s="2">
        <f t="shared" si="92"/>
        <v>0</v>
      </c>
      <c r="AE84" s="2">
        <f t="shared" si="92"/>
        <v>0</v>
      </c>
      <c r="AF84" s="2">
        <f t="shared" si="92"/>
        <v>0</v>
      </c>
      <c r="AG84" s="2">
        <f t="shared" si="92"/>
        <v>0</v>
      </c>
      <c r="AH84" s="2">
        <f t="shared" si="92"/>
        <v>0</v>
      </c>
      <c r="AI84" s="2">
        <f t="shared" si="92"/>
        <v>0</v>
      </c>
      <c r="AJ84" s="2">
        <f t="shared" si="92"/>
        <v>0</v>
      </c>
      <c r="AK84" s="2">
        <f t="shared" si="92"/>
        <v>0</v>
      </c>
      <c r="AL84" s="2">
        <f t="shared" si="92"/>
        <v>0</v>
      </c>
      <c r="AM84" s="2">
        <f t="shared" si="92"/>
        <v>0</v>
      </c>
      <c r="AN84" s="2">
        <f t="shared" si="92"/>
        <v>0</v>
      </c>
      <c r="AO84" s="2">
        <f t="shared" si="92"/>
        <v>0</v>
      </c>
      <c r="AP84" s="2">
        <f t="shared" si="92"/>
        <v>0</v>
      </c>
      <c r="AQ84" s="2">
        <f t="shared" si="92"/>
        <v>0</v>
      </c>
      <c r="AR84" s="2">
        <f t="shared" si="92"/>
        <v>0</v>
      </c>
      <c r="AS84" s="2">
        <f t="shared" si="92"/>
        <v>0</v>
      </c>
      <c r="AT84" s="2">
        <f t="shared" si="92"/>
        <v>0</v>
      </c>
      <c r="AU84" s="2">
        <f t="shared" si="92"/>
        <v>0</v>
      </c>
      <c r="AV84" s="2">
        <f t="shared" si="92"/>
        <v>0</v>
      </c>
    </row>
    <row r="85" spans="1:48" x14ac:dyDescent="0.25">
      <c r="A85" s="354" t="s">
        <v>1699</v>
      </c>
      <c r="B85" t="s">
        <v>469</v>
      </c>
      <c r="C85" t="s">
        <v>1779</v>
      </c>
      <c r="D85">
        <f t="shared" si="91"/>
        <v>0</v>
      </c>
      <c r="E85">
        <f t="shared" si="91"/>
        <v>0</v>
      </c>
      <c r="F85">
        <f t="shared" si="91"/>
        <v>0</v>
      </c>
      <c r="G85">
        <f t="shared" si="91"/>
        <v>0</v>
      </c>
      <c r="H85">
        <f t="shared" si="91"/>
        <v>0</v>
      </c>
      <c r="I85">
        <f t="shared" si="91"/>
        <v>0</v>
      </c>
      <c r="J85">
        <f t="shared" si="91"/>
        <v>0</v>
      </c>
      <c r="K85">
        <f t="shared" si="91"/>
        <v>0</v>
      </c>
      <c r="L85">
        <f t="shared" si="91"/>
        <v>0</v>
      </c>
      <c r="M85">
        <f t="shared" si="91"/>
        <v>0</v>
      </c>
      <c r="N85" s="2">
        <f t="shared" ref="N85:AV85" si="93">IFERROR(IF($M85-$D85&gt;=0,($M85-$D85)/COUNT($E$1:$M$1)+M85,$F438*$E438^N$1),0)</f>
        <v>0</v>
      </c>
      <c r="O85" s="2">
        <f t="shared" si="93"/>
        <v>0</v>
      </c>
      <c r="P85" s="2">
        <f t="shared" si="93"/>
        <v>0</v>
      </c>
      <c r="Q85" s="2">
        <f t="shared" si="93"/>
        <v>0</v>
      </c>
      <c r="R85" s="2">
        <f t="shared" si="93"/>
        <v>0</v>
      </c>
      <c r="S85" s="2">
        <f t="shared" si="93"/>
        <v>0</v>
      </c>
      <c r="T85" s="2">
        <f t="shared" si="93"/>
        <v>0</v>
      </c>
      <c r="U85" s="2">
        <f t="shared" si="93"/>
        <v>0</v>
      </c>
      <c r="V85" s="2">
        <f t="shared" si="93"/>
        <v>0</v>
      </c>
      <c r="W85" s="2">
        <f t="shared" si="93"/>
        <v>0</v>
      </c>
      <c r="X85" s="2">
        <f t="shared" si="93"/>
        <v>0</v>
      </c>
      <c r="Y85" s="2">
        <f t="shared" si="93"/>
        <v>0</v>
      </c>
      <c r="Z85" s="2">
        <f t="shared" si="93"/>
        <v>0</v>
      </c>
      <c r="AA85" s="2">
        <f t="shared" si="93"/>
        <v>0</v>
      </c>
      <c r="AB85" s="2">
        <f t="shared" si="93"/>
        <v>0</v>
      </c>
      <c r="AC85" s="2">
        <f t="shared" si="93"/>
        <v>0</v>
      </c>
      <c r="AD85" s="2">
        <f t="shared" si="93"/>
        <v>0</v>
      </c>
      <c r="AE85" s="2">
        <f t="shared" si="93"/>
        <v>0</v>
      </c>
      <c r="AF85" s="2">
        <f t="shared" si="93"/>
        <v>0</v>
      </c>
      <c r="AG85" s="2">
        <f t="shared" si="93"/>
        <v>0</v>
      </c>
      <c r="AH85" s="2">
        <f t="shared" si="93"/>
        <v>0</v>
      </c>
      <c r="AI85" s="2">
        <f t="shared" si="93"/>
        <v>0</v>
      </c>
      <c r="AJ85" s="2">
        <f t="shared" si="93"/>
        <v>0</v>
      </c>
      <c r="AK85" s="2">
        <f t="shared" si="93"/>
        <v>0</v>
      </c>
      <c r="AL85" s="2">
        <f t="shared" si="93"/>
        <v>0</v>
      </c>
      <c r="AM85" s="2">
        <f t="shared" si="93"/>
        <v>0</v>
      </c>
      <c r="AN85" s="2">
        <f t="shared" si="93"/>
        <v>0</v>
      </c>
      <c r="AO85" s="2">
        <f t="shared" si="93"/>
        <v>0</v>
      </c>
      <c r="AP85" s="2">
        <f t="shared" si="93"/>
        <v>0</v>
      </c>
      <c r="AQ85" s="2">
        <f t="shared" si="93"/>
        <v>0</v>
      </c>
      <c r="AR85" s="2">
        <f t="shared" si="93"/>
        <v>0</v>
      </c>
      <c r="AS85" s="2">
        <f t="shared" si="93"/>
        <v>0</v>
      </c>
      <c r="AT85" s="2">
        <f t="shared" si="93"/>
        <v>0</v>
      </c>
      <c r="AU85" s="2">
        <f t="shared" si="93"/>
        <v>0</v>
      </c>
      <c r="AV85" s="2">
        <f t="shared" si="93"/>
        <v>0</v>
      </c>
    </row>
    <row r="86" spans="1:48" x14ac:dyDescent="0.25">
      <c r="A86" s="354" t="s">
        <v>1700</v>
      </c>
      <c r="B86" t="s">
        <v>469</v>
      </c>
      <c r="C86" t="s">
        <v>1779</v>
      </c>
      <c r="D86">
        <f t="shared" si="91"/>
        <v>0</v>
      </c>
      <c r="E86">
        <f t="shared" si="91"/>
        <v>0</v>
      </c>
      <c r="F86">
        <f t="shared" si="91"/>
        <v>0</v>
      </c>
      <c r="G86">
        <f t="shared" si="91"/>
        <v>0</v>
      </c>
      <c r="H86">
        <f t="shared" si="91"/>
        <v>0</v>
      </c>
      <c r="I86">
        <f t="shared" si="91"/>
        <v>0</v>
      </c>
      <c r="J86">
        <f t="shared" si="91"/>
        <v>0</v>
      </c>
      <c r="K86">
        <f t="shared" si="91"/>
        <v>0</v>
      </c>
      <c r="L86">
        <f t="shared" si="91"/>
        <v>0</v>
      </c>
      <c r="M86">
        <f t="shared" si="91"/>
        <v>0</v>
      </c>
      <c r="N86" s="2">
        <f t="shared" ref="N86:AV86" si="94">IFERROR(IF($M86-$D86&gt;=0,($M86-$D86)/COUNT($E$1:$M$1)+M86,$F439*$E439^N$1),0)</f>
        <v>0</v>
      </c>
      <c r="O86" s="2">
        <f t="shared" si="94"/>
        <v>0</v>
      </c>
      <c r="P86" s="2">
        <f t="shared" si="94"/>
        <v>0</v>
      </c>
      <c r="Q86" s="2">
        <f t="shared" si="94"/>
        <v>0</v>
      </c>
      <c r="R86" s="2">
        <f t="shared" si="94"/>
        <v>0</v>
      </c>
      <c r="S86" s="2">
        <f t="shared" si="94"/>
        <v>0</v>
      </c>
      <c r="T86" s="2">
        <f t="shared" si="94"/>
        <v>0</v>
      </c>
      <c r="U86" s="2">
        <f t="shared" si="94"/>
        <v>0</v>
      </c>
      <c r="V86" s="2">
        <f t="shared" si="94"/>
        <v>0</v>
      </c>
      <c r="W86" s="2">
        <f t="shared" si="94"/>
        <v>0</v>
      </c>
      <c r="X86" s="2">
        <f t="shared" si="94"/>
        <v>0</v>
      </c>
      <c r="Y86" s="2">
        <f t="shared" si="94"/>
        <v>0</v>
      </c>
      <c r="Z86" s="2">
        <f t="shared" si="94"/>
        <v>0</v>
      </c>
      <c r="AA86" s="2">
        <f t="shared" si="94"/>
        <v>0</v>
      </c>
      <c r="AB86" s="2">
        <f t="shared" si="94"/>
        <v>0</v>
      </c>
      <c r="AC86" s="2">
        <f t="shared" si="94"/>
        <v>0</v>
      </c>
      <c r="AD86" s="2">
        <f t="shared" si="94"/>
        <v>0</v>
      </c>
      <c r="AE86" s="2">
        <f t="shared" si="94"/>
        <v>0</v>
      </c>
      <c r="AF86" s="2">
        <f t="shared" si="94"/>
        <v>0</v>
      </c>
      <c r="AG86" s="2">
        <f t="shared" si="94"/>
        <v>0</v>
      </c>
      <c r="AH86" s="2">
        <f t="shared" si="94"/>
        <v>0</v>
      </c>
      <c r="AI86" s="2">
        <f t="shared" si="94"/>
        <v>0</v>
      </c>
      <c r="AJ86" s="2">
        <f t="shared" si="94"/>
        <v>0</v>
      </c>
      <c r="AK86" s="2">
        <f t="shared" si="94"/>
        <v>0</v>
      </c>
      <c r="AL86" s="2">
        <f t="shared" si="94"/>
        <v>0</v>
      </c>
      <c r="AM86" s="2">
        <f t="shared" si="94"/>
        <v>0</v>
      </c>
      <c r="AN86" s="2">
        <f t="shared" si="94"/>
        <v>0</v>
      </c>
      <c r="AO86" s="2">
        <f t="shared" si="94"/>
        <v>0</v>
      </c>
      <c r="AP86" s="2">
        <f t="shared" si="94"/>
        <v>0</v>
      </c>
      <c r="AQ86" s="2">
        <f t="shared" si="94"/>
        <v>0</v>
      </c>
      <c r="AR86" s="2">
        <f t="shared" si="94"/>
        <v>0</v>
      </c>
      <c r="AS86" s="2">
        <f t="shared" si="94"/>
        <v>0</v>
      </c>
      <c r="AT86" s="2">
        <f t="shared" si="94"/>
        <v>0</v>
      </c>
      <c r="AU86" s="2">
        <f t="shared" si="94"/>
        <v>0</v>
      </c>
      <c r="AV86" s="2">
        <f t="shared" si="94"/>
        <v>0</v>
      </c>
    </row>
    <row r="87" spans="1:48" x14ac:dyDescent="0.25">
      <c r="A87" s="354" t="s">
        <v>1701</v>
      </c>
      <c r="B87" t="s">
        <v>273</v>
      </c>
      <c r="C87" t="s">
        <v>1779</v>
      </c>
      <c r="D87">
        <f t="shared" si="91"/>
        <v>0</v>
      </c>
      <c r="E87">
        <f t="shared" si="91"/>
        <v>0</v>
      </c>
      <c r="F87">
        <f t="shared" si="91"/>
        <v>0</v>
      </c>
      <c r="G87">
        <f t="shared" si="91"/>
        <v>0</v>
      </c>
      <c r="H87">
        <f t="shared" si="91"/>
        <v>0</v>
      </c>
      <c r="I87">
        <f t="shared" si="91"/>
        <v>0</v>
      </c>
      <c r="J87">
        <f t="shared" si="91"/>
        <v>0</v>
      </c>
      <c r="K87">
        <f t="shared" si="91"/>
        <v>0</v>
      </c>
      <c r="L87">
        <f t="shared" si="91"/>
        <v>0</v>
      </c>
      <c r="M87">
        <f t="shared" si="91"/>
        <v>0</v>
      </c>
      <c r="N87" s="2">
        <f t="shared" ref="N87:AV87" si="95">IFERROR(IF($M87-$D87&gt;=0,($M87-$D87)/COUNT($E$1:$M$1)+M87,$F440*$E440^N$1),0)</f>
        <v>0</v>
      </c>
      <c r="O87" s="2">
        <f t="shared" si="95"/>
        <v>0</v>
      </c>
      <c r="P87" s="2">
        <f t="shared" si="95"/>
        <v>0</v>
      </c>
      <c r="Q87" s="2">
        <f t="shared" si="95"/>
        <v>0</v>
      </c>
      <c r="R87" s="2">
        <f t="shared" si="95"/>
        <v>0</v>
      </c>
      <c r="S87" s="2">
        <f t="shared" si="95"/>
        <v>0</v>
      </c>
      <c r="T87" s="2">
        <f t="shared" si="95"/>
        <v>0</v>
      </c>
      <c r="U87" s="2">
        <f t="shared" si="95"/>
        <v>0</v>
      </c>
      <c r="V87" s="2">
        <f t="shared" si="95"/>
        <v>0</v>
      </c>
      <c r="W87" s="2">
        <f t="shared" si="95"/>
        <v>0</v>
      </c>
      <c r="X87" s="2">
        <f t="shared" si="95"/>
        <v>0</v>
      </c>
      <c r="Y87" s="2">
        <f t="shared" si="95"/>
        <v>0</v>
      </c>
      <c r="Z87" s="2">
        <f t="shared" si="95"/>
        <v>0</v>
      </c>
      <c r="AA87" s="2">
        <f t="shared" si="95"/>
        <v>0</v>
      </c>
      <c r="AB87" s="2">
        <f t="shared" si="95"/>
        <v>0</v>
      </c>
      <c r="AC87" s="2">
        <f t="shared" si="95"/>
        <v>0</v>
      </c>
      <c r="AD87" s="2">
        <f t="shared" si="95"/>
        <v>0</v>
      </c>
      <c r="AE87" s="2">
        <f t="shared" si="95"/>
        <v>0</v>
      </c>
      <c r="AF87" s="2">
        <f t="shared" si="95"/>
        <v>0</v>
      </c>
      <c r="AG87" s="2">
        <f t="shared" si="95"/>
        <v>0</v>
      </c>
      <c r="AH87" s="2">
        <f t="shared" si="95"/>
        <v>0</v>
      </c>
      <c r="AI87" s="2">
        <f t="shared" si="95"/>
        <v>0</v>
      </c>
      <c r="AJ87" s="2">
        <f t="shared" si="95"/>
        <v>0</v>
      </c>
      <c r="AK87" s="2">
        <f t="shared" si="95"/>
        <v>0</v>
      </c>
      <c r="AL87" s="2">
        <f t="shared" si="95"/>
        <v>0</v>
      </c>
      <c r="AM87" s="2">
        <f t="shared" si="95"/>
        <v>0</v>
      </c>
      <c r="AN87" s="2">
        <f t="shared" si="95"/>
        <v>0</v>
      </c>
      <c r="AO87" s="2">
        <f t="shared" si="95"/>
        <v>0</v>
      </c>
      <c r="AP87" s="2">
        <f t="shared" si="95"/>
        <v>0</v>
      </c>
      <c r="AQ87" s="2">
        <f t="shared" si="95"/>
        <v>0</v>
      </c>
      <c r="AR87" s="2">
        <f t="shared" si="95"/>
        <v>0</v>
      </c>
      <c r="AS87" s="2">
        <f t="shared" si="95"/>
        <v>0</v>
      </c>
      <c r="AT87" s="2">
        <f t="shared" si="95"/>
        <v>0</v>
      </c>
      <c r="AU87" s="2">
        <f t="shared" si="95"/>
        <v>0</v>
      </c>
      <c r="AV87" s="2">
        <f t="shared" si="95"/>
        <v>0</v>
      </c>
    </row>
    <row r="88" spans="1:48" x14ac:dyDescent="0.25">
      <c r="A88" s="354" t="s">
        <v>1702</v>
      </c>
      <c r="B88" t="s">
        <v>469</v>
      </c>
      <c r="C88" t="s">
        <v>1779</v>
      </c>
      <c r="D88">
        <f t="shared" si="91"/>
        <v>0</v>
      </c>
      <c r="E88">
        <f t="shared" si="91"/>
        <v>0</v>
      </c>
      <c r="F88">
        <f t="shared" si="91"/>
        <v>0</v>
      </c>
      <c r="G88">
        <f t="shared" si="91"/>
        <v>0</v>
      </c>
      <c r="H88">
        <f t="shared" si="91"/>
        <v>0</v>
      </c>
      <c r="I88">
        <f t="shared" si="91"/>
        <v>0</v>
      </c>
      <c r="J88">
        <f t="shared" si="91"/>
        <v>0</v>
      </c>
      <c r="K88">
        <f t="shared" si="91"/>
        <v>0</v>
      </c>
      <c r="L88">
        <f t="shared" si="91"/>
        <v>0</v>
      </c>
      <c r="M88">
        <f t="shared" si="91"/>
        <v>0</v>
      </c>
      <c r="N88" s="2">
        <f t="shared" ref="N88:AV88" si="96">IFERROR(IF($M88-$D88&gt;=0,($M88-$D88)/COUNT($E$1:$M$1)+M88,$F441*$E441^N$1),0)</f>
        <v>0</v>
      </c>
      <c r="O88" s="2">
        <f t="shared" si="96"/>
        <v>0</v>
      </c>
      <c r="P88" s="2">
        <f t="shared" si="96"/>
        <v>0</v>
      </c>
      <c r="Q88" s="2">
        <f t="shared" si="96"/>
        <v>0</v>
      </c>
      <c r="R88" s="2">
        <f t="shared" si="96"/>
        <v>0</v>
      </c>
      <c r="S88" s="2">
        <f t="shared" si="96"/>
        <v>0</v>
      </c>
      <c r="T88" s="2">
        <f t="shared" si="96"/>
        <v>0</v>
      </c>
      <c r="U88" s="2">
        <f t="shared" si="96"/>
        <v>0</v>
      </c>
      <c r="V88" s="2">
        <f t="shared" si="96"/>
        <v>0</v>
      </c>
      <c r="W88" s="2">
        <f t="shared" si="96"/>
        <v>0</v>
      </c>
      <c r="X88" s="2">
        <f t="shared" si="96"/>
        <v>0</v>
      </c>
      <c r="Y88" s="2">
        <f t="shared" si="96"/>
        <v>0</v>
      </c>
      <c r="Z88" s="2">
        <f t="shared" si="96"/>
        <v>0</v>
      </c>
      <c r="AA88" s="2">
        <f t="shared" si="96"/>
        <v>0</v>
      </c>
      <c r="AB88" s="2">
        <f t="shared" si="96"/>
        <v>0</v>
      </c>
      <c r="AC88" s="2">
        <f t="shared" si="96"/>
        <v>0</v>
      </c>
      <c r="AD88" s="2">
        <f t="shared" si="96"/>
        <v>0</v>
      </c>
      <c r="AE88" s="2">
        <f t="shared" si="96"/>
        <v>0</v>
      </c>
      <c r="AF88" s="2">
        <f t="shared" si="96"/>
        <v>0</v>
      </c>
      <c r="AG88" s="2">
        <f t="shared" si="96"/>
        <v>0</v>
      </c>
      <c r="AH88" s="2">
        <f t="shared" si="96"/>
        <v>0</v>
      </c>
      <c r="AI88" s="2">
        <f t="shared" si="96"/>
        <v>0</v>
      </c>
      <c r="AJ88" s="2">
        <f t="shared" si="96"/>
        <v>0</v>
      </c>
      <c r="AK88" s="2">
        <f t="shared" si="96"/>
        <v>0</v>
      </c>
      <c r="AL88" s="2">
        <f t="shared" si="96"/>
        <v>0</v>
      </c>
      <c r="AM88" s="2">
        <f t="shared" si="96"/>
        <v>0</v>
      </c>
      <c r="AN88" s="2">
        <f t="shared" si="96"/>
        <v>0</v>
      </c>
      <c r="AO88" s="2">
        <f t="shared" si="96"/>
        <v>0</v>
      </c>
      <c r="AP88" s="2">
        <f t="shared" si="96"/>
        <v>0</v>
      </c>
      <c r="AQ88" s="2">
        <f t="shared" si="96"/>
        <v>0</v>
      </c>
      <c r="AR88" s="2">
        <f t="shared" si="96"/>
        <v>0</v>
      </c>
      <c r="AS88" s="2">
        <f t="shared" si="96"/>
        <v>0</v>
      </c>
      <c r="AT88" s="2">
        <f t="shared" si="96"/>
        <v>0</v>
      </c>
      <c r="AU88" s="2">
        <f t="shared" si="96"/>
        <v>0</v>
      </c>
      <c r="AV88" s="2">
        <f t="shared" si="96"/>
        <v>0</v>
      </c>
    </row>
    <row r="89" spans="1:48" x14ac:dyDescent="0.25">
      <c r="A89" s="354" t="s">
        <v>1703</v>
      </c>
      <c r="B89" t="s">
        <v>459</v>
      </c>
      <c r="C89" t="s">
        <v>1779</v>
      </c>
      <c r="D89">
        <f t="shared" si="91"/>
        <v>0</v>
      </c>
      <c r="E89">
        <f t="shared" si="91"/>
        <v>0</v>
      </c>
      <c r="F89">
        <f t="shared" si="91"/>
        <v>0</v>
      </c>
      <c r="G89">
        <f t="shared" si="91"/>
        <v>0</v>
      </c>
      <c r="H89">
        <f t="shared" si="91"/>
        <v>0</v>
      </c>
      <c r="I89">
        <f t="shared" si="91"/>
        <v>0</v>
      </c>
      <c r="J89">
        <f t="shared" si="91"/>
        <v>0</v>
      </c>
      <c r="K89">
        <f t="shared" si="91"/>
        <v>0</v>
      </c>
      <c r="L89">
        <f t="shared" si="91"/>
        <v>0</v>
      </c>
      <c r="M89">
        <f t="shared" si="91"/>
        <v>0</v>
      </c>
      <c r="N89" s="2">
        <f t="shared" ref="N89:AV89" si="97">IFERROR(IF($M89-$D89&gt;=0,($M89-$D89)/COUNT($E$1:$M$1)+M89,$F442*$E442^N$1),0)</f>
        <v>0</v>
      </c>
      <c r="O89" s="2">
        <f t="shared" si="97"/>
        <v>0</v>
      </c>
      <c r="P89" s="2">
        <f t="shared" si="97"/>
        <v>0</v>
      </c>
      <c r="Q89" s="2">
        <f t="shared" si="97"/>
        <v>0</v>
      </c>
      <c r="R89" s="2">
        <f t="shared" si="97"/>
        <v>0</v>
      </c>
      <c r="S89" s="2">
        <f t="shared" si="97"/>
        <v>0</v>
      </c>
      <c r="T89" s="2">
        <f t="shared" si="97"/>
        <v>0</v>
      </c>
      <c r="U89" s="2">
        <f t="shared" si="97"/>
        <v>0</v>
      </c>
      <c r="V89" s="2">
        <f t="shared" si="97"/>
        <v>0</v>
      </c>
      <c r="W89" s="2">
        <f t="shared" si="97"/>
        <v>0</v>
      </c>
      <c r="X89" s="2">
        <f t="shared" si="97"/>
        <v>0</v>
      </c>
      <c r="Y89" s="2">
        <f t="shared" si="97"/>
        <v>0</v>
      </c>
      <c r="Z89" s="2">
        <f t="shared" si="97"/>
        <v>0</v>
      </c>
      <c r="AA89" s="2">
        <f t="shared" si="97"/>
        <v>0</v>
      </c>
      <c r="AB89" s="2">
        <f t="shared" si="97"/>
        <v>0</v>
      </c>
      <c r="AC89" s="2">
        <f t="shared" si="97"/>
        <v>0</v>
      </c>
      <c r="AD89" s="2">
        <f t="shared" si="97"/>
        <v>0</v>
      </c>
      <c r="AE89" s="2">
        <f t="shared" si="97"/>
        <v>0</v>
      </c>
      <c r="AF89" s="2">
        <f t="shared" si="97"/>
        <v>0</v>
      </c>
      <c r="AG89" s="2">
        <f t="shared" si="97"/>
        <v>0</v>
      </c>
      <c r="AH89" s="2">
        <f t="shared" si="97"/>
        <v>0</v>
      </c>
      <c r="AI89" s="2">
        <f t="shared" si="97"/>
        <v>0</v>
      </c>
      <c r="AJ89" s="2">
        <f t="shared" si="97"/>
        <v>0</v>
      </c>
      <c r="AK89" s="2">
        <f t="shared" si="97"/>
        <v>0</v>
      </c>
      <c r="AL89" s="2">
        <f t="shared" si="97"/>
        <v>0</v>
      </c>
      <c r="AM89" s="2">
        <f t="shared" si="97"/>
        <v>0</v>
      </c>
      <c r="AN89" s="2">
        <f t="shared" si="97"/>
        <v>0</v>
      </c>
      <c r="AO89" s="2">
        <f t="shared" si="97"/>
        <v>0</v>
      </c>
      <c r="AP89" s="2">
        <f t="shared" si="97"/>
        <v>0</v>
      </c>
      <c r="AQ89" s="2">
        <f t="shared" si="97"/>
        <v>0</v>
      </c>
      <c r="AR89" s="2">
        <f t="shared" si="97"/>
        <v>0</v>
      </c>
      <c r="AS89" s="2">
        <f t="shared" si="97"/>
        <v>0</v>
      </c>
      <c r="AT89" s="2">
        <f t="shared" si="97"/>
        <v>0</v>
      </c>
      <c r="AU89" s="2">
        <f t="shared" si="97"/>
        <v>0</v>
      </c>
      <c r="AV89" s="2">
        <f t="shared" si="97"/>
        <v>0</v>
      </c>
    </row>
    <row r="90" spans="1:48" x14ac:dyDescent="0.25">
      <c r="A90" s="354" t="s">
        <v>1704</v>
      </c>
      <c r="B90" t="s">
        <v>463</v>
      </c>
      <c r="C90" t="s">
        <v>1779</v>
      </c>
      <c r="D90">
        <f t="shared" si="91"/>
        <v>0</v>
      </c>
      <c r="E90">
        <f t="shared" si="91"/>
        <v>0</v>
      </c>
      <c r="F90">
        <f t="shared" si="91"/>
        <v>0</v>
      </c>
      <c r="G90">
        <f t="shared" si="91"/>
        <v>0</v>
      </c>
      <c r="H90">
        <f t="shared" si="91"/>
        <v>0</v>
      </c>
      <c r="I90">
        <f t="shared" si="91"/>
        <v>0</v>
      </c>
      <c r="J90">
        <f t="shared" si="91"/>
        <v>0</v>
      </c>
      <c r="K90">
        <f t="shared" si="91"/>
        <v>0</v>
      </c>
      <c r="L90">
        <f t="shared" si="91"/>
        <v>0</v>
      </c>
      <c r="M90">
        <f t="shared" si="91"/>
        <v>0</v>
      </c>
      <c r="N90" s="2">
        <f t="shared" ref="N90:AV90" si="98">IFERROR(IF($M90-$D90&gt;=0,($M90-$D90)/COUNT($E$1:$M$1)+M90,$F443*$E443^N$1),0)</f>
        <v>0</v>
      </c>
      <c r="O90" s="2">
        <f t="shared" si="98"/>
        <v>0</v>
      </c>
      <c r="P90" s="2">
        <f t="shared" si="98"/>
        <v>0</v>
      </c>
      <c r="Q90" s="2">
        <f t="shared" si="98"/>
        <v>0</v>
      </c>
      <c r="R90" s="2">
        <f t="shared" si="98"/>
        <v>0</v>
      </c>
      <c r="S90" s="2">
        <f t="shared" si="98"/>
        <v>0</v>
      </c>
      <c r="T90" s="2">
        <f t="shared" si="98"/>
        <v>0</v>
      </c>
      <c r="U90" s="2">
        <f t="shared" si="98"/>
        <v>0</v>
      </c>
      <c r="V90" s="2">
        <f t="shared" si="98"/>
        <v>0</v>
      </c>
      <c r="W90" s="2">
        <f t="shared" si="98"/>
        <v>0</v>
      </c>
      <c r="X90" s="2">
        <f t="shared" si="98"/>
        <v>0</v>
      </c>
      <c r="Y90" s="2">
        <f t="shared" si="98"/>
        <v>0</v>
      </c>
      <c r="Z90" s="2">
        <f t="shared" si="98"/>
        <v>0</v>
      </c>
      <c r="AA90" s="2">
        <f t="shared" si="98"/>
        <v>0</v>
      </c>
      <c r="AB90" s="2">
        <f t="shared" si="98"/>
        <v>0</v>
      </c>
      <c r="AC90" s="2">
        <f t="shared" si="98"/>
        <v>0</v>
      </c>
      <c r="AD90" s="2">
        <f t="shared" si="98"/>
        <v>0</v>
      </c>
      <c r="AE90" s="2">
        <f t="shared" si="98"/>
        <v>0</v>
      </c>
      <c r="AF90" s="2">
        <f t="shared" si="98"/>
        <v>0</v>
      </c>
      <c r="AG90" s="2">
        <f t="shared" si="98"/>
        <v>0</v>
      </c>
      <c r="AH90" s="2">
        <f t="shared" si="98"/>
        <v>0</v>
      </c>
      <c r="AI90" s="2">
        <f t="shared" si="98"/>
        <v>0</v>
      </c>
      <c r="AJ90" s="2">
        <f t="shared" si="98"/>
        <v>0</v>
      </c>
      <c r="AK90" s="2">
        <f t="shared" si="98"/>
        <v>0</v>
      </c>
      <c r="AL90" s="2">
        <f t="shared" si="98"/>
        <v>0</v>
      </c>
      <c r="AM90" s="2">
        <f t="shared" si="98"/>
        <v>0</v>
      </c>
      <c r="AN90" s="2">
        <f t="shared" si="98"/>
        <v>0</v>
      </c>
      <c r="AO90" s="2">
        <f t="shared" si="98"/>
        <v>0</v>
      </c>
      <c r="AP90" s="2">
        <f t="shared" si="98"/>
        <v>0</v>
      </c>
      <c r="AQ90" s="2">
        <f t="shared" si="98"/>
        <v>0</v>
      </c>
      <c r="AR90" s="2">
        <f t="shared" si="98"/>
        <v>0</v>
      </c>
      <c r="AS90" s="2">
        <f t="shared" si="98"/>
        <v>0</v>
      </c>
      <c r="AT90" s="2">
        <f t="shared" si="98"/>
        <v>0</v>
      </c>
      <c r="AU90" s="2">
        <f t="shared" si="98"/>
        <v>0</v>
      </c>
      <c r="AV90" s="2">
        <f t="shared" si="98"/>
        <v>0</v>
      </c>
    </row>
    <row r="91" spans="1:48" x14ac:dyDescent="0.25">
      <c r="A91" s="354" t="s">
        <v>1705</v>
      </c>
      <c r="B91" t="s">
        <v>463</v>
      </c>
      <c r="C91" t="s">
        <v>1779</v>
      </c>
      <c r="D91">
        <f t="shared" si="91"/>
        <v>0</v>
      </c>
      <c r="E91">
        <f t="shared" si="91"/>
        <v>0</v>
      </c>
      <c r="F91">
        <f t="shared" si="91"/>
        <v>0</v>
      </c>
      <c r="G91">
        <f t="shared" si="91"/>
        <v>0</v>
      </c>
      <c r="H91">
        <f t="shared" si="91"/>
        <v>0</v>
      </c>
      <c r="I91">
        <f t="shared" si="91"/>
        <v>0</v>
      </c>
      <c r="J91">
        <f t="shared" si="91"/>
        <v>0</v>
      </c>
      <c r="K91">
        <f t="shared" si="91"/>
        <v>0</v>
      </c>
      <c r="L91">
        <f t="shared" si="91"/>
        <v>0</v>
      </c>
      <c r="M91">
        <f t="shared" si="91"/>
        <v>0</v>
      </c>
      <c r="N91" s="2">
        <f t="shared" ref="N91:AV91" si="99">IFERROR(IF($M91-$D91&gt;=0,($M91-$D91)/COUNT($E$1:$M$1)+M91,$F444*$E444^N$1),0)</f>
        <v>0</v>
      </c>
      <c r="O91" s="2">
        <f t="shared" si="99"/>
        <v>0</v>
      </c>
      <c r="P91" s="2">
        <f t="shared" si="99"/>
        <v>0</v>
      </c>
      <c r="Q91" s="2">
        <f t="shared" si="99"/>
        <v>0</v>
      </c>
      <c r="R91" s="2">
        <f t="shared" si="99"/>
        <v>0</v>
      </c>
      <c r="S91" s="2">
        <f t="shared" si="99"/>
        <v>0</v>
      </c>
      <c r="T91" s="2">
        <f t="shared" si="99"/>
        <v>0</v>
      </c>
      <c r="U91" s="2">
        <f t="shared" si="99"/>
        <v>0</v>
      </c>
      <c r="V91" s="2">
        <f t="shared" si="99"/>
        <v>0</v>
      </c>
      <c r="W91" s="2">
        <f t="shared" si="99"/>
        <v>0</v>
      </c>
      <c r="X91" s="2">
        <f t="shared" si="99"/>
        <v>0</v>
      </c>
      <c r="Y91" s="2">
        <f t="shared" si="99"/>
        <v>0</v>
      </c>
      <c r="Z91" s="2">
        <f t="shared" si="99"/>
        <v>0</v>
      </c>
      <c r="AA91" s="2">
        <f t="shared" si="99"/>
        <v>0</v>
      </c>
      <c r="AB91" s="2">
        <f t="shared" si="99"/>
        <v>0</v>
      </c>
      <c r="AC91" s="2">
        <f t="shared" si="99"/>
        <v>0</v>
      </c>
      <c r="AD91" s="2">
        <f t="shared" si="99"/>
        <v>0</v>
      </c>
      <c r="AE91" s="2">
        <f t="shared" si="99"/>
        <v>0</v>
      </c>
      <c r="AF91" s="2">
        <f t="shared" si="99"/>
        <v>0</v>
      </c>
      <c r="AG91" s="2">
        <f t="shared" si="99"/>
        <v>0</v>
      </c>
      <c r="AH91" s="2">
        <f t="shared" si="99"/>
        <v>0</v>
      </c>
      <c r="AI91" s="2">
        <f t="shared" si="99"/>
        <v>0</v>
      </c>
      <c r="AJ91" s="2">
        <f t="shared" si="99"/>
        <v>0</v>
      </c>
      <c r="AK91" s="2">
        <f t="shared" si="99"/>
        <v>0</v>
      </c>
      <c r="AL91" s="2">
        <f t="shared" si="99"/>
        <v>0</v>
      </c>
      <c r="AM91" s="2">
        <f t="shared" si="99"/>
        <v>0</v>
      </c>
      <c r="AN91" s="2">
        <f t="shared" si="99"/>
        <v>0</v>
      </c>
      <c r="AO91" s="2">
        <f t="shared" si="99"/>
        <v>0</v>
      </c>
      <c r="AP91" s="2">
        <f t="shared" si="99"/>
        <v>0</v>
      </c>
      <c r="AQ91" s="2">
        <f t="shared" si="99"/>
        <v>0</v>
      </c>
      <c r="AR91" s="2">
        <f t="shared" si="99"/>
        <v>0</v>
      </c>
      <c r="AS91" s="2">
        <f t="shared" si="99"/>
        <v>0</v>
      </c>
      <c r="AT91" s="2">
        <f t="shared" si="99"/>
        <v>0</v>
      </c>
      <c r="AU91" s="2">
        <f t="shared" si="99"/>
        <v>0</v>
      </c>
      <c r="AV91" s="2">
        <f t="shared" si="99"/>
        <v>0</v>
      </c>
    </row>
    <row r="92" spans="1:48" x14ac:dyDescent="0.25">
      <c r="A92" s="356" t="s">
        <v>1985</v>
      </c>
      <c r="B92" t="s">
        <v>469</v>
      </c>
      <c r="C92" t="s">
        <v>1779</v>
      </c>
      <c r="D92">
        <f t="shared" si="91"/>
        <v>0</v>
      </c>
      <c r="E92">
        <f t="shared" si="91"/>
        <v>0</v>
      </c>
      <c r="F92">
        <f t="shared" si="91"/>
        <v>0</v>
      </c>
      <c r="G92">
        <f t="shared" si="91"/>
        <v>0</v>
      </c>
      <c r="H92">
        <f t="shared" si="91"/>
        <v>0</v>
      </c>
      <c r="I92">
        <f t="shared" si="91"/>
        <v>0</v>
      </c>
      <c r="J92">
        <f t="shared" si="91"/>
        <v>0</v>
      </c>
      <c r="K92">
        <f t="shared" si="91"/>
        <v>0</v>
      </c>
      <c r="L92">
        <f t="shared" si="91"/>
        <v>0</v>
      </c>
      <c r="M92">
        <f t="shared" si="91"/>
        <v>0</v>
      </c>
      <c r="N92" s="2">
        <f t="shared" ref="N92:AV92" si="100">IFERROR(IF($M92-$D92&gt;=0,($M92-$D92)/COUNT($E$1:$M$1)+M92,$F445*$E445^N$1),0)</f>
        <v>0</v>
      </c>
      <c r="O92" s="2">
        <f t="shared" si="100"/>
        <v>0</v>
      </c>
      <c r="P92" s="2">
        <f t="shared" si="100"/>
        <v>0</v>
      </c>
      <c r="Q92" s="2">
        <f t="shared" si="100"/>
        <v>0</v>
      </c>
      <c r="R92" s="2">
        <f t="shared" si="100"/>
        <v>0</v>
      </c>
      <c r="S92" s="2">
        <f t="shared" si="100"/>
        <v>0</v>
      </c>
      <c r="T92" s="2">
        <f t="shared" si="100"/>
        <v>0</v>
      </c>
      <c r="U92" s="2">
        <f t="shared" si="100"/>
        <v>0</v>
      </c>
      <c r="V92" s="2">
        <f t="shared" si="100"/>
        <v>0</v>
      </c>
      <c r="W92" s="2">
        <f t="shared" si="100"/>
        <v>0</v>
      </c>
      <c r="X92" s="2">
        <f t="shared" si="100"/>
        <v>0</v>
      </c>
      <c r="Y92" s="2">
        <f t="shared" si="100"/>
        <v>0</v>
      </c>
      <c r="Z92" s="2">
        <f t="shared" si="100"/>
        <v>0</v>
      </c>
      <c r="AA92" s="2">
        <f t="shared" si="100"/>
        <v>0</v>
      </c>
      <c r="AB92" s="2">
        <f t="shared" si="100"/>
        <v>0</v>
      </c>
      <c r="AC92" s="2">
        <f t="shared" si="100"/>
        <v>0</v>
      </c>
      <c r="AD92" s="2">
        <f t="shared" si="100"/>
        <v>0</v>
      </c>
      <c r="AE92" s="2">
        <f t="shared" si="100"/>
        <v>0</v>
      </c>
      <c r="AF92" s="2">
        <f t="shared" si="100"/>
        <v>0</v>
      </c>
      <c r="AG92" s="2">
        <f t="shared" si="100"/>
        <v>0</v>
      </c>
      <c r="AH92" s="2">
        <f t="shared" si="100"/>
        <v>0</v>
      </c>
      <c r="AI92" s="2">
        <f t="shared" si="100"/>
        <v>0</v>
      </c>
      <c r="AJ92" s="2">
        <f t="shared" si="100"/>
        <v>0</v>
      </c>
      <c r="AK92" s="2">
        <f t="shared" si="100"/>
        <v>0</v>
      </c>
      <c r="AL92" s="2">
        <f t="shared" si="100"/>
        <v>0</v>
      </c>
      <c r="AM92" s="2">
        <f t="shared" si="100"/>
        <v>0</v>
      </c>
      <c r="AN92" s="2">
        <f t="shared" si="100"/>
        <v>0</v>
      </c>
      <c r="AO92" s="2">
        <f t="shared" si="100"/>
        <v>0</v>
      </c>
      <c r="AP92" s="2">
        <f t="shared" si="100"/>
        <v>0</v>
      </c>
      <c r="AQ92" s="2">
        <f t="shared" si="100"/>
        <v>0</v>
      </c>
      <c r="AR92" s="2">
        <f t="shared" si="100"/>
        <v>0</v>
      </c>
      <c r="AS92" s="2">
        <f t="shared" si="100"/>
        <v>0</v>
      </c>
      <c r="AT92" s="2">
        <f t="shared" si="100"/>
        <v>0</v>
      </c>
      <c r="AU92" s="2">
        <f t="shared" si="100"/>
        <v>0</v>
      </c>
      <c r="AV92" s="2">
        <f t="shared" si="100"/>
        <v>0</v>
      </c>
    </row>
    <row r="93" spans="1:48" x14ac:dyDescent="0.25">
      <c r="A93" s="354" t="s">
        <v>1971</v>
      </c>
      <c r="B93" t="s">
        <v>1710</v>
      </c>
      <c r="C93" t="s">
        <v>1779</v>
      </c>
      <c r="D93">
        <f t="shared" ref="D93:M97" si="101">IFERROR(INDEX($B$245:$AA$248,MATCH($A93,$A$245:$A$248,0),MATCH(D$1,$B$175:$AA$175,0)),0)</f>
        <v>0</v>
      </c>
      <c r="E93">
        <f t="shared" si="101"/>
        <v>0</v>
      </c>
      <c r="F93">
        <f t="shared" si="101"/>
        <v>0</v>
      </c>
      <c r="G93">
        <f t="shared" si="101"/>
        <v>0</v>
      </c>
      <c r="H93">
        <f t="shared" si="101"/>
        <v>0</v>
      </c>
      <c r="I93">
        <f t="shared" si="101"/>
        <v>0</v>
      </c>
      <c r="J93">
        <f t="shared" si="101"/>
        <v>0</v>
      </c>
      <c r="K93">
        <f t="shared" si="101"/>
        <v>0</v>
      </c>
      <c r="L93">
        <f t="shared" si="101"/>
        <v>0</v>
      </c>
      <c r="M93">
        <f t="shared" si="101"/>
        <v>0</v>
      </c>
      <c r="N93" s="2">
        <f t="shared" ref="N93:AV93" si="102">IFERROR(IF($M93-$D93&gt;=0,($M93-$D93)/COUNT($E$1:$M$1)+M93,$F446*$E446^N$1),0)</f>
        <v>0</v>
      </c>
      <c r="O93" s="2">
        <f t="shared" si="102"/>
        <v>0</v>
      </c>
      <c r="P93" s="2">
        <f t="shared" si="102"/>
        <v>0</v>
      </c>
      <c r="Q93" s="2">
        <f t="shared" si="102"/>
        <v>0</v>
      </c>
      <c r="R93" s="2">
        <f t="shared" si="102"/>
        <v>0</v>
      </c>
      <c r="S93" s="2">
        <f t="shared" si="102"/>
        <v>0</v>
      </c>
      <c r="T93" s="2">
        <f t="shared" si="102"/>
        <v>0</v>
      </c>
      <c r="U93" s="2">
        <f t="shared" si="102"/>
        <v>0</v>
      </c>
      <c r="V93" s="2">
        <f t="shared" si="102"/>
        <v>0</v>
      </c>
      <c r="W93" s="2">
        <f t="shared" si="102"/>
        <v>0</v>
      </c>
      <c r="X93" s="2">
        <f t="shared" si="102"/>
        <v>0</v>
      </c>
      <c r="Y93" s="2">
        <f t="shared" si="102"/>
        <v>0</v>
      </c>
      <c r="Z93" s="2">
        <f t="shared" si="102"/>
        <v>0</v>
      </c>
      <c r="AA93" s="2">
        <f t="shared" si="102"/>
        <v>0</v>
      </c>
      <c r="AB93" s="2">
        <f t="shared" si="102"/>
        <v>0</v>
      </c>
      <c r="AC93" s="2">
        <f t="shared" si="102"/>
        <v>0</v>
      </c>
      <c r="AD93" s="2">
        <f t="shared" si="102"/>
        <v>0</v>
      </c>
      <c r="AE93" s="2">
        <f t="shared" si="102"/>
        <v>0</v>
      </c>
      <c r="AF93" s="2">
        <f t="shared" si="102"/>
        <v>0</v>
      </c>
      <c r="AG93" s="2">
        <f t="shared" si="102"/>
        <v>0</v>
      </c>
      <c r="AH93" s="2">
        <f t="shared" si="102"/>
        <v>0</v>
      </c>
      <c r="AI93" s="2">
        <f t="shared" si="102"/>
        <v>0</v>
      </c>
      <c r="AJ93" s="2">
        <f t="shared" si="102"/>
        <v>0</v>
      </c>
      <c r="AK93" s="2">
        <f t="shared" si="102"/>
        <v>0</v>
      </c>
      <c r="AL93" s="2">
        <f t="shared" si="102"/>
        <v>0</v>
      </c>
      <c r="AM93" s="2">
        <f t="shared" si="102"/>
        <v>0</v>
      </c>
      <c r="AN93" s="2">
        <f t="shared" si="102"/>
        <v>0</v>
      </c>
      <c r="AO93" s="2">
        <f t="shared" si="102"/>
        <v>0</v>
      </c>
      <c r="AP93" s="2">
        <f t="shared" si="102"/>
        <v>0</v>
      </c>
      <c r="AQ93" s="2">
        <f t="shared" si="102"/>
        <v>0</v>
      </c>
      <c r="AR93" s="2">
        <f t="shared" si="102"/>
        <v>0</v>
      </c>
      <c r="AS93" s="2">
        <f t="shared" si="102"/>
        <v>0</v>
      </c>
      <c r="AT93" s="2">
        <f t="shared" si="102"/>
        <v>0</v>
      </c>
      <c r="AU93" s="2">
        <f t="shared" si="102"/>
        <v>0</v>
      </c>
      <c r="AV93" s="2">
        <f t="shared" si="102"/>
        <v>0</v>
      </c>
    </row>
    <row r="94" spans="1:48" x14ac:dyDescent="0.25">
      <c r="A94" s="354" t="s">
        <v>1972</v>
      </c>
      <c r="B94" t="s">
        <v>469</v>
      </c>
      <c r="C94" t="s">
        <v>1779</v>
      </c>
      <c r="D94">
        <f t="shared" si="101"/>
        <v>0</v>
      </c>
      <c r="E94">
        <f t="shared" si="101"/>
        <v>0</v>
      </c>
      <c r="F94">
        <f t="shared" si="101"/>
        <v>0</v>
      </c>
      <c r="G94">
        <f t="shared" si="101"/>
        <v>0</v>
      </c>
      <c r="H94">
        <f t="shared" si="101"/>
        <v>0</v>
      </c>
      <c r="I94">
        <f t="shared" si="101"/>
        <v>0</v>
      </c>
      <c r="J94">
        <f t="shared" si="101"/>
        <v>0</v>
      </c>
      <c r="K94">
        <f t="shared" si="101"/>
        <v>0</v>
      </c>
      <c r="L94">
        <f t="shared" si="101"/>
        <v>0</v>
      </c>
      <c r="M94">
        <f t="shared" si="101"/>
        <v>0</v>
      </c>
      <c r="N94" s="2">
        <f t="shared" ref="N94:AV94" si="103">IFERROR(IF($M94-$D94&gt;=0,($M94-$D94)/COUNT($E$1:$M$1)+M94,$F447*$E447^N$1),0)</f>
        <v>0</v>
      </c>
      <c r="O94" s="2">
        <f t="shared" si="103"/>
        <v>0</v>
      </c>
      <c r="P94" s="2">
        <f t="shared" si="103"/>
        <v>0</v>
      </c>
      <c r="Q94" s="2">
        <f t="shared" si="103"/>
        <v>0</v>
      </c>
      <c r="R94" s="2">
        <f t="shared" si="103"/>
        <v>0</v>
      </c>
      <c r="S94" s="2">
        <f t="shared" si="103"/>
        <v>0</v>
      </c>
      <c r="T94" s="2">
        <f t="shared" si="103"/>
        <v>0</v>
      </c>
      <c r="U94" s="2">
        <f t="shared" si="103"/>
        <v>0</v>
      </c>
      <c r="V94" s="2">
        <f t="shared" si="103"/>
        <v>0</v>
      </c>
      <c r="W94" s="2">
        <f t="shared" si="103"/>
        <v>0</v>
      </c>
      <c r="X94" s="2">
        <f t="shared" si="103"/>
        <v>0</v>
      </c>
      <c r="Y94" s="2">
        <f t="shared" si="103"/>
        <v>0</v>
      </c>
      <c r="Z94" s="2">
        <f t="shared" si="103"/>
        <v>0</v>
      </c>
      <c r="AA94" s="2">
        <f t="shared" si="103"/>
        <v>0</v>
      </c>
      <c r="AB94" s="2">
        <f t="shared" si="103"/>
        <v>0</v>
      </c>
      <c r="AC94" s="2">
        <f t="shared" si="103"/>
        <v>0</v>
      </c>
      <c r="AD94" s="2">
        <f t="shared" si="103"/>
        <v>0</v>
      </c>
      <c r="AE94" s="2">
        <f t="shared" si="103"/>
        <v>0</v>
      </c>
      <c r="AF94" s="2">
        <f t="shared" si="103"/>
        <v>0</v>
      </c>
      <c r="AG94" s="2">
        <f t="shared" si="103"/>
        <v>0</v>
      </c>
      <c r="AH94" s="2">
        <f t="shared" si="103"/>
        <v>0</v>
      </c>
      <c r="AI94" s="2">
        <f t="shared" si="103"/>
        <v>0</v>
      </c>
      <c r="AJ94" s="2">
        <f t="shared" si="103"/>
        <v>0</v>
      </c>
      <c r="AK94" s="2">
        <f t="shared" si="103"/>
        <v>0</v>
      </c>
      <c r="AL94" s="2">
        <f t="shared" si="103"/>
        <v>0</v>
      </c>
      <c r="AM94" s="2">
        <f t="shared" si="103"/>
        <v>0</v>
      </c>
      <c r="AN94" s="2">
        <f t="shared" si="103"/>
        <v>0</v>
      </c>
      <c r="AO94" s="2">
        <f t="shared" si="103"/>
        <v>0</v>
      </c>
      <c r="AP94" s="2">
        <f t="shared" si="103"/>
        <v>0</v>
      </c>
      <c r="AQ94" s="2">
        <f t="shared" si="103"/>
        <v>0</v>
      </c>
      <c r="AR94" s="2">
        <f t="shared" si="103"/>
        <v>0</v>
      </c>
      <c r="AS94" s="2">
        <f t="shared" si="103"/>
        <v>0</v>
      </c>
      <c r="AT94" s="2">
        <f t="shared" si="103"/>
        <v>0</v>
      </c>
      <c r="AU94" s="2">
        <f t="shared" si="103"/>
        <v>0</v>
      </c>
      <c r="AV94" s="2">
        <f t="shared" si="103"/>
        <v>0</v>
      </c>
    </row>
    <row r="95" spans="1:48" s="105" customFormat="1" x14ac:dyDescent="0.25">
      <c r="A95" s="357" t="s">
        <v>1973</v>
      </c>
      <c r="B95" s="105" t="s">
        <v>1988</v>
      </c>
      <c r="C95" s="105" t="s">
        <v>1779</v>
      </c>
      <c r="D95" s="105">
        <f t="shared" si="101"/>
        <v>0</v>
      </c>
      <c r="E95" s="105">
        <f t="shared" si="101"/>
        <v>0</v>
      </c>
      <c r="F95" s="105">
        <f t="shared" si="101"/>
        <v>0</v>
      </c>
      <c r="G95" s="105">
        <f t="shared" si="101"/>
        <v>0</v>
      </c>
      <c r="H95" s="105">
        <f t="shared" si="101"/>
        <v>0</v>
      </c>
      <c r="I95" s="105">
        <f t="shared" si="101"/>
        <v>0</v>
      </c>
      <c r="J95" s="105">
        <f t="shared" si="101"/>
        <v>0</v>
      </c>
      <c r="K95" s="105">
        <f t="shared" si="101"/>
        <v>0</v>
      </c>
      <c r="L95" s="105">
        <f t="shared" si="101"/>
        <v>0</v>
      </c>
      <c r="M95" s="105">
        <f t="shared" si="101"/>
        <v>0</v>
      </c>
      <c r="N95" s="358">
        <f t="shared" ref="N95:AV95" si="104">IFERROR(IF($M95-$D95&gt;=0,($M95-$D95)/COUNT($E$1:$M$1)+M95,$F448*$E448^N$1),0)</f>
        <v>0</v>
      </c>
      <c r="O95" s="358">
        <f t="shared" si="104"/>
        <v>0</v>
      </c>
      <c r="P95" s="358">
        <f t="shared" si="104"/>
        <v>0</v>
      </c>
      <c r="Q95" s="358">
        <f t="shared" si="104"/>
        <v>0</v>
      </c>
      <c r="R95" s="358">
        <f t="shared" si="104"/>
        <v>0</v>
      </c>
      <c r="S95" s="358">
        <f t="shared" si="104"/>
        <v>0</v>
      </c>
      <c r="T95" s="358">
        <f t="shared" si="104"/>
        <v>0</v>
      </c>
      <c r="U95" s="358">
        <f t="shared" si="104"/>
        <v>0</v>
      </c>
      <c r="V95" s="358">
        <f t="shared" si="104"/>
        <v>0</v>
      </c>
      <c r="W95" s="358">
        <f t="shared" si="104"/>
        <v>0</v>
      </c>
      <c r="X95" s="358">
        <f t="shared" si="104"/>
        <v>0</v>
      </c>
      <c r="Y95" s="358">
        <f t="shared" si="104"/>
        <v>0</v>
      </c>
      <c r="Z95" s="358">
        <f t="shared" si="104"/>
        <v>0</v>
      </c>
      <c r="AA95" s="358">
        <f t="shared" si="104"/>
        <v>0</v>
      </c>
      <c r="AB95" s="358">
        <f t="shared" si="104"/>
        <v>0</v>
      </c>
      <c r="AC95" s="358">
        <f t="shared" si="104"/>
        <v>0</v>
      </c>
      <c r="AD95" s="358">
        <f t="shared" si="104"/>
        <v>0</v>
      </c>
      <c r="AE95" s="358">
        <f t="shared" si="104"/>
        <v>0</v>
      </c>
      <c r="AF95" s="358">
        <f t="shared" si="104"/>
        <v>0</v>
      </c>
      <c r="AG95" s="358">
        <f t="shared" si="104"/>
        <v>0</v>
      </c>
      <c r="AH95" s="358">
        <f t="shared" si="104"/>
        <v>0</v>
      </c>
      <c r="AI95" s="358">
        <f t="shared" si="104"/>
        <v>0</v>
      </c>
      <c r="AJ95" s="358">
        <f t="shared" si="104"/>
        <v>0</v>
      </c>
      <c r="AK95" s="358">
        <f t="shared" si="104"/>
        <v>0</v>
      </c>
      <c r="AL95" s="358">
        <f t="shared" si="104"/>
        <v>0</v>
      </c>
      <c r="AM95" s="358">
        <f t="shared" si="104"/>
        <v>0</v>
      </c>
      <c r="AN95" s="358">
        <f t="shared" si="104"/>
        <v>0</v>
      </c>
      <c r="AO95" s="358">
        <f t="shared" si="104"/>
        <v>0</v>
      </c>
      <c r="AP95" s="358">
        <f t="shared" si="104"/>
        <v>0</v>
      </c>
      <c r="AQ95" s="358">
        <f t="shared" si="104"/>
        <v>0</v>
      </c>
      <c r="AR95" s="358">
        <f t="shared" si="104"/>
        <v>0</v>
      </c>
      <c r="AS95" s="358">
        <f t="shared" si="104"/>
        <v>0</v>
      </c>
      <c r="AT95" s="358">
        <f t="shared" si="104"/>
        <v>0</v>
      </c>
      <c r="AU95" s="358">
        <f t="shared" si="104"/>
        <v>0</v>
      </c>
      <c r="AV95" s="358">
        <f t="shared" si="104"/>
        <v>0</v>
      </c>
    </row>
    <row r="96" spans="1:48" x14ac:dyDescent="0.25">
      <c r="A96" s="354" t="s">
        <v>1974</v>
      </c>
      <c r="B96" t="s">
        <v>469</v>
      </c>
      <c r="C96" t="s">
        <v>1779</v>
      </c>
      <c r="D96">
        <f t="shared" si="101"/>
        <v>0</v>
      </c>
      <c r="E96">
        <f t="shared" si="101"/>
        <v>0</v>
      </c>
      <c r="F96">
        <f t="shared" si="101"/>
        <v>0</v>
      </c>
      <c r="G96">
        <f t="shared" si="101"/>
        <v>0</v>
      </c>
      <c r="H96">
        <f t="shared" si="101"/>
        <v>0</v>
      </c>
      <c r="I96">
        <f t="shared" si="101"/>
        <v>0</v>
      </c>
      <c r="J96">
        <f t="shared" si="101"/>
        <v>0</v>
      </c>
      <c r="K96">
        <f t="shared" si="101"/>
        <v>0</v>
      </c>
      <c r="L96">
        <f t="shared" si="101"/>
        <v>0</v>
      </c>
      <c r="M96">
        <f t="shared" si="101"/>
        <v>0</v>
      </c>
      <c r="N96" s="2">
        <f t="shared" ref="N96:AV96" si="105">IFERROR(IF($M96-$D96&gt;=0,($M96-$D96)/COUNT($E$1:$M$1)+M96,$F449*$E449^N$1),0)</f>
        <v>0</v>
      </c>
      <c r="O96" s="2">
        <f t="shared" si="105"/>
        <v>0</v>
      </c>
      <c r="P96" s="2">
        <f t="shared" si="105"/>
        <v>0</v>
      </c>
      <c r="Q96" s="2">
        <f t="shared" si="105"/>
        <v>0</v>
      </c>
      <c r="R96" s="2">
        <f t="shared" si="105"/>
        <v>0</v>
      </c>
      <c r="S96" s="2">
        <f t="shared" si="105"/>
        <v>0</v>
      </c>
      <c r="T96" s="2">
        <f t="shared" si="105"/>
        <v>0</v>
      </c>
      <c r="U96" s="2">
        <f t="shared" si="105"/>
        <v>0</v>
      </c>
      <c r="V96" s="2">
        <f t="shared" si="105"/>
        <v>0</v>
      </c>
      <c r="W96" s="2">
        <f t="shared" si="105"/>
        <v>0</v>
      </c>
      <c r="X96" s="2">
        <f t="shared" si="105"/>
        <v>0</v>
      </c>
      <c r="Y96" s="2">
        <f t="shared" si="105"/>
        <v>0</v>
      </c>
      <c r="Z96" s="2">
        <f t="shared" si="105"/>
        <v>0</v>
      </c>
      <c r="AA96" s="2">
        <f t="shared" si="105"/>
        <v>0</v>
      </c>
      <c r="AB96" s="2">
        <f t="shared" si="105"/>
        <v>0</v>
      </c>
      <c r="AC96" s="2">
        <f t="shared" si="105"/>
        <v>0</v>
      </c>
      <c r="AD96" s="2">
        <f t="shared" si="105"/>
        <v>0</v>
      </c>
      <c r="AE96" s="2">
        <f t="shared" si="105"/>
        <v>0</v>
      </c>
      <c r="AF96" s="2">
        <f t="shared" si="105"/>
        <v>0</v>
      </c>
      <c r="AG96" s="2">
        <f t="shared" si="105"/>
        <v>0</v>
      </c>
      <c r="AH96" s="2">
        <f t="shared" si="105"/>
        <v>0</v>
      </c>
      <c r="AI96" s="2">
        <f t="shared" si="105"/>
        <v>0</v>
      </c>
      <c r="AJ96" s="2">
        <f t="shared" si="105"/>
        <v>0</v>
      </c>
      <c r="AK96" s="2">
        <f t="shared" si="105"/>
        <v>0</v>
      </c>
      <c r="AL96" s="2">
        <f t="shared" si="105"/>
        <v>0</v>
      </c>
      <c r="AM96" s="2">
        <f t="shared" si="105"/>
        <v>0</v>
      </c>
      <c r="AN96" s="2">
        <f t="shared" si="105"/>
        <v>0</v>
      </c>
      <c r="AO96" s="2">
        <f t="shared" si="105"/>
        <v>0</v>
      </c>
      <c r="AP96" s="2">
        <f t="shared" si="105"/>
        <v>0</v>
      </c>
      <c r="AQ96" s="2">
        <f t="shared" si="105"/>
        <v>0</v>
      </c>
      <c r="AR96" s="2">
        <f t="shared" si="105"/>
        <v>0</v>
      </c>
      <c r="AS96" s="2">
        <f t="shared" si="105"/>
        <v>0</v>
      </c>
      <c r="AT96" s="2">
        <f t="shared" si="105"/>
        <v>0</v>
      </c>
      <c r="AU96" s="2">
        <f t="shared" si="105"/>
        <v>0</v>
      </c>
      <c r="AV96" s="2">
        <f t="shared" si="105"/>
        <v>0</v>
      </c>
    </row>
    <row r="97" spans="1:48" x14ac:dyDescent="0.25">
      <c r="A97" s="354" t="s">
        <v>1976</v>
      </c>
      <c r="B97" t="s">
        <v>469</v>
      </c>
      <c r="C97" t="s">
        <v>1779</v>
      </c>
      <c r="D97">
        <f t="shared" si="101"/>
        <v>0</v>
      </c>
      <c r="E97">
        <f t="shared" si="101"/>
        <v>0</v>
      </c>
      <c r="F97">
        <f t="shared" si="101"/>
        <v>0</v>
      </c>
      <c r="G97">
        <f t="shared" si="101"/>
        <v>0</v>
      </c>
      <c r="H97">
        <f t="shared" si="101"/>
        <v>0</v>
      </c>
      <c r="I97">
        <f t="shared" si="101"/>
        <v>0</v>
      </c>
      <c r="J97">
        <f t="shared" si="101"/>
        <v>0</v>
      </c>
      <c r="K97">
        <f t="shared" si="101"/>
        <v>0</v>
      </c>
      <c r="L97">
        <f t="shared" si="101"/>
        <v>0</v>
      </c>
      <c r="M97">
        <f t="shared" si="101"/>
        <v>0</v>
      </c>
      <c r="N97" s="2">
        <f t="shared" ref="N97:AV97" si="106">IFERROR(IF($M97-$D97&gt;=0,($M97-$D97)/COUNT($E$1:$M$1)+M97,$F450*$E450^N$1),0)</f>
        <v>0</v>
      </c>
      <c r="O97" s="2">
        <f t="shared" si="106"/>
        <v>0</v>
      </c>
      <c r="P97" s="2">
        <f t="shared" si="106"/>
        <v>0</v>
      </c>
      <c r="Q97" s="2">
        <f t="shared" si="106"/>
        <v>0</v>
      </c>
      <c r="R97" s="2">
        <f t="shared" si="106"/>
        <v>0</v>
      </c>
      <c r="S97" s="2">
        <f t="shared" si="106"/>
        <v>0</v>
      </c>
      <c r="T97" s="2">
        <f t="shared" si="106"/>
        <v>0</v>
      </c>
      <c r="U97" s="2">
        <f t="shared" si="106"/>
        <v>0</v>
      </c>
      <c r="V97" s="2">
        <f t="shared" si="106"/>
        <v>0</v>
      </c>
      <c r="W97" s="2">
        <f t="shared" si="106"/>
        <v>0</v>
      </c>
      <c r="X97" s="2">
        <f t="shared" si="106"/>
        <v>0</v>
      </c>
      <c r="Y97" s="2">
        <f t="shared" si="106"/>
        <v>0</v>
      </c>
      <c r="Z97" s="2">
        <f t="shared" si="106"/>
        <v>0</v>
      </c>
      <c r="AA97" s="2">
        <f t="shared" si="106"/>
        <v>0</v>
      </c>
      <c r="AB97" s="2">
        <f t="shared" si="106"/>
        <v>0</v>
      </c>
      <c r="AC97" s="2">
        <f t="shared" si="106"/>
        <v>0</v>
      </c>
      <c r="AD97" s="2">
        <f t="shared" si="106"/>
        <v>0</v>
      </c>
      <c r="AE97" s="2">
        <f t="shared" si="106"/>
        <v>0</v>
      </c>
      <c r="AF97" s="2">
        <f t="shared" si="106"/>
        <v>0</v>
      </c>
      <c r="AG97" s="2">
        <f t="shared" si="106"/>
        <v>0</v>
      </c>
      <c r="AH97" s="2">
        <f t="shared" si="106"/>
        <v>0</v>
      </c>
      <c r="AI97" s="2">
        <f t="shared" si="106"/>
        <v>0</v>
      </c>
      <c r="AJ97" s="2">
        <f t="shared" si="106"/>
        <v>0</v>
      </c>
      <c r="AK97" s="2">
        <f t="shared" si="106"/>
        <v>0</v>
      </c>
      <c r="AL97" s="2">
        <f t="shared" si="106"/>
        <v>0</v>
      </c>
      <c r="AM97" s="2">
        <f t="shared" si="106"/>
        <v>0</v>
      </c>
      <c r="AN97" s="2">
        <f t="shared" si="106"/>
        <v>0</v>
      </c>
      <c r="AO97" s="2">
        <f t="shared" si="106"/>
        <v>0</v>
      </c>
      <c r="AP97" s="2">
        <f t="shared" si="106"/>
        <v>0</v>
      </c>
      <c r="AQ97" s="2">
        <f t="shared" si="106"/>
        <v>0</v>
      </c>
      <c r="AR97" s="2">
        <f t="shared" si="106"/>
        <v>0</v>
      </c>
      <c r="AS97" s="2">
        <f t="shared" si="106"/>
        <v>0</v>
      </c>
      <c r="AT97" s="2">
        <f t="shared" si="106"/>
        <v>0</v>
      </c>
      <c r="AU97" s="2">
        <f t="shared" si="106"/>
        <v>0</v>
      </c>
      <c r="AV97" s="2">
        <f t="shared" si="106"/>
        <v>0</v>
      </c>
    </row>
    <row r="98" spans="1:48" x14ac:dyDescent="0.25">
      <c r="A98" s="354" t="s">
        <v>1688</v>
      </c>
      <c r="B98" t="s">
        <v>1709</v>
      </c>
      <c r="C98" t="s">
        <v>1780</v>
      </c>
      <c r="D98">
        <f t="shared" ref="D98:M107" si="107">IFERROR(INDEX($B$250:$AA$252,MATCH($A98,$A$250:$A$252,0),MATCH(D$1,$B$175:$AA$175,0)),0)</f>
        <v>0</v>
      </c>
      <c r="E98">
        <f t="shared" si="107"/>
        <v>0</v>
      </c>
      <c r="F98">
        <f t="shared" si="107"/>
        <v>0</v>
      </c>
      <c r="G98">
        <f t="shared" si="107"/>
        <v>0</v>
      </c>
      <c r="H98">
        <f t="shared" si="107"/>
        <v>0</v>
      </c>
      <c r="I98">
        <f t="shared" si="107"/>
        <v>0</v>
      </c>
      <c r="J98">
        <f t="shared" si="107"/>
        <v>0</v>
      </c>
      <c r="K98">
        <f t="shared" si="107"/>
        <v>0</v>
      </c>
      <c r="L98">
        <f t="shared" si="107"/>
        <v>0</v>
      </c>
      <c r="M98">
        <f t="shared" si="107"/>
        <v>0</v>
      </c>
      <c r="N98" s="2">
        <f t="shared" ref="N98:AV98" si="108">IFERROR(IF($M98-$D98&gt;=0,($M98-$D98)/COUNT($E$1:$M$1)+M98,$F451*$E451^N$1),0)</f>
        <v>0</v>
      </c>
      <c r="O98" s="2">
        <f t="shared" si="108"/>
        <v>0</v>
      </c>
      <c r="P98" s="2">
        <f t="shared" si="108"/>
        <v>0</v>
      </c>
      <c r="Q98" s="2">
        <f t="shared" si="108"/>
        <v>0</v>
      </c>
      <c r="R98" s="2">
        <f t="shared" si="108"/>
        <v>0</v>
      </c>
      <c r="S98" s="2">
        <f t="shared" si="108"/>
        <v>0</v>
      </c>
      <c r="T98" s="2">
        <f t="shared" si="108"/>
        <v>0</v>
      </c>
      <c r="U98" s="2">
        <f t="shared" si="108"/>
        <v>0</v>
      </c>
      <c r="V98" s="2">
        <f t="shared" si="108"/>
        <v>0</v>
      </c>
      <c r="W98" s="2">
        <f t="shared" si="108"/>
        <v>0</v>
      </c>
      <c r="X98" s="2">
        <f t="shared" si="108"/>
        <v>0</v>
      </c>
      <c r="Y98" s="2">
        <f t="shared" si="108"/>
        <v>0</v>
      </c>
      <c r="Z98" s="2">
        <f t="shared" si="108"/>
        <v>0</v>
      </c>
      <c r="AA98" s="2">
        <f t="shared" si="108"/>
        <v>0</v>
      </c>
      <c r="AB98" s="2">
        <f t="shared" si="108"/>
        <v>0</v>
      </c>
      <c r="AC98" s="2">
        <f t="shared" si="108"/>
        <v>0</v>
      </c>
      <c r="AD98" s="2">
        <f t="shared" si="108"/>
        <v>0</v>
      </c>
      <c r="AE98" s="2">
        <f t="shared" si="108"/>
        <v>0</v>
      </c>
      <c r="AF98" s="2">
        <f t="shared" si="108"/>
        <v>0</v>
      </c>
      <c r="AG98" s="2">
        <f t="shared" si="108"/>
        <v>0</v>
      </c>
      <c r="AH98" s="2">
        <f t="shared" si="108"/>
        <v>0</v>
      </c>
      <c r="AI98" s="2">
        <f t="shared" si="108"/>
        <v>0</v>
      </c>
      <c r="AJ98" s="2">
        <f t="shared" si="108"/>
        <v>0</v>
      </c>
      <c r="AK98" s="2">
        <f t="shared" si="108"/>
        <v>0</v>
      </c>
      <c r="AL98" s="2">
        <f t="shared" si="108"/>
        <v>0</v>
      </c>
      <c r="AM98" s="2">
        <f t="shared" si="108"/>
        <v>0</v>
      </c>
      <c r="AN98" s="2">
        <f t="shared" si="108"/>
        <v>0</v>
      </c>
      <c r="AO98" s="2">
        <f t="shared" si="108"/>
        <v>0</v>
      </c>
      <c r="AP98" s="2">
        <f t="shared" si="108"/>
        <v>0</v>
      </c>
      <c r="AQ98" s="2">
        <f t="shared" si="108"/>
        <v>0</v>
      </c>
      <c r="AR98" s="2">
        <f t="shared" si="108"/>
        <v>0</v>
      </c>
      <c r="AS98" s="2">
        <f t="shared" si="108"/>
        <v>0</v>
      </c>
      <c r="AT98" s="2">
        <f t="shared" si="108"/>
        <v>0</v>
      </c>
      <c r="AU98" s="2">
        <f t="shared" si="108"/>
        <v>0</v>
      </c>
      <c r="AV98" s="2">
        <f t="shared" si="108"/>
        <v>0</v>
      </c>
    </row>
    <row r="99" spans="1:48" x14ac:dyDescent="0.25">
      <c r="A99" s="354" t="s">
        <v>1689</v>
      </c>
      <c r="B99" t="s">
        <v>273</v>
      </c>
      <c r="C99" t="s">
        <v>1780</v>
      </c>
      <c r="D99">
        <f t="shared" si="107"/>
        <v>0</v>
      </c>
      <c r="E99">
        <f t="shared" si="107"/>
        <v>0</v>
      </c>
      <c r="F99">
        <f t="shared" si="107"/>
        <v>0</v>
      </c>
      <c r="G99">
        <f t="shared" si="107"/>
        <v>0</v>
      </c>
      <c r="H99">
        <f t="shared" si="107"/>
        <v>0</v>
      </c>
      <c r="I99">
        <f t="shared" si="107"/>
        <v>0</v>
      </c>
      <c r="J99">
        <f t="shared" si="107"/>
        <v>0</v>
      </c>
      <c r="K99">
        <f t="shared" si="107"/>
        <v>0</v>
      </c>
      <c r="L99">
        <f t="shared" si="107"/>
        <v>0</v>
      </c>
      <c r="M99">
        <f t="shared" si="107"/>
        <v>0</v>
      </c>
      <c r="N99" s="2">
        <f t="shared" ref="N99:AV99" si="109">IFERROR(IF($M99-$D99&gt;=0,($M99-$D99)/COUNT($E$1:$M$1)+M99,$F452*$E452^N$1),0)</f>
        <v>0</v>
      </c>
      <c r="O99" s="2">
        <f t="shared" si="109"/>
        <v>0</v>
      </c>
      <c r="P99" s="2">
        <f t="shared" si="109"/>
        <v>0</v>
      </c>
      <c r="Q99" s="2">
        <f t="shared" si="109"/>
        <v>0</v>
      </c>
      <c r="R99" s="2">
        <f t="shared" si="109"/>
        <v>0</v>
      </c>
      <c r="S99" s="2">
        <f t="shared" si="109"/>
        <v>0</v>
      </c>
      <c r="T99" s="2">
        <f t="shared" si="109"/>
        <v>0</v>
      </c>
      <c r="U99" s="2">
        <f t="shared" si="109"/>
        <v>0</v>
      </c>
      <c r="V99" s="2">
        <f t="shared" si="109"/>
        <v>0</v>
      </c>
      <c r="W99" s="2">
        <f t="shared" si="109"/>
        <v>0</v>
      </c>
      <c r="X99" s="2">
        <f t="shared" si="109"/>
        <v>0</v>
      </c>
      <c r="Y99" s="2">
        <f t="shared" si="109"/>
        <v>0</v>
      </c>
      <c r="Z99" s="2">
        <f t="shared" si="109"/>
        <v>0</v>
      </c>
      <c r="AA99" s="2">
        <f t="shared" si="109"/>
        <v>0</v>
      </c>
      <c r="AB99" s="2">
        <f t="shared" si="109"/>
        <v>0</v>
      </c>
      <c r="AC99" s="2">
        <f t="shared" si="109"/>
        <v>0</v>
      </c>
      <c r="AD99" s="2">
        <f t="shared" si="109"/>
        <v>0</v>
      </c>
      <c r="AE99" s="2">
        <f t="shared" si="109"/>
        <v>0</v>
      </c>
      <c r="AF99" s="2">
        <f t="shared" si="109"/>
        <v>0</v>
      </c>
      <c r="AG99" s="2">
        <f t="shared" si="109"/>
        <v>0</v>
      </c>
      <c r="AH99" s="2">
        <f t="shared" si="109"/>
        <v>0</v>
      </c>
      <c r="AI99" s="2">
        <f t="shared" si="109"/>
        <v>0</v>
      </c>
      <c r="AJ99" s="2">
        <f t="shared" si="109"/>
        <v>0</v>
      </c>
      <c r="AK99" s="2">
        <f t="shared" si="109"/>
        <v>0</v>
      </c>
      <c r="AL99" s="2">
        <f t="shared" si="109"/>
        <v>0</v>
      </c>
      <c r="AM99" s="2">
        <f t="shared" si="109"/>
        <v>0</v>
      </c>
      <c r="AN99" s="2">
        <f t="shared" si="109"/>
        <v>0</v>
      </c>
      <c r="AO99" s="2">
        <f t="shared" si="109"/>
        <v>0</v>
      </c>
      <c r="AP99" s="2">
        <f t="shared" si="109"/>
        <v>0</v>
      </c>
      <c r="AQ99" s="2">
        <f t="shared" si="109"/>
        <v>0</v>
      </c>
      <c r="AR99" s="2">
        <f t="shared" si="109"/>
        <v>0</v>
      </c>
      <c r="AS99" s="2">
        <f t="shared" si="109"/>
        <v>0</v>
      </c>
      <c r="AT99" s="2">
        <f t="shared" si="109"/>
        <v>0</v>
      </c>
      <c r="AU99" s="2">
        <f t="shared" si="109"/>
        <v>0</v>
      </c>
      <c r="AV99" s="2">
        <f t="shared" si="109"/>
        <v>0</v>
      </c>
    </row>
    <row r="100" spans="1:48" x14ac:dyDescent="0.25">
      <c r="A100" s="355" t="s">
        <v>1978</v>
      </c>
      <c r="B100" t="s">
        <v>469</v>
      </c>
      <c r="C100" t="s">
        <v>1780</v>
      </c>
      <c r="D100">
        <f t="shared" si="107"/>
        <v>0</v>
      </c>
      <c r="E100">
        <f t="shared" si="107"/>
        <v>0</v>
      </c>
      <c r="F100">
        <f t="shared" si="107"/>
        <v>0</v>
      </c>
      <c r="G100">
        <f t="shared" si="107"/>
        <v>0</v>
      </c>
      <c r="H100">
        <f t="shared" si="107"/>
        <v>0</v>
      </c>
      <c r="I100">
        <f t="shared" si="107"/>
        <v>0</v>
      </c>
      <c r="J100">
        <f t="shared" si="107"/>
        <v>0</v>
      </c>
      <c r="K100">
        <f t="shared" si="107"/>
        <v>0</v>
      </c>
      <c r="L100">
        <f t="shared" si="107"/>
        <v>0</v>
      </c>
      <c r="M100">
        <f t="shared" si="107"/>
        <v>0</v>
      </c>
      <c r="N100" s="2">
        <f t="shared" ref="N100:AV100" si="110">IFERROR(IF($M100-$D100&gt;=0,($M100-$D100)/COUNT($E$1:$M$1)+M100,$F453*$E453^N$1),0)</f>
        <v>0</v>
      </c>
      <c r="O100" s="2">
        <f t="shared" si="110"/>
        <v>0</v>
      </c>
      <c r="P100" s="2">
        <f t="shared" si="110"/>
        <v>0</v>
      </c>
      <c r="Q100" s="2">
        <f t="shared" si="110"/>
        <v>0</v>
      </c>
      <c r="R100" s="2">
        <f t="shared" si="110"/>
        <v>0</v>
      </c>
      <c r="S100" s="2">
        <f t="shared" si="110"/>
        <v>0</v>
      </c>
      <c r="T100" s="2">
        <f t="shared" si="110"/>
        <v>0</v>
      </c>
      <c r="U100" s="2">
        <f t="shared" si="110"/>
        <v>0</v>
      </c>
      <c r="V100" s="2">
        <f t="shared" si="110"/>
        <v>0</v>
      </c>
      <c r="W100" s="2">
        <f t="shared" si="110"/>
        <v>0</v>
      </c>
      <c r="X100" s="2">
        <f t="shared" si="110"/>
        <v>0</v>
      </c>
      <c r="Y100" s="2">
        <f t="shared" si="110"/>
        <v>0</v>
      </c>
      <c r="Z100" s="2">
        <f t="shared" si="110"/>
        <v>0</v>
      </c>
      <c r="AA100" s="2">
        <f t="shared" si="110"/>
        <v>0</v>
      </c>
      <c r="AB100" s="2">
        <f t="shared" si="110"/>
        <v>0</v>
      </c>
      <c r="AC100" s="2">
        <f t="shared" si="110"/>
        <v>0</v>
      </c>
      <c r="AD100" s="2">
        <f t="shared" si="110"/>
        <v>0</v>
      </c>
      <c r="AE100" s="2">
        <f t="shared" si="110"/>
        <v>0</v>
      </c>
      <c r="AF100" s="2">
        <f t="shared" si="110"/>
        <v>0</v>
      </c>
      <c r="AG100" s="2">
        <f t="shared" si="110"/>
        <v>0</v>
      </c>
      <c r="AH100" s="2">
        <f t="shared" si="110"/>
        <v>0</v>
      </c>
      <c r="AI100" s="2">
        <f t="shared" si="110"/>
        <v>0</v>
      </c>
      <c r="AJ100" s="2">
        <f t="shared" si="110"/>
        <v>0</v>
      </c>
      <c r="AK100" s="2">
        <f t="shared" si="110"/>
        <v>0</v>
      </c>
      <c r="AL100" s="2">
        <f t="shared" si="110"/>
        <v>0</v>
      </c>
      <c r="AM100" s="2">
        <f t="shared" si="110"/>
        <v>0</v>
      </c>
      <c r="AN100" s="2">
        <f t="shared" si="110"/>
        <v>0</v>
      </c>
      <c r="AO100" s="2">
        <f t="shared" si="110"/>
        <v>0</v>
      </c>
      <c r="AP100" s="2">
        <f t="shared" si="110"/>
        <v>0</v>
      </c>
      <c r="AQ100" s="2">
        <f t="shared" si="110"/>
        <v>0</v>
      </c>
      <c r="AR100" s="2">
        <f t="shared" si="110"/>
        <v>0</v>
      </c>
      <c r="AS100" s="2">
        <f t="shared" si="110"/>
        <v>0</v>
      </c>
      <c r="AT100" s="2">
        <f t="shared" si="110"/>
        <v>0</v>
      </c>
      <c r="AU100" s="2">
        <f t="shared" si="110"/>
        <v>0</v>
      </c>
      <c r="AV100" s="2">
        <f t="shared" si="110"/>
        <v>0</v>
      </c>
    </row>
    <row r="101" spans="1:48" x14ac:dyDescent="0.25">
      <c r="A101" s="354" t="s">
        <v>1975</v>
      </c>
      <c r="B101" t="s">
        <v>469</v>
      </c>
      <c r="C101" t="s">
        <v>1780</v>
      </c>
      <c r="D101">
        <f t="shared" si="107"/>
        <v>0</v>
      </c>
      <c r="E101">
        <f t="shared" si="107"/>
        <v>0</v>
      </c>
      <c r="F101">
        <f t="shared" si="107"/>
        <v>0</v>
      </c>
      <c r="G101">
        <f t="shared" si="107"/>
        <v>0</v>
      </c>
      <c r="H101">
        <f t="shared" si="107"/>
        <v>0</v>
      </c>
      <c r="I101">
        <f t="shared" si="107"/>
        <v>0</v>
      </c>
      <c r="J101">
        <f t="shared" si="107"/>
        <v>0</v>
      </c>
      <c r="K101">
        <f t="shared" si="107"/>
        <v>0</v>
      </c>
      <c r="L101">
        <f t="shared" si="107"/>
        <v>0</v>
      </c>
      <c r="M101">
        <f t="shared" si="107"/>
        <v>0</v>
      </c>
      <c r="N101" s="2">
        <f t="shared" ref="N101:AV101" si="111">IFERROR(IF($M101-$D101&gt;=0,($M101-$D101)/COUNT($E$1:$M$1)+M101,$F454*$E454^N$1),0)</f>
        <v>0</v>
      </c>
      <c r="O101" s="2">
        <f t="shared" si="111"/>
        <v>0</v>
      </c>
      <c r="P101" s="2">
        <f t="shared" si="111"/>
        <v>0</v>
      </c>
      <c r="Q101" s="2">
        <f t="shared" si="111"/>
        <v>0</v>
      </c>
      <c r="R101" s="2">
        <f t="shared" si="111"/>
        <v>0</v>
      </c>
      <c r="S101" s="2">
        <f t="shared" si="111"/>
        <v>0</v>
      </c>
      <c r="T101" s="2">
        <f t="shared" si="111"/>
        <v>0</v>
      </c>
      <c r="U101" s="2">
        <f t="shared" si="111"/>
        <v>0</v>
      </c>
      <c r="V101" s="2">
        <f t="shared" si="111"/>
        <v>0</v>
      </c>
      <c r="W101" s="2">
        <f t="shared" si="111"/>
        <v>0</v>
      </c>
      <c r="X101" s="2">
        <f t="shared" si="111"/>
        <v>0</v>
      </c>
      <c r="Y101" s="2">
        <f t="shared" si="111"/>
        <v>0</v>
      </c>
      <c r="Z101" s="2">
        <f t="shared" si="111"/>
        <v>0</v>
      </c>
      <c r="AA101" s="2">
        <f t="shared" si="111"/>
        <v>0</v>
      </c>
      <c r="AB101" s="2">
        <f t="shared" si="111"/>
        <v>0</v>
      </c>
      <c r="AC101" s="2">
        <f t="shared" si="111"/>
        <v>0</v>
      </c>
      <c r="AD101" s="2">
        <f t="shared" si="111"/>
        <v>0</v>
      </c>
      <c r="AE101" s="2">
        <f t="shared" si="111"/>
        <v>0</v>
      </c>
      <c r="AF101" s="2">
        <f t="shared" si="111"/>
        <v>0</v>
      </c>
      <c r="AG101" s="2">
        <f t="shared" si="111"/>
        <v>0</v>
      </c>
      <c r="AH101" s="2">
        <f t="shared" si="111"/>
        <v>0</v>
      </c>
      <c r="AI101" s="2">
        <f t="shared" si="111"/>
        <v>0</v>
      </c>
      <c r="AJ101" s="2">
        <f t="shared" si="111"/>
        <v>0</v>
      </c>
      <c r="AK101" s="2">
        <f t="shared" si="111"/>
        <v>0</v>
      </c>
      <c r="AL101" s="2">
        <f t="shared" si="111"/>
        <v>0</v>
      </c>
      <c r="AM101" s="2">
        <f t="shared" si="111"/>
        <v>0</v>
      </c>
      <c r="AN101" s="2">
        <f t="shared" si="111"/>
        <v>0</v>
      </c>
      <c r="AO101" s="2">
        <f t="shared" si="111"/>
        <v>0</v>
      </c>
      <c r="AP101" s="2">
        <f t="shared" si="111"/>
        <v>0</v>
      </c>
      <c r="AQ101" s="2">
        <f t="shared" si="111"/>
        <v>0</v>
      </c>
      <c r="AR101" s="2">
        <f t="shared" si="111"/>
        <v>0</v>
      </c>
      <c r="AS101" s="2">
        <f t="shared" si="111"/>
        <v>0</v>
      </c>
      <c r="AT101" s="2">
        <f t="shared" si="111"/>
        <v>0</v>
      </c>
      <c r="AU101" s="2">
        <f t="shared" si="111"/>
        <v>0</v>
      </c>
      <c r="AV101" s="2">
        <f t="shared" si="111"/>
        <v>0</v>
      </c>
    </row>
    <row r="102" spans="1:48" x14ac:dyDescent="0.25">
      <c r="A102" s="354" t="s">
        <v>1692</v>
      </c>
      <c r="B102" t="s">
        <v>1710</v>
      </c>
      <c r="C102" t="s">
        <v>1780</v>
      </c>
      <c r="D102">
        <f t="shared" si="107"/>
        <v>0</v>
      </c>
      <c r="E102">
        <f t="shared" si="107"/>
        <v>0</v>
      </c>
      <c r="F102">
        <f t="shared" si="107"/>
        <v>0</v>
      </c>
      <c r="G102">
        <f t="shared" si="107"/>
        <v>0</v>
      </c>
      <c r="H102">
        <f t="shared" si="107"/>
        <v>0</v>
      </c>
      <c r="I102">
        <f t="shared" si="107"/>
        <v>0</v>
      </c>
      <c r="J102">
        <f t="shared" si="107"/>
        <v>0</v>
      </c>
      <c r="K102">
        <f t="shared" si="107"/>
        <v>0</v>
      </c>
      <c r="L102">
        <f t="shared" si="107"/>
        <v>0</v>
      </c>
      <c r="M102">
        <f t="shared" si="107"/>
        <v>0</v>
      </c>
      <c r="N102" s="2">
        <f t="shared" ref="N102:AV102" si="112">IFERROR(IF($M102-$D102&gt;=0,($M102-$D102)/COUNT($E$1:$M$1)+M102,$F455*$E455^N$1),0)</f>
        <v>0</v>
      </c>
      <c r="O102" s="2">
        <f t="shared" si="112"/>
        <v>0</v>
      </c>
      <c r="P102" s="2">
        <f t="shared" si="112"/>
        <v>0</v>
      </c>
      <c r="Q102" s="2">
        <f t="shared" si="112"/>
        <v>0</v>
      </c>
      <c r="R102" s="2">
        <f t="shared" si="112"/>
        <v>0</v>
      </c>
      <c r="S102" s="2">
        <f t="shared" si="112"/>
        <v>0</v>
      </c>
      <c r="T102" s="2">
        <f t="shared" si="112"/>
        <v>0</v>
      </c>
      <c r="U102" s="2">
        <f t="shared" si="112"/>
        <v>0</v>
      </c>
      <c r="V102" s="2">
        <f t="shared" si="112"/>
        <v>0</v>
      </c>
      <c r="W102" s="2">
        <f t="shared" si="112"/>
        <v>0</v>
      </c>
      <c r="X102" s="2">
        <f t="shared" si="112"/>
        <v>0</v>
      </c>
      <c r="Y102" s="2">
        <f t="shared" si="112"/>
        <v>0</v>
      </c>
      <c r="Z102" s="2">
        <f t="shared" si="112"/>
        <v>0</v>
      </c>
      <c r="AA102" s="2">
        <f t="shared" si="112"/>
        <v>0</v>
      </c>
      <c r="AB102" s="2">
        <f t="shared" si="112"/>
        <v>0</v>
      </c>
      <c r="AC102" s="2">
        <f t="shared" si="112"/>
        <v>0</v>
      </c>
      <c r="AD102" s="2">
        <f t="shared" si="112"/>
        <v>0</v>
      </c>
      <c r="AE102" s="2">
        <f t="shared" si="112"/>
        <v>0</v>
      </c>
      <c r="AF102" s="2">
        <f t="shared" si="112"/>
        <v>0</v>
      </c>
      <c r="AG102" s="2">
        <f t="shared" si="112"/>
        <v>0</v>
      </c>
      <c r="AH102" s="2">
        <f t="shared" si="112"/>
        <v>0</v>
      </c>
      <c r="AI102" s="2">
        <f t="shared" si="112"/>
        <v>0</v>
      </c>
      <c r="AJ102" s="2">
        <f t="shared" si="112"/>
        <v>0</v>
      </c>
      <c r="AK102" s="2">
        <f t="shared" si="112"/>
        <v>0</v>
      </c>
      <c r="AL102" s="2">
        <f t="shared" si="112"/>
        <v>0</v>
      </c>
      <c r="AM102" s="2">
        <f t="shared" si="112"/>
        <v>0</v>
      </c>
      <c r="AN102" s="2">
        <f t="shared" si="112"/>
        <v>0</v>
      </c>
      <c r="AO102" s="2">
        <f t="shared" si="112"/>
        <v>0</v>
      </c>
      <c r="AP102" s="2">
        <f t="shared" si="112"/>
        <v>0</v>
      </c>
      <c r="AQ102" s="2">
        <f t="shared" si="112"/>
        <v>0</v>
      </c>
      <c r="AR102" s="2">
        <f t="shared" si="112"/>
        <v>0</v>
      </c>
      <c r="AS102" s="2">
        <f t="shared" si="112"/>
        <v>0</v>
      </c>
      <c r="AT102" s="2">
        <f t="shared" si="112"/>
        <v>0</v>
      </c>
      <c r="AU102" s="2">
        <f t="shared" si="112"/>
        <v>0</v>
      </c>
      <c r="AV102" s="2">
        <f t="shared" si="112"/>
        <v>0</v>
      </c>
    </row>
    <row r="103" spans="1:48" x14ac:dyDescent="0.25">
      <c r="A103" s="354" t="s">
        <v>1693</v>
      </c>
      <c r="B103" t="s">
        <v>1710</v>
      </c>
      <c r="C103" t="s">
        <v>1780</v>
      </c>
      <c r="D103">
        <f t="shared" si="107"/>
        <v>0</v>
      </c>
      <c r="E103">
        <f t="shared" si="107"/>
        <v>0</v>
      </c>
      <c r="F103">
        <f t="shared" si="107"/>
        <v>0</v>
      </c>
      <c r="G103">
        <f t="shared" si="107"/>
        <v>0</v>
      </c>
      <c r="H103">
        <f t="shared" si="107"/>
        <v>0</v>
      </c>
      <c r="I103">
        <f t="shared" si="107"/>
        <v>0</v>
      </c>
      <c r="J103">
        <f t="shared" si="107"/>
        <v>0</v>
      </c>
      <c r="K103">
        <f t="shared" si="107"/>
        <v>0</v>
      </c>
      <c r="L103">
        <f t="shared" si="107"/>
        <v>0</v>
      </c>
      <c r="M103">
        <f t="shared" si="107"/>
        <v>0</v>
      </c>
      <c r="N103" s="2">
        <f t="shared" ref="N103:AV103" si="113">IFERROR(IF($M103-$D103&gt;=0,($M103-$D103)/COUNT($E$1:$M$1)+M103,$F456*$E456^N$1),0)</f>
        <v>0</v>
      </c>
      <c r="O103" s="2">
        <f t="shared" si="113"/>
        <v>0</v>
      </c>
      <c r="P103" s="2">
        <f t="shared" si="113"/>
        <v>0</v>
      </c>
      <c r="Q103" s="2">
        <f t="shared" si="113"/>
        <v>0</v>
      </c>
      <c r="R103" s="2">
        <f t="shared" si="113"/>
        <v>0</v>
      </c>
      <c r="S103" s="2">
        <f t="shared" si="113"/>
        <v>0</v>
      </c>
      <c r="T103" s="2">
        <f t="shared" si="113"/>
        <v>0</v>
      </c>
      <c r="U103" s="2">
        <f t="shared" si="113"/>
        <v>0</v>
      </c>
      <c r="V103" s="2">
        <f t="shared" si="113"/>
        <v>0</v>
      </c>
      <c r="W103" s="2">
        <f t="shared" si="113"/>
        <v>0</v>
      </c>
      <c r="X103" s="2">
        <f t="shared" si="113"/>
        <v>0</v>
      </c>
      <c r="Y103" s="2">
        <f t="shared" si="113"/>
        <v>0</v>
      </c>
      <c r="Z103" s="2">
        <f t="shared" si="113"/>
        <v>0</v>
      </c>
      <c r="AA103" s="2">
        <f t="shared" si="113"/>
        <v>0</v>
      </c>
      <c r="AB103" s="2">
        <f t="shared" si="113"/>
        <v>0</v>
      </c>
      <c r="AC103" s="2">
        <f t="shared" si="113"/>
        <v>0</v>
      </c>
      <c r="AD103" s="2">
        <f t="shared" si="113"/>
        <v>0</v>
      </c>
      <c r="AE103" s="2">
        <f t="shared" si="113"/>
        <v>0</v>
      </c>
      <c r="AF103" s="2">
        <f t="shared" si="113"/>
        <v>0</v>
      </c>
      <c r="AG103" s="2">
        <f t="shared" si="113"/>
        <v>0</v>
      </c>
      <c r="AH103" s="2">
        <f t="shared" si="113"/>
        <v>0</v>
      </c>
      <c r="AI103" s="2">
        <f t="shared" si="113"/>
        <v>0</v>
      </c>
      <c r="AJ103" s="2">
        <f t="shared" si="113"/>
        <v>0</v>
      </c>
      <c r="AK103" s="2">
        <f t="shared" si="113"/>
        <v>0</v>
      </c>
      <c r="AL103" s="2">
        <f t="shared" si="113"/>
        <v>0</v>
      </c>
      <c r="AM103" s="2">
        <f t="shared" si="113"/>
        <v>0</v>
      </c>
      <c r="AN103" s="2">
        <f t="shared" si="113"/>
        <v>0</v>
      </c>
      <c r="AO103" s="2">
        <f t="shared" si="113"/>
        <v>0</v>
      </c>
      <c r="AP103" s="2">
        <f t="shared" si="113"/>
        <v>0</v>
      </c>
      <c r="AQ103" s="2">
        <f t="shared" si="113"/>
        <v>0</v>
      </c>
      <c r="AR103" s="2">
        <f t="shared" si="113"/>
        <v>0</v>
      </c>
      <c r="AS103" s="2">
        <f t="shared" si="113"/>
        <v>0</v>
      </c>
      <c r="AT103" s="2">
        <f t="shared" si="113"/>
        <v>0</v>
      </c>
      <c r="AU103" s="2">
        <f t="shared" si="113"/>
        <v>0</v>
      </c>
      <c r="AV103" s="2">
        <f t="shared" si="113"/>
        <v>0</v>
      </c>
    </row>
    <row r="104" spans="1:48" x14ac:dyDescent="0.25">
      <c r="A104" s="354" t="s">
        <v>1694</v>
      </c>
      <c r="B104" t="s">
        <v>273</v>
      </c>
      <c r="C104" t="s">
        <v>1780</v>
      </c>
      <c r="D104">
        <f t="shared" si="107"/>
        <v>0</v>
      </c>
      <c r="E104">
        <f t="shared" si="107"/>
        <v>0</v>
      </c>
      <c r="F104">
        <f t="shared" si="107"/>
        <v>0</v>
      </c>
      <c r="G104">
        <f t="shared" si="107"/>
        <v>0</v>
      </c>
      <c r="H104">
        <f t="shared" si="107"/>
        <v>0</v>
      </c>
      <c r="I104">
        <f t="shared" si="107"/>
        <v>0</v>
      </c>
      <c r="J104">
        <f t="shared" si="107"/>
        <v>0</v>
      </c>
      <c r="K104">
        <f t="shared" si="107"/>
        <v>0</v>
      </c>
      <c r="L104">
        <f t="shared" si="107"/>
        <v>0</v>
      </c>
      <c r="M104">
        <f t="shared" si="107"/>
        <v>0</v>
      </c>
      <c r="N104" s="2">
        <f t="shared" ref="N104:AV104" si="114">IFERROR(IF($M104-$D104&gt;=0,($M104-$D104)/COUNT($E$1:$M$1)+M104,$F457*$E457^N$1),0)</f>
        <v>0</v>
      </c>
      <c r="O104" s="2">
        <f t="shared" si="114"/>
        <v>0</v>
      </c>
      <c r="P104" s="2">
        <f t="shared" si="114"/>
        <v>0</v>
      </c>
      <c r="Q104" s="2">
        <f t="shared" si="114"/>
        <v>0</v>
      </c>
      <c r="R104" s="2">
        <f t="shared" si="114"/>
        <v>0</v>
      </c>
      <c r="S104" s="2">
        <f t="shared" si="114"/>
        <v>0</v>
      </c>
      <c r="T104" s="2">
        <f t="shared" si="114"/>
        <v>0</v>
      </c>
      <c r="U104" s="2">
        <f t="shared" si="114"/>
        <v>0</v>
      </c>
      <c r="V104" s="2">
        <f t="shared" si="114"/>
        <v>0</v>
      </c>
      <c r="W104" s="2">
        <f t="shared" si="114"/>
        <v>0</v>
      </c>
      <c r="X104" s="2">
        <f t="shared" si="114"/>
        <v>0</v>
      </c>
      <c r="Y104" s="2">
        <f t="shared" si="114"/>
        <v>0</v>
      </c>
      <c r="Z104" s="2">
        <f t="shared" si="114"/>
        <v>0</v>
      </c>
      <c r="AA104" s="2">
        <f t="shared" si="114"/>
        <v>0</v>
      </c>
      <c r="AB104" s="2">
        <f t="shared" si="114"/>
        <v>0</v>
      </c>
      <c r="AC104" s="2">
        <f t="shared" si="114"/>
        <v>0</v>
      </c>
      <c r="AD104" s="2">
        <f t="shared" si="114"/>
        <v>0</v>
      </c>
      <c r="AE104" s="2">
        <f t="shared" si="114"/>
        <v>0</v>
      </c>
      <c r="AF104" s="2">
        <f t="shared" si="114"/>
        <v>0</v>
      </c>
      <c r="AG104" s="2">
        <f t="shared" si="114"/>
        <v>0</v>
      </c>
      <c r="AH104" s="2">
        <f t="shared" si="114"/>
        <v>0</v>
      </c>
      <c r="AI104" s="2">
        <f t="shared" si="114"/>
        <v>0</v>
      </c>
      <c r="AJ104" s="2">
        <f t="shared" si="114"/>
        <v>0</v>
      </c>
      <c r="AK104" s="2">
        <f t="shared" si="114"/>
        <v>0</v>
      </c>
      <c r="AL104" s="2">
        <f t="shared" si="114"/>
        <v>0</v>
      </c>
      <c r="AM104" s="2">
        <f t="shared" si="114"/>
        <v>0</v>
      </c>
      <c r="AN104" s="2">
        <f t="shared" si="114"/>
        <v>0</v>
      </c>
      <c r="AO104" s="2">
        <f t="shared" si="114"/>
        <v>0</v>
      </c>
      <c r="AP104" s="2">
        <f t="shared" si="114"/>
        <v>0</v>
      </c>
      <c r="AQ104" s="2">
        <f t="shared" si="114"/>
        <v>0</v>
      </c>
      <c r="AR104" s="2">
        <f t="shared" si="114"/>
        <v>0</v>
      </c>
      <c r="AS104" s="2">
        <f t="shared" si="114"/>
        <v>0</v>
      </c>
      <c r="AT104" s="2">
        <f t="shared" si="114"/>
        <v>0</v>
      </c>
      <c r="AU104" s="2">
        <f t="shared" si="114"/>
        <v>0</v>
      </c>
      <c r="AV104" s="2">
        <f t="shared" si="114"/>
        <v>0</v>
      </c>
    </row>
    <row r="105" spans="1:48" x14ac:dyDescent="0.25">
      <c r="A105" s="355" t="s">
        <v>1977</v>
      </c>
      <c r="B105" t="s">
        <v>469</v>
      </c>
      <c r="C105" t="s">
        <v>1780</v>
      </c>
      <c r="D105">
        <f t="shared" si="107"/>
        <v>0</v>
      </c>
      <c r="E105">
        <f t="shared" si="107"/>
        <v>0</v>
      </c>
      <c r="F105">
        <f t="shared" si="107"/>
        <v>0</v>
      </c>
      <c r="G105">
        <f t="shared" si="107"/>
        <v>0</v>
      </c>
      <c r="H105">
        <f t="shared" si="107"/>
        <v>0</v>
      </c>
      <c r="I105">
        <f t="shared" si="107"/>
        <v>0</v>
      </c>
      <c r="J105">
        <f t="shared" si="107"/>
        <v>0</v>
      </c>
      <c r="K105">
        <f t="shared" si="107"/>
        <v>0</v>
      </c>
      <c r="L105">
        <f t="shared" si="107"/>
        <v>0</v>
      </c>
      <c r="M105">
        <f t="shared" si="107"/>
        <v>0</v>
      </c>
      <c r="N105" s="2">
        <f t="shared" ref="N105:AV105" si="115">IFERROR(IF($M105-$D105&gt;=0,($M105-$D105)/COUNT($E$1:$M$1)+M105,$F458*$E458^N$1),0)</f>
        <v>0</v>
      </c>
      <c r="O105" s="2">
        <f t="shared" si="115"/>
        <v>0</v>
      </c>
      <c r="P105" s="2">
        <f t="shared" si="115"/>
        <v>0</v>
      </c>
      <c r="Q105" s="2">
        <f t="shared" si="115"/>
        <v>0</v>
      </c>
      <c r="R105" s="2">
        <f t="shared" si="115"/>
        <v>0</v>
      </c>
      <c r="S105" s="2">
        <f t="shared" si="115"/>
        <v>0</v>
      </c>
      <c r="T105" s="2">
        <f t="shared" si="115"/>
        <v>0</v>
      </c>
      <c r="U105" s="2">
        <f t="shared" si="115"/>
        <v>0</v>
      </c>
      <c r="V105" s="2">
        <f t="shared" si="115"/>
        <v>0</v>
      </c>
      <c r="W105" s="2">
        <f t="shared" si="115"/>
        <v>0</v>
      </c>
      <c r="X105" s="2">
        <f t="shared" si="115"/>
        <v>0</v>
      </c>
      <c r="Y105" s="2">
        <f t="shared" si="115"/>
        <v>0</v>
      </c>
      <c r="Z105" s="2">
        <f t="shared" si="115"/>
        <v>0</v>
      </c>
      <c r="AA105" s="2">
        <f t="shared" si="115"/>
        <v>0</v>
      </c>
      <c r="AB105" s="2">
        <f t="shared" si="115"/>
        <v>0</v>
      </c>
      <c r="AC105" s="2">
        <f t="shared" si="115"/>
        <v>0</v>
      </c>
      <c r="AD105" s="2">
        <f t="shared" si="115"/>
        <v>0</v>
      </c>
      <c r="AE105" s="2">
        <f t="shared" si="115"/>
        <v>0</v>
      </c>
      <c r="AF105" s="2">
        <f t="shared" si="115"/>
        <v>0</v>
      </c>
      <c r="AG105" s="2">
        <f t="shared" si="115"/>
        <v>0</v>
      </c>
      <c r="AH105" s="2">
        <f t="shared" si="115"/>
        <v>0</v>
      </c>
      <c r="AI105" s="2">
        <f t="shared" si="115"/>
        <v>0</v>
      </c>
      <c r="AJ105" s="2">
        <f t="shared" si="115"/>
        <v>0</v>
      </c>
      <c r="AK105" s="2">
        <f t="shared" si="115"/>
        <v>0</v>
      </c>
      <c r="AL105" s="2">
        <f t="shared" si="115"/>
        <v>0</v>
      </c>
      <c r="AM105" s="2">
        <f t="shared" si="115"/>
        <v>0</v>
      </c>
      <c r="AN105" s="2">
        <f t="shared" si="115"/>
        <v>0</v>
      </c>
      <c r="AO105" s="2">
        <f t="shared" si="115"/>
        <v>0</v>
      </c>
      <c r="AP105" s="2">
        <f t="shared" si="115"/>
        <v>0</v>
      </c>
      <c r="AQ105" s="2">
        <f t="shared" si="115"/>
        <v>0</v>
      </c>
      <c r="AR105" s="2">
        <f t="shared" si="115"/>
        <v>0</v>
      </c>
      <c r="AS105" s="2">
        <f t="shared" si="115"/>
        <v>0</v>
      </c>
      <c r="AT105" s="2">
        <f t="shared" si="115"/>
        <v>0</v>
      </c>
      <c r="AU105" s="2">
        <f t="shared" si="115"/>
        <v>0</v>
      </c>
      <c r="AV105" s="2">
        <f t="shared" si="115"/>
        <v>0</v>
      </c>
    </row>
    <row r="106" spans="1:48" x14ac:dyDescent="0.25">
      <c r="A106" s="354" t="s">
        <v>1696</v>
      </c>
      <c r="B106" t="s">
        <v>273</v>
      </c>
      <c r="C106" t="s">
        <v>1780</v>
      </c>
      <c r="D106">
        <f t="shared" si="107"/>
        <v>0</v>
      </c>
      <c r="E106">
        <f t="shared" si="107"/>
        <v>0</v>
      </c>
      <c r="F106">
        <f t="shared" si="107"/>
        <v>0</v>
      </c>
      <c r="G106">
        <f t="shared" si="107"/>
        <v>0</v>
      </c>
      <c r="H106">
        <f t="shared" si="107"/>
        <v>0</v>
      </c>
      <c r="I106">
        <f t="shared" si="107"/>
        <v>0</v>
      </c>
      <c r="J106">
        <f t="shared" si="107"/>
        <v>0</v>
      </c>
      <c r="K106">
        <f t="shared" si="107"/>
        <v>0</v>
      </c>
      <c r="L106">
        <f t="shared" si="107"/>
        <v>0</v>
      </c>
      <c r="M106">
        <f t="shared" si="107"/>
        <v>0</v>
      </c>
      <c r="N106" s="2">
        <f t="shared" ref="N106:AV106" si="116">IFERROR(IF($M106-$D106&gt;=0,($M106-$D106)/COUNT($E$1:$M$1)+M106,$F459*$E459^N$1),0)</f>
        <v>0</v>
      </c>
      <c r="O106" s="2">
        <f t="shared" si="116"/>
        <v>0</v>
      </c>
      <c r="P106" s="2">
        <f t="shared" si="116"/>
        <v>0</v>
      </c>
      <c r="Q106" s="2">
        <f t="shared" si="116"/>
        <v>0</v>
      </c>
      <c r="R106" s="2">
        <f t="shared" si="116"/>
        <v>0</v>
      </c>
      <c r="S106" s="2">
        <f t="shared" si="116"/>
        <v>0</v>
      </c>
      <c r="T106" s="2">
        <f t="shared" si="116"/>
        <v>0</v>
      </c>
      <c r="U106" s="2">
        <f t="shared" si="116"/>
        <v>0</v>
      </c>
      <c r="V106" s="2">
        <f t="shared" si="116"/>
        <v>0</v>
      </c>
      <c r="W106" s="2">
        <f t="shared" si="116"/>
        <v>0</v>
      </c>
      <c r="X106" s="2">
        <f t="shared" si="116"/>
        <v>0</v>
      </c>
      <c r="Y106" s="2">
        <f t="shared" si="116"/>
        <v>0</v>
      </c>
      <c r="Z106" s="2">
        <f t="shared" si="116"/>
        <v>0</v>
      </c>
      <c r="AA106" s="2">
        <f t="shared" si="116"/>
        <v>0</v>
      </c>
      <c r="AB106" s="2">
        <f t="shared" si="116"/>
        <v>0</v>
      </c>
      <c r="AC106" s="2">
        <f t="shared" si="116"/>
        <v>0</v>
      </c>
      <c r="AD106" s="2">
        <f t="shared" si="116"/>
        <v>0</v>
      </c>
      <c r="AE106" s="2">
        <f t="shared" si="116"/>
        <v>0</v>
      </c>
      <c r="AF106" s="2">
        <f t="shared" si="116"/>
        <v>0</v>
      </c>
      <c r="AG106" s="2">
        <f t="shared" si="116"/>
        <v>0</v>
      </c>
      <c r="AH106" s="2">
        <f t="shared" si="116"/>
        <v>0</v>
      </c>
      <c r="AI106" s="2">
        <f t="shared" si="116"/>
        <v>0</v>
      </c>
      <c r="AJ106" s="2">
        <f t="shared" si="116"/>
        <v>0</v>
      </c>
      <c r="AK106" s="2">
        <f t="shared" si="116"/>
        <v>0</v>
      </c>
      <c r="AL106" s="2">
        <f t="shared" si="116"/>
        <v>0</v>
      </c>
      <c r="AM106" s="2">
        <f t="shared" si="116"/>
        <v>0</v>
      </c>
      <c r="AN106" s="2">
        <f t="shared" si="116"/>
        <v>0</v>
      </c>
      <c r="AO106" s="2">
        <f t="shared" si="116"/>
        <v>0</v>
      </c>
      <c r="AP106" s="2">
        <f t="shared" si="116"/>
        <v>0</v>
      </c>
      <c r="AQ106" s="2">
        <f t="shared" si="116"/>
        <v>0</v>
      </c>
      <c r="AR106" s="2">
        <f t="shared" si="116"/>
        <v>0</v>
      </c>
      <c r="AS106" s="2">
        <f t="shared" si="116"/>
        <v>0</v>
      </c>
      <c r="AT106" s="2">
        <f t="shared" si="116"/>
        <v>0</v>
      </c>
      <c r="AU106" s="2">
        <f t="shared" si="116"/>
        <v>0</v>
      </c>
      <c r="AV106" s="2">
        <f t="shared" si="116"/>
        <v>0</v>
      </c>
    </row>
    <row r="107" spans="1:48" x14ac:dyDescent="0.25">
      <c r="A107" s="354" t="s">
        <v>1697</v>
      </c>
      <c r="B107" t="s">
        <v>272</v>
      </c>
      <c r="C107" t="s">
        <v>1780</v>
      </c>
      <c r="D107">
        <f t="shared" si="107"/>
        <v>0</v>
      </c>
      <c r="E107">
        <f t="shared" si="107"/>
        <v>0</v>
      </c>
      <c r="F107">
        <f t="shared" si="107"/>
        <v>0</v>
      </c>
      <c r="G107">
        <f t="shared" si="107"/>
        <v>0</v>
      </c>
      <c r="H107">
        <f t="shared" si="107"/>
        <v>0</v>
      </c>
      <c r="I107">
        <f t="shared" si="107"/>
        <v>0</v>
      </c>
      <c r="J107">
        <f t="shared" si="107"/>
        <v>0</v>
      </c>
      <c r="K107">
        <f t="shared" si="107"/>
        <v>0</v>
      </c>
      <c r="L107">
        <f t="shared" si="107"/>
        <v>0</v>
      </c>
      <c r="M107">
        <f t="shared" si="107"/>
        <v>0</v>
      </c>
      <c r="N107" s="2">
        <f t="shared" ref="N107:AV107" si="117">IFERROR(IF($M107-$D107&gt;=0,($M107-$D107)/COUNT($E$1:$M$1)+M107,$F460*$E460^N$1),0)</f>
        <v>0</v>
      </c>
      <c r="O107" s="2">
        <f t="shared" si="117"/>
        <v>0</v>
      </c>
      <c r="P107" s="2">
        <f t="shared" si="117"/>
        <v>0</v>
      </c>
      <c r="Q107" s="2">
        <f t="shared" si="117"/>
        <v>0</v>
      </c>
      <c r="R107" s="2">
        <f t="shared" si="117"/>
        <v>0</v>
      </c>
      <c r="S107" s="2">
        <f t="shared" si="117"/>
        <v>0</v>
      </c>
      <c r="T107" s="2">
        <f t="shared" si="117"/>
        <v>0</v>
      </c>
      <c r="U107" s="2">
        <f t="shared" si="117"/>
        <v>0</v>
      </c>
      <c r="V107" s="2">
        <f t="shared" si="117"/>
        <v>0</v>
      </c>
      <c r="W107" s="2">
        <f t="shared" si="117"/>
        <v>0</v>
      </c>
      <c r="X107" s="2">
        <f t="shared" si="117"/>
        <v>0</v>
      </c>
      <c r="Y107" s="2">
        <f t="shared" si="117"/>
        <v>0</v>
      </c>
      <c r="Z107" s="2">
        <f t="shared" si="117"/>
        <v>0</v>
      </c>
      <c r="AA107" s="2">
        <f t="shared" si="117"/>
        <v>0</v>
      </c>
      <c r="AB107" s="2">
        <f t="shared" si="117"/>
        <v>0</v>
      </c>
      <c r="AC107" s="2">
        <f t="shared" si="117"/>
        <v>0</v>
      </c>
      <c r="AD107" s="2">
        <f t="shared" si="117"/>
        <v>0</v>
      </c>
      <c r="AE107" s="2">
        <f t="shared" si="117"/>
        <v>0</v>
      </c>
      <c r="AF107" s="2">
        <f t="shared" si="117"/>
        <v>0</v>
      </c>
      <c r="AG107" s="2">
        <f t="shared" si="117"/>
        <v>0</v>
      </c>
      <c r="AH107" s="2">
        <f t="shared" si="117"/>
        <v>0</v>
      </c>
      <c r="AI107" s="2">
        <f t="shared" si="117"/>
        <v>0</v>
      </c>
      <c r="AJ107" s="2">
        <f t="shared" si="117"/>
        <v>0</v>
      </c>
      <c r="AK107" s="2">
        <f t="shared" si="117"/>
        <v>0</v>
      </c>
      <c r="AL107" s="2">
        <f t="shared" si="117"/>
        <v>0</v>
      </c>
      <c r="AM107" s="2">
        <f t="shared" si="117"/>
        <v>0</v>
      </c>
      <c r="AN107" s="2">
        <f t="shared" si="117"/>
        <v>0</v>
      </c>
      <c r="AO107" s="2">
        <f t="shared" si="117"/>
        <v>0</v>
      </c>
      <c r="AP107" s="2">
        <f t="shared" si="117"/>
        <v>0</v>
      </c>
      <c r="AQ107" s="2">
        <f t="shared" si="117"/>
        <v>0</v>
      </c>
      <c r="AR107" s="2">
        <f t="shared" si="117"/>
        <v>0</v>
      </c>
      <c r="AS107" s="2">
        <f t="shared" si="117"/>
        <v>0</v>
      </c>
      <c r="AT107" s="2">
        <f t="shared" si="117"/>
        <v>0</v>
      </c>
      <c r="AU107" s="2">
        <f t="shared" si="117"/>
        <v>0</v>
      </c>
      <c r="AV107" s="2">
        <f t="shared" si="117"/>
        <v>0</v>
      </c>
    </row>
    <row r="108" spans="1:48" x14ac:dyDescent="0.25">
      <c r="A108" s="354" t="s">
        <v>1698</v>
      </c>
      <c r="B108" t="s">
        <v>469</v>
      </c>
      <c r="C108" t="s">
        <v>1780</v>
      </c>
      <c r="D108">
        <f t="shared" ref="D108:M116" si="118">IFERROR(INDEX($B$250:$AA$252,MATCH($A108,$A$250:$A$252,0),MATCH(D$1,$B$175:$AA$175,0)),0)</f>
        <v>0</v>
      </c>
      <c r="E108">
        <f t="shared" si="118"/>
        <v>0</v>
      </c>
      <c r="F108">
        <f t="shared" si="118"/>
        <v>0</v>
      </c>
      <c r="G108">
        <f t="shared" si="118"/>
        <v>0</v>
      </c>
      <c r="H108">
        <f t="shared" si="118"/>
        <v>0</v>
      </c>
      <c r="I108">
        <f t="shared" si="118"/>
        <v>0</v>
      </c>
      <c r="J108">
        <f t="shared" si="118"/>
        <v>0</v>
      </c>
      <c r="K108">
        <f t="shared" si="118"/>
        <v>0</v>
      </c>
      <c r="L108">
        <f t="shared" si="118"/>
        <v>0</v>
      </c>
      <c r="M108">
        <f t="shared" si="118"/>
        <v>0</v>
      </c>
      <c r="N108" s="2">
        <f t="shared" ref="N108:AV108" si="119">IFERROR(IF($M108-$D108&gt;=0,($M108-$D108)/COUNT($E$1:$M$1)+M108,$F461*$E461^N$1),0)</f>
        <v>0</v>
      </c>
      <c r="O108" s="2">
        <f t="shared" si="119"/>
        <v>0</v>
      </c>
      <c r="P108" s="2">
        <f t="shared" si="119"/>
        <v>0</v>
      </c>
      <c r="Q108" s="2">
        <f t="shared" si="119"/>
        <v>0</v>
      </c>
      <c r="R108" s="2">
        <f t="shared" si="119"/>
        <v>0</v>
      </c>
      <c r="S108" s="2">
        <f t="shared" si="119"/>
        <v>0</v>
      </c>
      <c r="T108" s="2">
        <f t="shared" si="119"/>
        <v>0</v>
      </c>
      <c r="U108" s="2">
        <f t="shared" si="119"/>
        <v>0</v>
      </c>
      <c r="V108" s="2">
        <f t="shared" si="119"/>
        <v>0</v>
      </c>
      <c r="W108" s="2">
        <f t="shared" si="119"/>
        <v>0</v>
      </c>
      <c r="X108" s="2">
        <f t="shared" si="119"/>
        <v>0</v>
      </c>
      <c r="Y108" s="2">
        <f t="shared" si="119"/>
        <v>0</v>
      </c>
      <c r="Z108" s="2">
        <f t="shared" si="119"/>
        <v>0</v>
      </c>
      <c r="AA108" s="2">
        <f t="shared" si="119"/>
        <v>0</v>
      </c>
      <c r="AB108" s="2">
        <f t="shared" si="119"/>
        <v>0</v>
      </c>
      <c r="AC108" s="2">
        <f t="shared" si="119"/>
        <v>0</v>
      </c>
      <c r="AD108" s="2">
        <f t="shared" si="119"/>
        <v>0</v>
      </c>
      <c r="AE108" s="2">
        <f t="shared" si="119"/>
        <v>0</v>
      </c>
      <c r="AF108" s="2">
        <f t="shared" si="119"/>
        <v>0</v>
      </c>
      <c r="AG108" s="2">
        <f t="shared" si="119"/>
        <v>0</v>
      </c>
      <c r="AH108" s="2">
        <f t="shared" si="119"/>
        <v>0</v>
      </c>
      <c r="AI108" s="2">
        <f t="shared" si="119"/>
        <v>0</v>
      </c>
      <c r="AJ108" s="2">
        <f t="shared" si="119"/>
        <v>0</v>
      </c>
      <c r="AK108" s="2">
        <f t="shared" si="119"/>
        <v>0</v>
      </c>
      <c r="AL108" s="2">
        <f t="shared" si="119"/>
        <v>0</v>
      </c>
      <c r="AM108" s="2">
        <f t="shared" si="119"/>
        <v>0</v>
      </c>
      <c r="AN108" s="2">
        <f t="shared" si="119"/>
        <v>0</v>
      </c>
      <c r="AO108" s="2">
        <f t="shared" si="119"/>
        <v>0</v>
      </c>
      <c r="AP108" s="2">
        <f t="shared" si="119"/>
        <v>0</v>
      </c>
      <c r="AQ108" s="2">
        <f t="shared" si="119"/>
        <v>0</v>
      </c>
      <c r="AR108" s="2">
        <f t="shared" si="119"/>
        <v>0</v>
      </c>
      <c r="AS108" s="2">
        <f t="shared" si="119"/>
        <v>0</v>
      </c>
      <c r="AT108" s="2">
        <f t="shared" si="119"/>
        <v>0</v>
      </c>
      <c r="AU108" s="2">
        <f t="shared" si="119"/>
        <v>0</v>
      </c>
      <c r="AV108" s="2">
        <f t="shared" si="119"/>
        <v>0</v>
      </c>
    </row>
    <row r="109" spans="1:48" x14ac:dyDescent="0.25">
      <c r="A109" s="354" t="s">
        <v>1699</v>
      </c>
      <c r="B109" t="s">
        <v>469</v>
      </c>
      <c r="C109" t="s">
        <v>1780</v>
      </c>
      <c r="D109">
        <f t="shared" si="118"/>
        <v>0</v>
      </c>
      <c r="E109">
        <f t="shared" si="118"/>
        <v>0</v>
      </c>
      <c r="F109">
        <f t="shared" si="118"/>
        <v>0</v>
      </c>
      <c r="G109">
        <f t="shared" si="118"/>
        <v>0</v>
      </c>
      <c r="H109">
        <f t="shared" si="118"/>
        <v>0</v>
      </c>
      <c r="I109">
        <f t="shared" si="118"/>
        <v>0</v>
      </c>
      <c r="J109">
        <f t="shared" si="118"/>
        <v>0</v>
      </c>
      <c r="K109">
        <f t="shared" si="118"/>
        <v>0</v>
      </c>
      <c r="L109">
        <f t="shared" si="118"/>
        <v>0</v>
      </c>
      <c r="M109">
        <f t="shared" si="118"/>
        <v>0</v>
      </c>
      <c r="N109" s="2">
        <f t="shared" ref="N109:AV109" si="120">IFERROR(IF($M109-$D109&gt;=0,($M109-$D109)/COUNT($E$1:$M$1)+M109,$F462*$E462^N$1),0)</f>
        <v>0</v>
      </c>
      <c r="O109" s="2">
        <f t="shared" si="120"/>
        <v>0</v>
      </c>
      <c r="P109" s="2">
        <f t="shared" si="120"/>
        <v>0</v>
      </c>
      <c r="Q109" s="2">
        <f t="shared" si="120"/>
        <v>0</v>
      </c>
      <c r="R109" s="2">
        <f t="shared" si="120"/>
        <v>0</v>
      </c>
      <c r="S109" s="2">
        <f t="shared" si="120"/>
        <v>0</v>
      </c>
      <c r="T109" s="2">
        <f t="shared" si="120"/>
        <v>0</v>
      </c>
      <c r="U109" s="2">
        <f t="shared" si="120"/>
        <v>0</v>
      </c>
      <c r="V109" s="2">
        <f t="shared" si="120"/>
        <v>0</v>
      </c>
      <c r="W109" s="2">
        <f t="shared" si="120"/>
        <v>0</v>
      </c>
      <c r="X109" s="2">
        <f t="shared" si="120"/>
        <v>0</v>
      </c>
      <c r="Y109" s="2">
        <f t="shared" si="120"/>
        <v>0</v>
      </c>
      <c r="Z109" s="2">
        <f t="shared" si="120"/>
        <v>0</v>
      </c>
      <c r="AA109" s="2">
        <f t="shared" si="120"/>
        <v>0</v>
      </c>
      <c r="AB109" s="2">
        <f t="shared" si="120"/>
        <v>0</v>
      </c>
      <c r="AC109" s="2">
        <f t="shared" si="120"/>
        <v>0</v>
      </c>
      <c r="AD109" s="2">
        <f t="shared" si="120"/>
        <v>0</v>
      </c>
      <c r="AE109" s="2">
        <f t="shared" si="120"/>
        <v>0</v>
      </c>
      <c r="AF109" s="2">
        <f t="shared" si="120"/>
        <v>0</v>
      </c>
      <c r="AG109" s="2">
        <f t="shared" si="120"/>
        <v>0</v>
      </c>
      <c r="AH109" s="2">
        <f t="shared" si="120"/>
        <v>0</v>
      </c>
      <c r="AI109" s="2">
        <f t="shared" si="120"/>
        <v>0</v>
      </c>
      <c r="AJ109" s="2">
        <f t="shared" si="120"/>
        <v>0</v>
      </c>
      <c r="AK109" s="2">
        <f t="shared" si="120"/>
        <v>0</v>
      </c>
      <c r="AL109" s="2">
        <f t="shared" si="120"/>
        <v>0</v>
      </c>
      <c r="AM109" s="2">
        <f t="shared" si="120"/>
        <v>0</v>
      </c>
      <c r="AN109" s="2">
        <f t="shared" si="120"/>
        <v>0</v>
      </c>
      <c r="AO109" s="2">
        <f t="shared" si="120"/>
        <v>0</v>
      </c>
      <c r="AP109" s="2">
        <f t="shared" si="120"/>
        <v>0</v>
      </c>
      <c r="AQ109" s="2">
        <f t="shared" si="120"/>
        <v>0</v>
      </c>
      <c r="AR109" s="2">
        <f t="shared" si="120"/>
        <v>0</v>
      </c>
      <c r="AS109" s="2">
        <f t="shared" si="120"/>
        <v>0</v>
      </c>
      <c r="AT109" s="2">
        <f t="shared" si="120"/>
        <v>0</v>
      </c>
      <c r="AU109" s="2">
        <f t="shared" si="120"/>
        <v>0</v>
      </c>
      <c r="AV109" s="2">
        <f t="shared" si="120"/>
        <v>0</v>
      </c>
    </row>
    <row r="110" spans="1:48" x14ac:dyDescent="0.25">
      <c r="A110" s="354" t="s">
        <v>1700</v>
      </c>
      <c r="B110" t="s">
        <v>469</v>
      </c>
      <c r="C110" t="s">
        <v>1780</v>
      </c>
      <c r="D110">
        <f t="shared" si="118"/>
        <v>0</v>
      </c>
      <c r="E110">
        <f t="shared" si="118"/>
        <v>0</v>
      </c>
      <c r="F110">
        <f t="shared" si="118"/>
        <v>0</v>
      </c>
      <c r="G110">
        <f t="shared" si="118"/>
        <v>0</v>
      </c>
      <c r="H110">
        <f t="shared" si="118"/>
        <v>0</v>
      </c>
      <c r="I110">
        <f t="shared" si="118"/>
        <v>0</v>
      </c>
      <c r="J110">
        <f t="shared" si="118"/>
        <v>0</v>
      </c>
      <c r="K110">
        <f t="shared" si="118"/>
        <v>0</v>
      </c>
      <c r="L110">
        <f t="shared" si="118"/>
        <v>0</v>
      </c>
      <c r="M110">
        <f t="shared" si="118"/>
        <v>0</v>
      </c>
      <c r="N110" s="2">
        <f t="shared" ref="N110:AV110" si="121">IFERROR(IF($M110-$D110&gt;=0,($M110-$D110)/COUNT($E$1:$M$1)+M110,$F463*$E463^N$1),0)</f>
        <v>0</v>
      </c>
      <c r="O110" s="2">
        <f t="shared" si="121"/>
        <v>0</v>
      </c>
      <c r="P110" s="2">
        <f t="shared" si="121"/>
        <v>0</v>
      </c>
      <c r="Q110" s="2">
        <f t="shared" si="121"/>
        <v>0</v>
      </c>
      <c r="R110" s="2">
        <f t="shared" si="121"/>
        <v>0</v>
      </c>
      <c r="S110" s="2">
        <f t="shared" si="121"/>
        <v>0</v>
      </c>
      <c r="T110" s="2">
        <f t="shared" si="121"/>
        <v>0</v>
      </c>
      <c r="U110" s="2">
        <f t="shared" si="121"/>
        <v>0</v>
      </c>
      <c r="V110" s="2">
        <f t="shared" si="121"/>
        <v>0</v>
      </c>
      <c r="W110" s="2">
        <f t="shared" si="121"/>
        <v>0</v>
      </c>
      <c r="X110" s="2">
        <f t="shared" si="121"/>
        <v>0</v>
      </c>
      <c r="Y110" s="2">
        <f t="shared" si="121"/>
        <v>0</v>
      </c>
      <c r="Z110" s="2">
        <f t="shared" si="121"/>
        <v>0</v>
      </c>
      <c r="AA110" s="2">
        <f t="shared" si="121"/>
        <v>0</v>
      </c>
      <c r="AB110" s="2">
        <f t="shared" si="121"/>
        <v>0</v>
      </c>
      <c r="AC110" s="2">
        <f t="shared" si="121"/>
        <v>0</v>
      </c>
      <c r="AD110" s="2">
        <f t="shared" si="121"/>
        <v>0</v>
      </c>
      <c r="AE110" s="2">
        <f t="shared" si="121"/>
        <v>0</v>
      </c>
      <c r="AF110" s="2">
        <f t="shared" si="121"/>
        <v>0</v>
      </c>
      <c r="AG110" s="2">
        <f t="shared" si="121"/>
        <v>0</v>
      </c>
      <c r="AH110" s="2">
        <f t="shared" si="121"/>
        <v>0</v>
      </c>
      <c r="AI110" s="2">
        <f t="shared" si="121"/>
        <v>0</v>
      </c>
      <c r="AJ110" s="2">
        <f t="shared" si="121"/>
        <v>0</v>
      </c>
      <c r="AK110" s="2">
        <f t="shared" si="121"/>
        <v>0</v>
      </c>
      <c r="AL110" s="2">
        <f t="shared" si="121"/>
        <v>0</v>
      </c>
      <c r="AM110" s="2">
        <f t="shared" si="121"/>
        <v>0</v>
      </c>
      <c r="AN110" s="2">
        <f t="shared" si="121"/>
        <v>0</v>
      </c>
      <c r="AO110" s="2">
        <f t="shared" si="121"/>
        <v>0</v>
      </c>
      <c r="AP110" s="2">
        <f t="shared" si="121"/>
        <v>0</v>
      </c>
      <c r="AQ110" s="2">
        <f t="shared" si="121"/>
        <v>0</v>
      </c>
      <c r="AR110" s="2">
        <f t="shared" si="121"/>
        <v>0</v>
      </c>
      <c r="AS110" s="2">
        <f t="shared" si="121"/>
        <v>0</v>
      </c>
      <c r="AT110" s="2">
        <f t="shared" si="121"/>
        <v>0</v>
      </c>
      <c r="AU110" s="2">
        <f t="shared" si="121"/>
        <v>0</v>
      </c>
      <c r="AV110" s="2">
        <f t="shared" si="121"/>
        <v>0</v>
      </c>
    </row>
    <row r="111" spans="1:48" x14ac:dyDescent="0.25">
      <c r="A111" s="354" t="s">
        <v>1701</v>
      </c>
      <c r="B111" t="s">
        <v>273</v>
      </c>
      <c r="C111" t="s">
        <v>1780</v>
      </c>
      <c r="D111">
        <f t="shared" si="118"/>
        <v>0</v>
      </c>
      <c r="E111">
        <f t="shared" si="118"/>
        <v>0</v>
      </c>
      <c r="F111">
        <f t="shared" si="118"/>
        <v>0</v>
      </c>
      <c r="G111">
        <f t="shared" si="118"/>
        <v>0</v>
      </c>
      <c r="H111">
        <f t="shared" si="118"/>
        <v>0</v>
      </c>
      <c r="I111">
        <f t="shared" si="118"/>
        <v>0</v>
      </c>
      <c r="J111">
        <f t="shared" si="118"/>
        <v>0</v>
      </c>
      <c r="K111">
        <f t="shared" si="118"/>
        <v>0</v>
      </c>
      <c r="L111">
        <f t="shared" si="118"/>
        <v>0</v>
      </c>
      <c r="M111">
        <f t="shared" si="118"/>
        <v>0</v>
      </c>
      <c r="N111" s="2">
        <f t="shared" ref="N111:AV111" si="122">IFERROR(IF($M111-$D111&gt;=0,($M111-$D111)/COUNT($E$1:$M$1)+M111,$F464*$E464^N$1),0)</f>
        <v>0</v>
      </c>
      <c r="O111" s="2">
        <f t="shared" si="122"/>
        <v>0</v>
      </c>
      <c r="P111" s="2">
        <f t="shared" si="122"/>
        <v>0</v>
      </c>
      <c r="Q111" s="2">
        <f t="shared" si="122"/>
        <v>0</v>
      </c>
      <c r="R111" s="2">
        <f t="shared" si="122"/>
        <v>0</v>
      </c>
      <c r="S111" s="2">
        <f t="shared" si="122"/>
        <v>0</v>
      </c>
      <c r="T111" s="2">
        <f t="shared" si="122"/>
        <v>0</v>
      </c>
      <c r="U111" s="2">
        <f t="shared" si="122"/>
        <v>0</v>
      </c>
      <c r="V111" s="2">
        <f t="shared" si="122"/>
        <v>0</v>
      </c>
      <c r="W111" s="2">
        <f t="shared" si="122"/>
        <v>0</v>
      </c>
      <c r="X111" s="2">
        <f t="shared" si="122"/>
        <v>0</v>
      </c>
      <c r="Y111" s="2">
        <f t="shared" si="122"/>
        <v>0</v>
      </c>
      <c r="Z111" s="2">
        <f t="shared" si="122"/>
        <v>0</v>
      </c>
      <c r="AA111" s="2">
        <f t="shared" si="122"/>
        <v>0</v>
      </c>
      <c r="AB111" s="2">
        <f t="shared" si="122"/>
        <v>0</v>
      </c>
      <c r="AC111" s="2">
        <f t="shared" si="122"/>
        <v>0</v>
      </c>
      <c r="AD111" s="2">
        <f t="shared" si="122"/>
        <v>0</v>
      </c>
      <c r="AE111" s="2">
        <f t="shared" si="122"/>
        <v>0</v>
      </c>
      <c r="AF111" s="2">
        <f t="shared" si="122"/>
        <v>0</v>
      </c>
      <c r="AG111" s="2">
        <f t="shared" si="122"/>
        <v>0</v>
      </c>
      <c r="AH111" s="2">
        <f t="shared" si="122"/>
        <v>0</v>
      </c>
      <c r="AI111" s="2">
        <f t="shared" si="122"/>
        <v>0</v>
      </c>
      <c r="AJ111" s="2">
        <f t="shared" si="122"/>
        <v>0</v>
      </c>
      <c r="AK111" s="2">
        <f t="shared" si="122"/>
        <v>0</v>
      </c>
      <c r="AL111" s="2">
        <f t="shared" si="122"/>
        <v>0</v>
      </c>
      <c r="AM111" s="2">
        <f t="shared" si="122"/>
        <v>0</v>
      </c>
      <c r="AN111" s="2">
        <f t="shared" si="122"/>
        <v>0</v>
      </c>
      <c r="AO111" s="2">
        <f t="shared" si="122"/>
        <v>0</v>
      </c>
      <c r="AP111" s="2">
        <f t="shared" si="122"/>
        <v>0</v>
      </c>
      <c r="AQ111" s="2">
        <f t="shared" si="122"/>
        <v>0</v>
      </c>
      <c r="AR111" s="2">
        <f t="shared" si="122"/>
        <v>0</v>
      </c>
      <c r="AS111" s="2">
        <f t="shared" si="122"/>
        <v>0</v>
      </c>
      <c r="AT111" s="2">
        <f t="shared" si="122"/>
        <v>0</v>
      </c>
      <c r="AU111" s="2">
        <f t="shared" si="122"/>
        <v>0</v>
      </c>
      <c r="AV111" s="2">
        <f t="shared" si="122"/>
        <v>0</v>
      </c>
    </row>
    <row r="112" spans="1:48" x14ac:dyDescent="0.25">
      <c r="A112" s="354" t="s">
        <v>1702</v>
      </c>
      <c r="B112" t="s">
        <v>469</v>
      </c>
      <c r="C112" t="s">
        <v>1780</v>
      </c>
      <c r="D112">
        <f t="shared" si="118"/>
        <v>0</v>
      </c>
      <c r="E112">
        <f t="shared" si="118"/>
        <v>0</v>
      </c>
      <c r="F112">
        <f t="shared" si="118"/>
        <v>0</v>
      </c>
      <c r="G112">
        <f t="shared" si="118"/>
        <v>0</v>
      </c>
      <c r="H112">
        <f t="shared" si="118"/>
        <v>0</v>
      </c>
      <c r="I112">
        <f t="shared" si="118"/>
        <v>0</v>
      </c>
      <c r="J112">
        <f t="shared" si="118"/>
        <v>0</v>
      </c>
      <c r="K112">
        <f t="shared" si="118"/>
        <v>0</v>
      </c>
      <c r="L112">
        <f t="shared" si="118"/>
        <v>0</v>
      </c>
      <c r="M112">
        <f t="shared" si="118"/>
        <v>0</v>
      </c>
      <c r="N112" s="2">
        <f t="shared" ref="N112:AV112" si="123">IFERROR(IF($M112-$D112&gt;=0,($M112-$D112)/COUNT($E$1:$M$1)+M112,$F465*$E465^N$1),0)</f>
        <v>0</v>
      </c>
      <c r="O112" s="2">
        <f t="shared" si="123"/>
        <v>0</v>
      </c>
      <c r="P112" s="2">
        <f t="shared" si="123"/>
        <v>0</v>
      </c>
      <c r="Q112" s="2">
        <f t="shared" si="123"/>
        <v>0</v>
      </c>
      <c r="R112" s="2">
        <f t="shared" si="123"/>
        <v>0</v>
      </c>
      <c r="S112" s="2">
        <f t="shared" si="123"/>
        <v>0</v>
      </c>
      <c r="T112" s="2">
        <f t="shared" si="123"/>
        <v>0</v>
      </c>
      <c r="U112" s="2">
        <f t="shared" si="123"/>
        <v>0</v>
      </c>
      <c r="V112" s="2">
        <f t="shared" si="123"/>
        <v>0</v>
      </c>
      <c r="W112" s="2">
        <f t="shared" si="123"/>
        <v>0</v>
      </c>
      <c r="X112" s="2">
        <f t="shared" si="123"/>
        <v>0</v>
      </c>
      <c r="Y112" s="2">
        <f t="shared" si="123"/>
        <v>0</v>
      </c>
      <c r="Z112" s="2">
        <f t="shared" si="123"/>
        <v>0</v>
      </c>
      <c r="AA112" s="2">
        <f t="shared" si="123"/>
        <v>0</v>
      </c>
      <c r="AB112" s="2">
        <f t="shared" si="123"/>
        <v>0</v>
      </c>
      <c r="AC112" s="2">
        <f t="shared" si="123"/>
        <v>0</v>
      </c>
      <c r="AD112" s="2">
        <f t="shared" si="123"/>
        <v>0</v>
      </c>
      <c r="AE112" s="2">
        <f t="shared" si="123"/>
        <v>0</v>
      </c>
      <c r="AF112" s="2">
        <f t="shared" si="123"/>
        <v>0</v>
      </c>
      <c r="AG112" s="2">
        <f t="shared" si="123"/>
        <v>0</v>
      </c>
      <c r="AH112" s="2">
        <f t="shared" si="123"/>
        <v>0</v>
      </c>
      <c r="AI112" s="2">
        <f t="shared" si="123"/>
        <v>0</v>
      </c>
      <c r="AJ112" s="2">
        <f t="shared" si="123"/>
        <v>0</v>
      </c>
      <c r="AK112" s="2">
        <f t="shared" si="123"/>
        <v>0</v>
      </c>
      <c r="AL112" s="2">
        <f t="shared" si="123"/>
        <v>0</v>
      </c>
      <c r="AM112" s="2">
        <f t="shared" si="123"/>
        <v>0</v>
      </c>
      <c r="AN112" s="2">
        <f t="shared" si="123"/>
        <v>0</v>
      </c>
      <c r="AO112" s="2">
        <f t="shared" si="123"/>
        <v>0</v>
      </c>
      <c r="AP112" s="2">
        <f t="shared" si="123"/>
        <v>0</v>
      </c>
      <c r="AQ112" s="2">
        <f t="shared" si="123"/>
        <v>0</v>
      </c>
      <c r="AR112" s="2">
        <f t="shared" si="123"/>
        <v>0</v>
      </c>
      <c r="AS112" s="2">
        <f t="shared" si="123"/>
        <v>0</v>
      </c>
      <c r="AT112" s="2">
        <f t="shared" si="123"/>
        <v>0</v>
      </c>
      <c r="AU112" s="2">
        <f t="shared" si="123"/>
        <v>0</v>
      </c>
      <c r="AV112" s="2">
        <f t="shared" si="123"/>
        <v>0</v>
      </c>
    </row>
    <row r="113" spans="1:48" x14ac:dyDescent="0.25">
      <c r="A113" s="354" t="s">
        <v>1703</v>
      </c>
      <c r="B113" t="s">
        <v>459</v>
      </c>
      <c r="C113" t="s">
        <v>1780</v>
      </c>
      <c r="D113">
        <f t="shared" si="118"/>
        <v>0</v>
      </c>
      <c r="E113">
        <f t="shared" si="118"/>
        <v>0</v>
      </c>
      <c r="F113">
        <f t="shared" si="118"/>
        <v>0</v>
      </c>
      <c r="G113">
        <f t="shared" si="118"/>
        <v>0</v>
      </c>
      <c r="H113">
        <f t="shared" si="118"/>
        <v>0</v>
      </c>
      <c r="I113">
        <f t="shared" si="118"/>
        <v>0</v>
      </c>
      <c r="J113">
        <f t="shared" si="118"/>
        <v>0</v>
      </c>
      <c r="K113">
        <f t="shared" si="118"/>
        <v>0</v>
      </c>
      <c r="L113">
        <f t="shared" si="118"/>
        <v>0</v>
      </c>
      <c r="M113">
        <f t="shared" si="118"/>
        <v>0</v>
      </c>
      <c r="N113" s="2">
        <f t="shared" ref="N113:AV113" si="124">IFERROR(IF($M113-$D113&gt;=0,($M113-$D113)/COUNT($E$1:$M$1)+M113,$F466*$E466^N$1),0)</f>
        <v>0</v>
      </c>
      <c r="O113" s="2">
        <f t="shared" si="124"/>
        <v>0</v>
      </c>
      <c r="P113" s="2">
        <f t="shared" si="124"/>
        <v>0</v>
      </c>
      <c r="Q113" s="2">
        <f t="shared" si="124"/>
        <v>0</v>
      </c>
      <c r="R113" s="2">
        <f t="shared" si="124"/>
        <v>0</v>
      </c>
      <c r="S113" s="2">
        <f t="shared" si="124"/>
        <v>0</v>
      </c>
      <c r="T113" s="2">
        <f t="shared" si="124"/>
        <v>0</v>
      </c>
      <c r="U113" s="2">
        <f t="shared" si="124"/>
        <v>0</v>
      </c>
      <c r="V113" s="2">
        <f t="shared" si="124"/>
        <v>0</v>
      </c>
      <c r="W113" s="2">
        <f t="shared" si="124"/>
        <v>0</v>
      </c>
      <c r="X113" s="2">
        <f t="shared" si="124"/>
        <v>0</v>
      </c>
      <c r="Y113" s="2">
        <f t="shared" si="124"/>
        <v>0</v>
      </c>
      <c r="Z113" s="2">
        <f t="shared" si="124"/>
        <v>0</v>
      </c>
      <c r="AA113" s="2">
        <f t="shared" si="124"/>
        <v>0</v>
      </c>
      <c r="AB113" s="2">
        <f t="shared" si="124"/>
        <v>0</v>
      </c>
      <c r="AC113" s="2">
        <f t="shared" si="124"/>
        <v>0</v>
      </c>
      <c r="AD113" s="2">
        <f t="shared" si="124"/>
        <v>0</v>
      </c>
      <c r="AE113" s="2">
        <f t="shared" si="124"/>
        <v>0</v>
      </c>
      <c r="AF113" s="2">
        <f t="shared" si="124"/>
        <v>0</v>
      </c>
      <c r="AG113" s="2">
        <f t="shared" si="124"/>
        <v>0</v>
      </c>
      <c r="AH113" s="2">
        <f t="shared" si="124"/>
        <v>0</v>
      </c>
      <c r="AI113" s="2">
        <f t="shared" si="124"/>
        <v>0</v>
      </c>
      <c r="AJ113" s="2">
        <f t="shared" si="124"/>
        <v>0</v>
      </c>
      <c r="AK113" s="2">
        <f t="shared" si="124"/>
        <v>0</v>
      </c>
      <c r="AL113" s="2">
        <f t="shared" si="124"/>
        <v>0</v>
      </c>
      <c r="AM113" s="2">
        <f t="shared" si="124"/>
        <v>0</v>
      </c>
      <c r="AN113" s="2">
        <f t="shared" si="124"/>
        <v>0</v>
      </c>
      <c r="AO113" s="2">
        <f t="shared" si="124"/>
        <v>0</v>
      </c>
      <c r="AP113" s="2">
        <f t="shared" si="124"/>
        <v>0</v>
      </c>
      <c r="AQ113" s="2">
        <f t="shared" si="124"/>
        <v>0</v>
      </c>
      <c r="AR113" s="2">
        <f t="shared" si="124"/>
        <v>0</v>
      </c>
      <c r="AS113" s="2">
        <f t="shared" si="124"/>
        <v>0</v>
      </c>
      <c r="AT113" s="2">
        <f t="shared" si="124"/>
        <v>0</v>
      </c>
      <c r="AU113" s="2">
        <f t="shared" si="124"/>
        <v>0</v>
      </c>
      <c r="AV113" s="2">
        <f t="shared" si="124"/>
        <v>0</v>
      </c>
    </row>
    <row r="114" spans="1:48" x14ac:dyDescent="0.25">
      <c r="A114" s="354" t="s">
        <v>1704</v>
      </c>
      <c r="B114" t="s">
        <v>463</v>
      </c>
      <c r="C114" t="s">
        <v>1780</v>
      </c>
      <c r="D114">
        <f t="shared" si="118"/>
        <v>0</v>
      </c>
      <c r="E114">
        <f t="shared" si="118"/>
        <v>0</v>
      </c>
      <c r="F114">
        <f t="shared" si="118"/>
        <v>0</v>
      </c>
      <c r="G114">
        <f t="shared" si="118"/>
        <v>0</v>
      </c>
      <c r="H114">
        <f t="shared" si="118"/>
        <v>0</v>
      </c>
      <c r="I114">
        <f t="shared" si="118"/>
        <v>0</v>
      </c>
      <c r="J114">
        <f t="shared" si="118"/>
        <v>0</v>
      </c>
      <c r="K114">
        <f t="shared" si="118"/>
        <v>0</v>
      </c>
      <c r="L114">
        <f t="shared" si="118"/>
        <v>0</v>
      </c>
      <c r="M114">
        <f t="shared" si="118"/>
        <v>0</v>
      </c>
      <c r="N114" s="2">
        <f t="shared" ref="N114:AV114" si="125">IFERROR(IF($M114-$D114&gt;=0,($M114-$D114)/COUNT($E$1:$M$1)+M114,$F467*$E467^N$1),0)</f>
        <v>0</v>
      </c>
      <c r="O114" s="2">
        <f t="shared" si="125"/>
        <v>0</v>
      </c>
      <c r="P114" s="2">
        <f t="shared" si="125"/>
        <v>0</v>
      </c>
      <c r="Q114" s="2">
        <f t="shared" si="125"/>
        <v>0</v>
      </c>
      <c r="R114" s="2">
        <f t="shared" si="125"/>
        <v>0</v>
      </c>
      <c r="S114" s="2">
        <f t="shared" si="125"/>
        <v>0</v>
      </c>
      <c r="T114" s="2">
        <f t="shared" si="125"/>
        <v>0</v>
      </c>
      <c r="U114" s="2">
        <f t="shared" si="125"/>
        <v>0</v>
      </c>
      <c r="V114" s="2">
        <f t="shared" si="125"/>
        <v>0</v>
      </c>
      <c r="W114" s="2">
        <f t="shared" si="125"/>
        <v>0</v>
      </c>
      <c r="X114" s="2">
        <f t="shared" si="125"/>
        <v>0</v>
      </c>
      <c r="Y114" s="2">
        <f t="shared" si="125"/>
        <v>0</v>
      </c>
      <c r="Z114" s="2">
        <f t="shared" si="125"/>
        <v>0</v>
      </c>
      <c r="AA114" s="2">
        <f t="shared" si="125"/>
        <v>0</v>
      </c>
      <c r="AB114" s="2">
        <f t="shared" si="125"/>
        <v>0</v>
      </c>
      <c r="AC114" s="2">
        <f t="shared" si="125"/>
        <v>0</v>
      </c>
      <c r="AD114" s="2">
        <f t="shared" si="125"/>
        <v>0</v>
      </c>
      <c r="AE114" s="2">
        <f t="shared" si="125"/>
        <v>0</v>
      </c>
      <c r="AF114" s="2">
        <f t="shared" si="125"/>
        <v>0</v>
      </c>
      <c r="AG114" s="2">
        <f t="shared" si="125"/>
        <v>0</v>
      </c>
      <c r="AH114" s="2">
        <f t="shared" si="125"/>
        <v>0</v>
      </c>
      <c r="AI114" s="2">
        <f t="shared" si="125"/>
        <v>0</v>
      </c>
      <c r="AJ114" s="2">
        <f t="shared" si="125"/>
        <v>0</v>
      </c>
      <c r="AK114" s="2">
        <f t="shared" si="125"/>
        <v>0</v>
      </c>
      <c r="AL114" s="2">
        <f t="shared" si="125"/>
        <v>0</v>
      </c>
      <c r="AM114" s="2">
        <f t="shared" si="125"/>
        <v>0</v>
      </c>
      <c r="AN114" s="2">
        <f t="shared" si="125"/>
        <v>0</v>
      </c>
      <c r="AO114" s="2">
        <f t="shared" si="125"/>
        <v>0</v>
      </c>
      <c r="AP114" s="2">
        <f t="shared" si="125"/>
        <v>0</v>
      </c>
      <c r="AQ114" s="2">
        <f t="shared" si="125"/>
        <v>0</v>
      </c>
      <c r="AR114" s="2">
        <f t="shared" si="125"/>
        <v>0</v>
      </c>
      <c r="AS114" s="2">
        <f t="shared" si="125"/>
        <v>0</v>
      </c>
      <c r="AT114" s="2">
        <f t="shared" si="125"/>
        <v>0</v>
      </c>
      <c r="AU114" s="2">
        <f t="shared" si="125"/>
        <v>0</v>
      </c>
      <c r="AV114" s="2">
        <f t="shared" si="125"/>
        <v>0</v>
      </c>
    </row>
    <row r="115" spans="1:48" x14ac:dyDescent="0.25">
      <c r="A115" s="354" t="s">
        <v>1705</v>
      </c>
      <c r="B115" t="s">
        <v>463</v>
      </c>
      <c r="C115" t="s">
        <v>1780</v>
      </c>
      <c r="D115">
        <f t="shared" si="118"/>
        <v>0</v>
      </c>
      <c r="E115">
        <f t="shared" si="118"/>
        <v>0</v>
      </c>
      <c r="F115">
        <f t="shared" si="118"/>
        <v>0</v>
      </c>
      <c r="G115">
        <f t="shared" si="118"/>
        <v>0</v>
      </c>
      <c r="H115">
        <f t="shared" si="118"/>
        <v>0</v>
      </c>
      <c r="I115">
        <f t="shared" si="118"/>
        <v>0</v>
      </c>
      <c r="J115">
        <f t="shared" si="118"/>
        <v>0</v>
      </c>
      <c r="K115">
        <f t="shared" si="118"/>
        <v>0</v>
      </c>
      <c r="L115">
        <f t="shared" si="118"/>
        <v>0</v>
      </c>
      <c r="M115">
        <f t="shared" si="118"/>
        <v>0</v>
      </c>
      <c r="N115" s="2">
        <f t="shared" ref="N115:AV115" si="126">IFERROR(IF($M115-$D115&gt;=0,($M115-$D115)/COUNT($E$1:$M$1)+M115,$F468*$E468^N$1),0)</f>
        <v>0</v>
      </c>
      <c r="O115" s="2">
        <f t="shared" si="126"/>
        <v>0</v>
      </c>
      <c r="P115" s="2">
        <f t="shared" si="126"/>
        <v>0</v>
      </c>
      <c r="Q115" s="2">
        <f t="shared" si="126"/>
        <v>0</v>
      </c>
      <c r="R115" s="2">
        <f t="shared" si="126"/>
        <v>0</v>
      </c>
      <c r="S115" s="2">
        <f t="shared" si="126"/>
        <v>0</v>
      </c>
      <c r="T115" s="2">
        <f t="shared" si="126"/>
        <v>0</v>
      </c>
      <c r="U115" s="2">
        <f t="shared" si="126"/>
        <v>0</v>
      </c>
      <c r="V115" s="2">
        <f t="shared" si="126"/>
        <v>0</v>
      </c>
      <c r="W115" s="2">
        <f t="shared" si="126"/>
        <v>0</v>
      </c>
      <c r="X115" s="2">
        <f t="shared" si="126"/>
        <v>0</v>
      </c>
      <c r="Y115" s="2">
        <f t="shared" si="126"/>
        <v>0</v>
      </c>
      <c r="Z115" s="2">
        <f t="shared" si="126"/>
        <v>0</v>
      </c>
      <c r="AA115" s="2">
        <f t="shared" si="126"/>
        <v>0</v>
      </c>
      <c r="AB115" s="2">
        <f t="shared" si="126"/>
        <v>0</v>
      </c>
      <c r="AC115" s="2">
        <f t="shared" si="126"/>
        <v>0</v>
      </c>
      <c r="AD115" s="2">
        <f t="shared" si="126"/>
        <v>0</v>
      </c>
      <c r="AE115" s="2">
        <f t="shared" si="126"/>
        <v>0</v>
      </c>
      <c r="AF115" s="2">
        <f t="shared" si="126"/>
        <v>0</v>
      </c>
      <c r="AG115" s="2">
        <f t="shared" si="126"/>
        <v>0</v>
      </c>
      <c r="AH115" s="2">
        <f t="shared" si="126"/>
        <v>0</v>
      </c>
      <c r="AI115" s="2">
        <f t="shared" si="126"/>
        <v>0</v>
      </c>
      <c r="AJ115" s="2">
        <f t="shared" si="126"/>
        <v>0</v>
      </c>
      <c r="AK115" s="2">
        <f t="shared" si="126"/>
        <v>0</v>
      </c>
      <c r="AL115" s="2">
        <f t="shared" si="126"/>
        <v>0</v>
      </c>
      <c r="AM115" s="2">
        <f t="shared" si="126"/>
        <v>0</v>
      </c>
      <c r="AN115" s="2">
        <f t="shared" si="126"/>
        <v>0</v>
      </c>
      <c r="AO115" s="2">
        <f t="shared" si="126"/>
        <v>0</v>
      </c>
      <c r="AP115" s="2">
        <f t="shared" si="126"/>
        <v>0</v>
      </c>
      <c r="AQ115" s="2">
        <f t="shared" si="126"/>
        <v>0</v>
      </c>
      <c r="AR115" s="2">
        <f t="shared" si="126"/>
        <v>0</v>
      </c>
      <c r="AS115" s="2">
        <f t="shared" si="126"/>
        <v>0</v>
      </c>
      <c r="AT115" s="2">
        <f t="shared" si="126"/>
        <v>0</v>
      </c>
      <c r="AU115" s="2">
        <f t="shared" si="126"/>
        <v>0</v>
      </c>
      <c r="AV115" s="2">
        <f t="shared" si="126"/>
        <v>0</v>
      </c>
    </row>
    <row r="116" spans="1:48" x14ac:dyDescent="0.25">
      <c r="A116" s="356" t="s">
        <v>1985</v>
      </c>
      <c r="B116" t="s">
        <v>469</v>
      </c>
      <c r="C116" t="s">
        <v>1780</v>
      </c>
      <c r="D116">
        <f t="shared" si="118"/>
        <v>0</v>
      </c>
      <c r="E116">
        <f t="shared" si="118"/>
        <v>0</v>
      </c>
      <c r="F116">
        <f t="shared" si="118"/>
        <v>0</v>
      </c>
      <c r="G116">
        <f t="shared" si="118"/>
        <v>0</v>
      </c>
      <c r="H116">
        <f t="shared" si="118"/>
        <v>0</v>
      </c>
      <c r="I116">
        <f t="shared" si="118"/>
        <v>0</v>
      </c>
      <c r="J116">
        <f t="shared" si="118"/>
        <v>0</v>
      </c>
      <c r="K116">
        <f t="shared" si="118"/>
        <v>0</v>
      </c>
      <c r="L116">
        <f t="shared" si="118"/>
        <v>0</v>
      </c>
      <c r="M116">
        <f t="shared" si="118"/>
        <v>0</v>
      </c>
      <c r="N116" s="2">
        <f t="shared" ref="N116:AV116" si="127">IFERROR(IF($M116-$D116&gt;=0,($M116-$D116)/COUNT($E$1:$M$1)+M116,$F469*$E469^N$1),0)</f>
        <v>0</v>
      </c>
      <c r="O116" s="2">
        <f t="shared" si="127"/>
        <v>0</v>
      </c>
      <c r="P116" s="2">
        <f t="shared" si="127"/>
        <v>0</v>
      </c>
      <c r="Q116" s="2">
        <f t="shared" si="127"/>
        <v>0</v>
      </c>
      <c r="R116" s="2">
        <f t="shared" si="127"/>
        <v>0</v>
      </c>
      <c r="S116" s="2">
        <f t="shared" si="127"/>
        <v>0</v>
      </c>
      <c r="T116" s="2">
        <f t="shared" si="127"/>
        <v>0</v>
      </c>
      <c r="U116" s="2">
        <f t="shared" si="127"/>
        <v>0</v>
      </c>
      <c r="V116" s="2">
        <f t="shared" si="127"/>
        <v>0</v>
      </c>
      <c r="W116" s="2">
        <f t="shared" si="127"/>
        <v>0</v>
      </c>
      <c r="X116" s="2">
        <f t="shared" si="127"/>
        <v>0</v>
      </c>
      <c r="Y116" s="2">
        <f t="shared" si="127"/>
        <v>0</v>
      </c>
      <c r="Z116" s="2">
        <f t="shared" si="127"/>
        <v>0</v>
      </c>
      <c r="AA116" s="2">
        <f t="shared" si="127"/>
        <v>0</v>
      </c>
      <c r="AB116" s="2">
        <f t="shared" si="127"/>
        <v>0</v>
      </c>
      <c r="AC116" s="2">
        <f t="shared" si="127"/>
        <v>0</v>
      </c>
      <c r="AD116" s="2">
        <f t="shared" si="127"/>
        <v>0</v>
      </c>
      <c r="AE116" s="2">
        <f t="shared" si="127"/>
        <v>0</v>
      </c>
      <c r="AF116" s="2">
        <f t="shared" si="127"/>
        <v>0</v>
      </c>
      <c r="AG116" s="2">
        <f t="shared" si="127"/>
        <v>0</v>
      </c>
      <c r="AH116" s="2">
        <f t="shared" si="127"/>
        <v>0</v>
      </c>
      <c r="AI116" s="2">
        <f t="shared" si="127"/>
        <v>0</v>
      </c>
      <c r="AJ116" s="2">
        <f t="shared" si="127"/>
        <v>0</v>
      </c>
      <c r="AK116" s="2">
        <f t="shared" si="127"/>
        <v>0</v>
      </c>
      <c r="AL116" s="2">
        <f t="shared" si="127"/>
        <v>0</v>
      </c>
      <c r="AM116" s="2">
        <f t="shared" si="127"/>
        <v>0</v>
      </c>
      <c r="AN116" s="2">
        <f t="shared" si="127"/>
        <v>0</v>
      </c>
      <c r="AO116" s="2">
        <f t="shared" si="127"/>
        <v>0</v>
      </c>
      <c r="AP116" s="2">
        <f t="shared" si="127"/>
        <v>0</v>
      </c>
      <c r="AQ116" s="2">
        <f t="shared" si="127"/>
        <v>0</v>
      </c>
      <c r="AR116" s="2">
        <f t="shared" si="127"/>
        <v>0</v>
      </c>
      <c r="AS116" s="2">
        <f t="shared" si="127"/>
        <v>0</v>
      </c>
      <c r="AT116" s="2">
        <f t="shared" si="127"/>
        <v>0</v>
      </c>
      <c r="AU116" s="2">
        <f t="shared" si="127"/>
        <v>0</v>
      </c>
      <c r="AV116" s="2">
        <f t="shared" si="127"/>
        <v>0</v>
      </c>
    </row>
    <row r="117" spans="1:48" x14ac:dyDescent="0.25">
      <c r="A117" s="354" t="s">
        <v>1971</v>
      </c>
      <c r="B117" t="s">
        <v>1710</v>
      </c>
      <c r="C117" t="s">
        <v>1780</v>
      </c>
      <c r="D117">
        <f t="shared" ref="D117:M121" si="128">IFERROR(INDEX($B$250:$AA$252,MATCH($A117,$A$250:$A$252,0),MATCH(D$1,$B$175:$AA$175,0)),0)</f>
        <v>0</v>
      </c>
      <c r="E117">
        <f t="shared" si="128"/>
        <v>0</v>
      </c>
      <c r="F117">
        <f t="shared" si="128"/>
        <v>0</v>
      </c>
      <c r="G117">
        <f t="shared" si="128"/>
        <v>0</v>
      </c>
      <c r="H117">
        <f t="shared" si="128"/>
        <v>0</v>
      </c>
      <c r="I117">
        <f t="shared" si="128"/>
        <v>0</v>
      </c>
      <c r="J117">
        <f t="shared" si="128"/>
        <v>0</v>
      </c>
      <c r="K117">
        <f t="shared" si="128"/>
        <v>0</v>
      </c>
      <c r="L117">
        <f t="shared" si="128"/>
        <v>0</v>
      </c>
      <c r="M117">
        <f t="shared" si="128"/>
        <v>0</v>
      </c>
      <c r="N117" s="2">
        <f t="shared" ref="N117:AV117" si="129">IFERROR(IF($M117-$D117&gt;=0,($M117-$D117)/COUNT($E$1:$M$1)+M117,$F470*$E470^N$1),0)</f>
        <v>0</v>
      </c>
      <c r="O117" s="2">
        <f t="shared" si="129"/>
        <v>0</v>
      </c>
      <c r="P117" s="2">
        <f t="shared" si="129"/>
        <v>0</v>
      </c>
      <c r="Q117" s="2">
        <f t="shared" si="129"/>
        <v>0</v>
      </c>
      <c r="R117" s="2">
        <f t="shared" si="129"/>
        <v>0</v>
      </c>
      <c r="S117" s="2">
        <f t="shared" si="129"/>
        <v>0</v>
      </c>
      <c r="T117" s="2">
        <f t="shared" si="129"/>
        <v>0</v>
      </c>
      <c r="U117" s="2">
        <f t="shared" si="129"/>
        <v>0</v>
      </c>
      <c r="V117" s="2">
        <f t="shared" si="129"/>
        <v>0</v>
      </c>
      <c r="W117" s="2">
        <f t="shared" si="129"/>
        <v>0</v>
      </c>
      <c r="X117" s="2">
        <f t="shared" si="129"/>
        <v>0</v>
      </c>
      <c r="Y117" s="2">
        <f t="shared" si="129"/>
        <v>0</v>
      </c>
      <c r="Z117" s="2">
        <f t="shared" si="129"/>
        <v>0</v>
      </c>
      <c r="AA117" s="2">
        <f t="shared" si="129"/>
        <v>0</v>
      </c>
      <c r="AB117" s="2">
        <f t="shared" si="129"/>
        <v>0</v>
      </c>
      <c r="AC117" s="2">
        <f t="shared" si="129"/>
        <v>0</v>
      </c>
      <c r="AD117" s="2">
        <f t="shared" si="129"/>
        <v>0</v>
      </c>
      <c r="AE117" s="2">
        <f t="shared" si="129"/>
        <v>0</v>
      </c>
      <c r="AF117" s="2">
        <f t="shared" si="129"/>
        <v>0</v>
      </c>
      <c r="AG117" s="2">
        <f t="shared" si="129"/>
        <v>0</v>
      </c>
      <c r="AH117" s="2">
        <f t="shared" si="129"/>
        <v>0</v>
      </c>
      <c r="AI117" s="2">
        <f t="shared" si="129"/>
        <v>0</v>
      </c>
      <c r="AJ117" s="2">
        <f t="shared" si="129"/>
        <v>0</v>
      </c>
      <c r="AK117" s="2">
        <f t="shared" si="129"/>
        <v>0</v>
      </c>
      <c r="AL117" s="2">
        <f t="shared" si="129"/>
        <v>0</v>
      </c>
      <c r="AM117" s="2">
        <f t="shared" si="129"/>
        <v>0</v>
      </c>
      <c r="AN117" s="2">
        <f t="shared" si="129"/>
        <v>0</v>
      </c>
      <c r="AO117" s="2">
        <f t="shared" si="129"/>
        <v>0</v>
      </c>
      <c r="AP117" s="2">
        <f t="shared" si="129"/>
        <v>0</v>
      </c>
      <c r="AQ117" s="2">
        <f t="shared" si="129"/>
        <v>0</v>
      </c>
      <c r="AR117" s="2">
        <f t="shared" si="129"/>
        <v>0</v>
      </c>
      <c r="AS117" s="2">
        <f t="shared" si="129"/>
        <v>0</v>
      </c>
      <c r="AT117" s="2">
        <f t="shared" si="129"/>
        <v>0</v>
      </c>
      <c r="AU117" s="2">
        <f t="shared" si="129"/>
        <v>0</v>
      </c>
      <c r="AV117" s="2">
        <f t="shared" si="129"/>
        <v>0</v>
      </c>
    </row>
    <row r="118" spans="1:48" x14ac:dyDescent="0.25">
      <c r="A118" s="354" t="s">
        <v>1972</v>
      </c>
      <c r="B118" t="s">
        <v>469</v>
      </c>
      <c r="C118" t="s">
        <v>1780</v>
      </c>
      <c r="D118">
        <f t="shared" si="128"/>
        <v>0</v>
      </c>
      <c r="E118">
        <f t="shared" si="128"/>
        <v>0</v>
      </c>
      <c r="F118">
        <f t="shared" si="128"/>
        <v>0</v>
      </c>
      <c r="G118">
        <f t="shared" si="128"/>
        <v>0</v>
      </c>
      <c r="H118">
        <f t="shared" si="128"/>
        <v>0</v>
      </c>
      <c r="I118">
        <f t="shared" si="128"/>
        <v>0</v>
      </c>
      <c r="J118">
        <f t="shared" si="128"/>
        <v>0</v>
      </c>
      <c r="K118">
        <f t="shared" si="128"/>
        <v>0</v>
      </c>
      <c r="L118">
        <f t="shared" si="128"/>
        <v>0</v>
      </c>
      <c r="M118">
        <f t="shared" si="128"/>
        <v>0</v>
      </c>
      <c r="N118" s="2">
        <f t="shared" ref="N118:AV118" si="130">IFERROR(IF($M118-$D118&gt;=0,($M118-$D118)/COUNT($E$1:$M$1)+M118,$F471*$E471^N$1),0)</f>
        <v>0</v>
      </c>
      <c r="O118" s="2">
        <f t="shared" si="130"/>
        <v>0</v>
      </c>
      <c r="P118" s="2">
        <f t="shared" si="130"/>
        <v>0</v>
      </c>
      <c r="Q118" s="2">
        <f t="shared" si="130"/>
        <v>0</v>
      </c>
      <c r="R118" s="2">
        <f t="shared" si="130"/>
        <v>0</v>
      </c>
      <c r="S118" s="2">
        <f t="shared" si="130"/>
        <v>0</v>
      </c>
      <c r="T118" s="2">
        <f t="shared" si="130"/>
        <v>0</v>
      </c>
      <c r="U118" s="2">
        <f t="shared" si="130"/>
        <v>0</v>
      </c>
      <c r="V118" s="2">
        <f t="shared" si="130"/>
        <v>0</v>
      </c>
      <c r="W118" s="2">
        <f t="shared" si="130"/>
        <v>0</v>
      </c>
      <c r="X118" s="2">
        <f t="shared" si="130"/>
        <v>0</v>
      </c>
      <c r="Y118" s="2">
        <f t="shared" si="130"/>
        <v>0</v>
      </c>
      <c r="Z118" s="2">
        <f t="shared" si="130"/>
        <v>0</v>
      </c>
      <c r="AA118" s="2">
        <f t="shared" si="130"/>
        <v>0</v>
      </c>
      <c r="AB118" s="2">
        <f t="shared" si="130"/>
        <v>0</v>
      </c>
      <c r="AC118" s="2">
        <f t="shared" si="130"/>
        <v>0</v>
      </c>
      <c r="AD118" s="2">
        <f t="shared" si="130"/>
        <v>0</v>
      </c>
      <c r="AE118" s="2">
        <f t="shared" si="130"/>
        <v>0</v>
      </c>
      <c r="AF118" s="2">
        <f t="shared" si="130"/>
        <v>0</v>
      </c>
      <c r="AG118" s="2">
        <f t="shared" si="130"/>
        <v>0</v>
      </c>
      <c r="AH118" s="2">
        <f t="shared" si="130"/>
        <v>0</v>
      </c>
      <c r="AI118" s="2">
        <f t="shared" si="130"/>
        <v>0</v>
      </c>
      <c r="AJ118" s="2">
        <f t="shared" si="130"/>
        <v>0</v>
      </c>
      <c r="AK118" s="2">
        <f t="shared" si="130"/>
        <v>0</v>
      </c>
      <c r="AL118" s="2">
        <f t="shared" si="130"/>
        <v>0</v>
      </c>
      <c r="AM118" s="2">
        <f t="shared" si="130"/>
        <v>0</v>
      </c>
      <c r="AN118" s="2">
        <f t="shared" si="130"/>
        <v>0</v>
      </c>
      <c r="AO118" s="2">
        <f t="shared" si="130"/>
        <v>0</v>
      </c>
      <c r="AP118" s="2">
        <f t="shared" si="130"/>
        <v>0</v>
      </c>
      <c r="AQ118" s="2">
        <f t="shared" si="130"/>
        <v>0</v>
      </c>
      <c r="AR118" s="2">
        <f t="shared" si="130"/>
        <v>0</v>
      </c>
      <c r="AS118" s="2">
        <f t="shared" si="130"/>
        <v>0</v>
      </c>
      <c r="AT118" s="2">
        <f t="shared" si="130"/>
        <v>0</v>
      </c>
      <c r="AU118" s="2">
        <f t="shared" si="130"/>
        <v>0</v>
      </c>
      <c r="AV118" s="2">
        <f t="shared" si="130"/>
        <v>0</v>
      </c>
    </row>
    <row r="119" spans="1:48" s="105" customFormat="1" x14ac:dyDescent="0.25">
      <c r="A119" s="357" t="s">
        <v>1973</v>
      </c>
      <c r="B119" s="105" t="s">
        <v>1988</v>
      </c>
      <c r="C119" s="105" t="s">
        <v>1780</v>
      </c>
      <c r="D119" s="105">
        <f t="shared" si="128"/>
        <v>0</v>
      </c>
      <c r="E119" s="105">
        <f t="shared" si="128"/>
        <v>0</v>
      </c>
      <c r="F119" s="105">
        <f t="shared" si="128"/>
        <v>0</v>
      </c>
      <c r="G119" s="105">
        <f t="shared" si="128"/>
        <v>0</v>
      </c>
      <c r="H119" s="105">
        <f t="shared" si="128"/>
        <v>0</v>
      </c>
      <c r="I119" s="105">
        <f t="shared" si="128"/>
        <v>0</v>
      </c>
      <c r="J119" s="105">
        <f t="shared" si="128"/>
        <v>0</v>
      </c>
      <c r="K119" s="105">
        <f t="shared" si="128"/>
        <v>0</v>
      </c>
      <c r="L119" s="105">
        <f t="shared" si="128"/>
        <v>0</v>
      </c>
      <c r="M119" s="105">
        <f t="shared" si="128"/>
        <v>0</v>
      </c>
      <c r="N119" s="358">
        <f t="shared" ref="N119:AV119" si="131">IFERROR(IF($M119-$D119&gt;=0,($M119-$D119)/COUNT($E$1:$M$1)+M119,$F472*$E472^N$1),0)</f>
        <v>0</v>
      </c>
      <c r="O119" s="358">
        <f t="shared" si="131"/>
        <v>0</v>
      </c>
      <c r="P119" s="358">
        <f t="shared" si="131"/>
        <v>0</v>
      </c>
      <c r="Q119" s="358">
        <f t="shared" si="131"/>
        <v>0</v>
      </c>
      <c r="R119" s="358">
        <f t="shared" si="131"/>
        <v>0</v>
      </c>
      <c r="S119" s="358">
        <f t="shared" si="131"/>
        <v>0</v>
      </c>
      <c r="T119" s="358">
        <f t="shared" si="131"/>
        <v>0</v>
      </c>
      <c r="U119" s="358">
        <f t="shared" si="131"/>
        <v>0</v>
      </c>
      <c r="V119" s="358">
        <f t="shared" si="131"/>
        <v>0</v>
      </c>
      <c r="W119" s="358">
        <f t="shared" si="131"/>
        <v>0</v>
      </c>
      <c r="X119" s="358">
        <f t="shared" si="131"/>
        <v>0</v>
      </c>
      <c r="Y119" s="358">
        <f t="shared" si="131"/>
        <v>0</v>
      </c>
      <c r="Z119" s="358">
        <f t="shared" si="131"/>
        <v>0</v>
      </c>
      <c r="AA119" s="358">
        <f t="shared" si="131"/>
        <v>0</v>
      </c>
      <c r="AB119" s="358">
        <f t="shared" si="131"/>
        <v>0</v>
      </c>
      <c r="AC119" s="358">
        <f t="shared" si="131"/>
        <v>0</v>
      </c>
      <c r="AD119" s="358">
        <f t="shared" si="131"/>
        <v>0</v>
      </c>
      <c r="AE119" s="358">
        <f t="shared" si="131"/>
        <v>0</v>
      </c>
      <c r="AF119" s="358">
        <f t="shared" si="131"/>
        <v>0</v>
      </c>
      <c r="AG119" s="358">
        <f t="shared" si="131"/>
        <v>0</v>
      </c>
      <c r="AH119" s="358">
        <f t="shared" si="131"/>
        <v>0</v>
      </c>
      <c r="AI119" s="358">
        <f t="shared" si="131"/>
        <v>0</v>
      </c>
      <c r="AJ119" s="358">
        <f t="shared" si="131"/>
        <v>0</v>
      </c>
      <c r="AK119" s="358">
        <f t="shared" si="131"/>
        <v>0</v>
      </c>
      <c r="AL119" s="358">
        <f t="shared" si="131"/>
        <v>0</v>
      </c>
      <c r="AM119" s="358">
        <f t="shared" si="131"/>
        <v>0</v>
      </c>
      <c r="AN119" s="358">
        <f t="shared" si="131"/>
        <v>0</v>
      </c>
      <c r="AO119" s="358">
        <f t="shared" si="131"/>
        <v>0</v>
      </c>
      <c r="AP119" s="358">
        <f t="shared" si="131"/>
        <v>0</v>
      </c>
      <c r="AQ119" s="358">
        <f t="shared" si="131"/>
        <v>0</v>
      </c>
      <c r="AR119" s="358">
        <f t="shared" si="131"/>
        <v>0</v>
      </c>
      <c r="AS119" s="358">
        <f t="shared" si="131"/>
        <v>0</v>
      </c>
      <c r="AT119" s="358">
        <f t="shared" si="131"/>
        <v>0</v>
      </c>
      <c r="AU119" s="358">
        <f t="shared" si="131"/>
        <v>0</v>
      </c>
      <c r="AV119" s="358">
        <f t="shared" si="131"/>
        <v>0</v>
      </c>
    </row>
    <row r="120" spans="1:48" x14ac:dyDescent="0.25">
      <c r="A120" s="354" t="s">
        <v>1974</v>
      </c>
      <c r="B120" t="s">
        <v>469</v>
      </c>
      <c r="C120" t="s">
        <v>1780</v>
      </c>
      <c r="D120">
        <f t="shared" si="128"/>
        <v>0</v>
      </c>
      <c r="E120">
        <f t="shared" si="128"/>
        <v>0</v>
      </c>
      <c r="F120">
        <f t="shared" si="128"/>
        <v>0</v>
      </c>
      <c r="G120">
        <f t="shared" si="128"/>
        <v>0</v>
      </c>
      <c r="H120">
        <f t="shared" si="128"/>
        <v>0</v>
      </c>
      <c r="I120">
        <f t="shared" si="128"/>
        <v>0</v>
      </c>
      <c r="J120">
        <f t="shared" si="128"/>
        <v>0</v>
      </c>
      <c r="K120">
        <f t="shared" si="128"/>
        <v>0</v>
      </c>
      <c r="L120">
        <f t="shared" si="128"/>
        <v>0</v>
      </c>
      <c r="M120">
        <f t="shared" si="128"/>
        <v>0</v>
      </c>
      <c r="N120" s="2">
        <f t="shared" ref="N120:AV120" si="132">IFERROR(IF($M120-$D120&gt;=0,($M120-$D120)/COUNT($E$1:$M$1)+M120,$F473*$E473^N$1),0)</f>
        <v>0</v>
      </c>
      <c r="O120" s="2">
        <f t="shared" si="132"/>
        <v>0</v>
      </c>
      <c r="P120" s="2">
        <f t="shared" si="132"/>
        <v>0</v>
      </c>
      <c r="Q120" s="2">
        <f t="shared" si="132"/>
        <v>0</v>
      </c>
      <c r="R120" s="2">
        <f t="shared" si="132"/>
        <v>0</v>
      </c>
      <c r="S120" s="2">
        <f t="shared" si="132"/>
        <v>0</v>
      </c>
      <c r="T120" s="2">
        <f t="shared" si="132"/>
        <v>0</v>
      </c>
      <c r="U120" s="2">
        <f t="shared" si="132"/>
        <v>0</v>
      </c>
      <c r="V120" s="2">
        <f t="shared" si="132"/>
        <v>0</v>
      </c>
      <c r="W120" s="2">
        <f t="shared" si="132"/>
        <v>0</v>
      </c>
      <c r="X120" s="2">
        <f t="shared" si="132"/>
        <v>0</v>
      </c>
      <c r="Y120" s="2">
        <f t="shared" si="132"/>
        <v>0</v>
      </c>
      <c r="Z120" s="2">
        <f t="shared" si="132"/>
        <v>0</v>
      </c>
      <c r="AA120" s="2">
        <f t="shared" si="132"/>
        <v>0</v>
      </c>
      <c r="AB120" s="2">
        <f t="shared" si="132"/>
        <v>0</v>
      </c>
      <c r="AC120" s="2">
        <f t="shared" si="132"/>
        <v>0</v>
      </c>
      <c r="AD120" s="2">
        <f t="shared" si="132"/>
        <v>0</v>
      </c>
      <c r="AE120" s="2">
        <f t="shared" si="132"/>
        <v>0</v>
      </c>
      <c r="AF120" s="2">
        <f t="shared" si="132"/>
        <v>0</v>
      </c>
      <c r="AG120" s="2">
        <f t="shared" si="132"/>
        <v>0</v>
      </c>
      <c r="AH120" s="2">
        <f t="shared" si="132"/>
        <v>0</v>
      </c>
      <c r="AI120" s="2">
        <f t="shared" si="132"/>
        <v>0</v>
      </c>
      <c r="AJ120" s="2">
        <f t="shared" si="132"/>
        <v>0</v>
      </c>
      <c r="AK120" s="2">
        <f t="shared" si="132"/>
        <v>0</v>
      </c>
      <c r="AL120" s="2">
        <f t="shared" si="132"/>
        <v>0</v>
      </c>
      <c r="AM120" s="2">
        <f t="shared" si="132"/>
        <v>0</v>
      </c>
      <c r="AN120" s="2">
        <f t="shared" si="132"/>
        <v>0</v>
      </c>
      <c r="AO120" s="2">
        <f t="shared" si="132"/>
        <v>0</v>
      </c>
      <c r="AP120" s="2">
        <f t="shared" si="132"/>
        <v>0</v>
      </c>
      <c r="AQ120" s="2">
        <f t="shared" si="132"/>
        <v>0</v>
      </c>
      <c r="AR120" s="2">
        <f t="shared" si="132"/>
        <v>0</v>
      </c>
      <c r="AS120" s="2">
        <f t="shared" si="132"/>
        <v>0</v>
      </c>
      <c r="AT120" s="2">
        <f t="shared" si="132"/>
        <v>0</v>
      </c>
      <c r="AU120" s="2">
        <f t="shared" si="132"/>
        <v>0</v>
      </c>
      <c r="AV120" s="2">
        <f t="shared" si="132"/>
        <v>0</v>
      </c>
    </row>
    <row r="121" spans="1:48" x14ac:dyDescent="0.25">
      <c r="A121" s="354" t="s">
        <v>1976</v>
      </c>
      <c r="B121" t="s">
        <v>469</v>
      </c>
      <c r="C121" t="s">
        <v>1780</v>
      </c>
      <c r="D121">
        <f t="shared" si="128"/>
        <v>0</v>
      </c>
      <c r="E121">
        <f t="shared" si="128"/>
        <v>0</v>
      </c>
      <c r="F121">
        <f t="shared" si="128"/>
        <v>0</v>
      </c>
      <c r="G121">
        <f t="shared" si="128"/>
        <v>0</v>
      </c>
      <c r="H121">
        <f t="shared" si="128"/>
        <v>0</v>
      </c>
      <c r="I121">
        <f t="shared" si="128"/>
        <v>0</v>
      </c>
      <c r="J121">
        <f t="shared" si="128"/>
        <v>0</v>
      </c>
      <c r="K121">
        <f t="shared" si="128"/>
        <v>0</v>
      </c>
      <c r="L121">
        <f t="shared" si="128"/>
        <v>0</v>
      </c>
      <c r="M121">
        <f t="shared" si="128"/>
        <v>0</v>
      </c>
      <c r="N121" s="2">
        <f t="shared" ref="N121:AV121" si="133">IFERROR(IF($M121-$D121&gt;=0,($M121-$D121)/COUNT($E$1:$M$1)+M121,$F474*$E474^N$1),0)</f>
        <v>0</v>
      </c>
      <c r="O121" s="2">
        <f t="shared" si="133"/>
        <v>0</v>
      </c>
      <c r="P121" s="2">
        <f t="shared" si="133"/>
        <v>0</v>
      </c>
      <c r="Q121" s="2">
        <f t="shared" si="133"/>
        <v>0</v>
      </c>
      <c r="R121" s="2">
        <f t="shared" si="133"/>
        <v>0</v>
      </c>
      <c r="S121" s="2">
        <f t="shared" si="133"/>
        <v>0</v>
      </c>
      <c r="T121" s="2">
        <f t="shared" si="133"/>
        <v>0</v>
      </c>
      <c r="U121" s="2">
        <f t="shared" si="133"/>
        <v>0</v>
      </c>
      <c r="V121" s="2">
        <f t="shared" si="133"/>
        <v>0</v>
      </c>
      <c r="W121" s="2">
        <f t="shared" si="133"/>
        <v>0</v>
      </c>
      <c r="X121" s="2">
        <f t="shared" si="133"/>
        <v>0</v>
      </c>
      <c r="Y121" s="2">
        <f t="shared" si="133"/>
        <v>0</v>
      </c>
      <c r="Z121" s="2">
        <f t="shared" si="133"/>
        <v>0</v>
      </c>
      <c r="AA121" s="2">
        <f t="shared" si="133"/>
        <v>0</v>
      </c>
      <c r="AB121" s="2">
        <f t="shared" si="133"/>
        <v>0</v>
      </c>
      <c r="AC121" s="2">
        <f t="shared" si="133"/>
        <v>0</v>
      </c>
      <c r="AD121" s="2">
        <f t="shared" si="133"/>
        <v>0</v>
      </c>
      <c r="AE121" s="2">
        <f t="shared" si="133"/>
        <v>0</v>
      </c>
      <c r="AF121" s="2">
        <f t="shared" si="133"/>
        <v>0</v>
      </c>
      <c r="AG121" s="2">
        <f t="shared" si="133"/>
        <v>0</v>
      </c>
      <c r="AH121" s="2">
        <f t="shared" si="133"/>
        <v>0</v>
      </c>
      <c r="AI121" s="2">
        <f t="shared" si="133"/>
        <v>0</v>
      </c>
      <c r="AJ121" s="2">
        <f t="shared" si="133"/>
        <v>0</v>
      </c>
      <c r="AK121" s="2">
        <f t="shared" si="133"/>
        <v>0</v>
      </c>
      <c r="AL121" s="2">
        <f t="shared" si="133"/>
        <v>0</v>
      </c>
      <c r="AM121" s="2">
        <f t="shared" si="133"/>
        <v>0</v>
      </c>
      <c r="AN121" s="2">
        <f t="shared" si="133"/>
        <v>0</v>
      </c>
      <c r="AO121" s="2">
        <f t="shared" si="133"/>
        <v>0</v>
      </c>
      <c r="AP121" s="2">
        <f t="shared" si="133"/>
        <v>0</v>
      </c>
      <c r="AQ121" s="2">
        <f t="shared" si="133"/>
        <v>0</v>
      </c>
      <c r="AR121" s="2">
        <f t="shared" si="133"/>
        <v>0</v>
      </c>
      <c r="AS121" s="2">
        <f t="shared" si="133"/>
        <v>0</v>
      </c>
      <c r="AT121" s="2">
        <f t="shared" si="133"/>
        <v>0</v>
      </c>
      <c r="AU121" s="2">
        <f t="shared" si="133"/>
        <v>0</v>
      </c>
      <c r="AV121" s="2">
        <f t="shared" si="133"/>
        <v>0</v>
      </c>
    </row>
    <row r="122" spans="1:48" x14ac:dyDescent="0.25">
      <c r="A122" s="354" t="s">
        <v>1688</v>
      </c>
      <c r="B122" t="s">
        <v>1709</v>
      </c>
      <c r="C122" t="s">
        <v>1781</v>
      </c>
      <c r="D122">
        <f t="shared" ref="D122:M131" si="134">IFERROR(INDEX($B$254:$AA$256,MATCH($A122,$A$254:$A$256,0),MATCH(D$1,$B$175:$AA$175,0)),0)</f>
        <v>0</v>
      </c>
      <c r="E122">
        <f t="shared" si="134"/>
        <v>0</v>
      </c>
      <c r="F122">
        <f t="shared" si="134"/>
        <v>0</v>
      </c>
      <c r="G122">
        <f t="shared" si="134"/>
        <v>0</v>
      </c>
      <c r="H122">
        <f t="shared" si="134"/>
        <v>0</v>
      </c>
      <c r="I122">
        <f t="shared" si="134"/>
        <v>0</v>
      </c>
      <c r="J122">
        <f t="shared" si="134"/>
        <v>0</v>
      </c>
      <c r="K122">
        <f t="shared" si="134"/>
        <v>0</v>
      </c>
      <c r="L122">
        <f t="shared" si="134"/>
        <v>0</v>
      </c>
      <c r="M122">
        <f t="shared" si="134"/>
        <v>0</v>
      </c>
      <c r="N122" s="2">
        <f t="shared" ref="N122:AV122" si="135">IFERROR(IF($M122-$D122&gt;=0,($M122-$D122)/COUNT($E$1:$M$1)+M122,$F475*$E475^N$1),0)</f>
        <v>0</v>
      </c>
      <c r="O122" s="2">
        <f t="shared" si="135"/>
        <v>0</v>
      </c>
      <c r="P122" s="2">
        <f t="shared" si="135"/>
        <v>0</v>
      </c>
      <c r="Q122" s="2">
        <f t="shared" si="135"/>
        <v>0</v>
      </c>
      <c r="R122" s="2">
        <f t="shared" si="135"/>
        <v>0</v>
      </c>
      <c r="S122" s="2">
        <f t="shared" si="135"/>
        <v>0</v>
      </c>
      <c r="T122" s="2">
        <f t="shared" si="135"/>
        <v>0</v>
      </c>
      <c r="U122" s="2">
        <f t="shared" si="135"/>
        <v>0</v>
      </c>
      <c r="V122" s="2">
        <f t="shared" si="135"/>
        <v>0</v>
      </c>
      <c r="W122" s="2">
        <f t="shared" si="135"/>
        <v>0</v>
      </c>
      <c r="X122" s="2">
        <f t="shared" si="135"/>
        <v>0</v>
      </c>
      <c r="Y122" s="2">
        <f t="shared" si="135"/>
        <v>0</v>
      </c>
      <c r="Z122" s="2">
        <f t="shared" si="135"/>
        <v>0</v>
      </c>
      <c r="AA122" s="2">
        <f t="shared" si="135"/>
        <v>0</v>
      </c>
      <c r="AB122" s="2">
        <f t="shared" si="135"/>
        <v>0</v>
      </c>
      <c r="AC122" s="2">
        <f t="shared" si="135"/>
        <v>0</v>
      </c>
      <c r="AD122" s="2">
        <f t="shared" si="135"/>
        <v>0</v>
      </c>
      <c r="AE122" s="2">
        <f t="shared" si="135"/>
        <v>0</v>
      </c>
      <c r="AF122" s="2">
        <f t="shared" si="135"/>
        <v>0</v>
      </c>
      <c r="AG122" s="2">
        <f t="shared" si="135"/>
        <v>0</v>
      </c>
      <c r="AH122" s="2">
        <f t="shared" si="135"/>
        <v>0</v>
      </c>
      <c r="AI122" s="2">
        <f t="shared" si="135"/>
        <v>0</v>
      </c>
      <c r="AJ122" s="2">
        <f t="shared" si="135"/>
        <v>0</v>
      </c>
      <c r="AK122" s="2">
        <f t="shared" si="135"/>
        <v>0</v>
      </c>
      <c r="AL122" s="2">
        <f t="shared" si="135"/>
        <v>0</v>
      </c>
      <c r="AM122" s="2">
        <f t="shared" si="135"/>
        <v>0</v>
      </c>
      <c r="AN122" s="2">
        <f t="shared" si="135"/>
        <v>0</v>
      </c>
      <c r="AO122" s="2">
        <f t="shared" si="135"/>
        <v>0</v>
      </c>
      <c r="AP122" s="2">
        <f t="shared" si="135"/>
        <v>0</v>
      </c>
      <c r="AQ122" s="2">
        <f t="shared" si="135"/>
        <v>0</v>
      </c>
      <c r="AR122" s="2">
        <f t="shared" si="135"/>
        <v>0</v>
      </c>
      <c r="AS122" s="2">
        <f t="shared" si="135"/>
        <v>0</v>
      </c>
      <c r="AT122" s="2">
        <f t="shared" si="135"/>
        <v>0</v>
      </c>
      <c r="AU122" s="2">
        <f t="shared" si="135"/>
        <v>0</v>
      </c>
      <c r="AV122" s="2">
        <f t="shared" si="135"/>
        <v>0</v>
      </c>
    </row>
    <row r="123" spans="1:48" x14ac:dyDescent="0.25">
      <c r="A123" s="354" t="s">
        <v>1689</v>
      </c>
      <c r="B123" t="s">
        <v>273</v>
      </c>
      <c r="C123" t="s">
        <v>1781</v>
      </c>
      <c r="D123">
        <f t="shared" si="134"/>
        <v>0</v>
      </c>
      <c r="E123">
        <f t="shared" si="134"/>
        <v>0</v>
      </c>
      <c r="F123">
        <f t="shared" si="134"/>
        <v>0</v>
      </c>
      <c r="G123">
        <f t="shared" si="134"/>
        <v>0</v>
      </c>
      <c r="H123">
        <f t="shared" si="134"/>
        <v>0</v>
      </c>
      <c r="I123">
        <f t="shared" si="134"/>
        <v>0</v>
      </c>
      <c r="J123">
        <f t="shared" si="134"/>
        <v>0</v>
      </c>
      <c r="K123">
        <f t="shared" si="134"/>
        <v>0</v>
      </c>
      <c r="L123">
        <f t="shared" si="134"/>
        <v>0</v>
      </c>
      <c r="M123">
        <f t="shared" si="134"/>
        <v>0</v>
      </c>
      <c r="N123" s="2">
        <f t="shared" ref="N123:AV123" si="136">IFERROR(IF($M123-$D123&gt;=0,($M123-$D123)/COUNT($E$1:$M$1)+M123,$F476*$E476^N$1),0)</f>
        <v>0</v>
      </c>
      <c r="O123" s="2">
        <f t="shared" si="136"/>
        <v>0</v>
      </c>
      <c r="P123" s="2">
        <f t="shared" si="136"/>
        <v>0</v>
      </c>
      <c r="Q123" s="2">
        <f t="shared" si="136"/>
        <v>0</v>
      </c>
      <c r="R123" s="2">
        <f t="shared" si="136"/>
        <v>0</v>
      </c>
      <c r="S123" s="2">
        <f t="shared" si="136"/>
        <v>0</v>
      </c>
      <c r="T123" s="2">
        <f t="shared" si="136"/>
        <v>0</v>
      </c>
      <c r="U123" s="2">
        <f t="shared" si="136"/>
        <v>0</v>
      </c>
      <c r="V123" s="2">
        <f t="shared" si="136"/>
        <v>0</v>
      </c>
      <c r="W123" s="2">
        <f t="shared" si="136"/>
        <v>0</v>
      </c>
      <c r="X123" s="2">
        <f t="shared" si="136"/>
        <v>0</v>
      </c>
      <c r="Y123" s="2">
        <f t="shared" si="136"/>
        <v>0</v>
      </c>
      <c r="Z123" s="2">
        <f t="shared" si="136"/>
        <v>0</v>
      </c>
      <c r="AA123" s="2">
        <f t="shared" si="136"/>
        <v>0</v>
      </c>
      <c r="AB123" s="2">
        <f t="shared" si="136"/>
        <v>0</v>
      </c>
      <c r="AC123" s="2">
        <f t="shared" si="136"/>
        <v>0</v>
      </c>
      <c r="AD123" s="2">
        <f t="shared" si="136"/>
        <v>0</v>
      </c>
      <c r="AE123" s="2">
        <f t="shared" si="136"/>
        <v>0</v>
      </c>
      <c r="AF123" s="2">
        <f t="shared" si="136"/>
        <v>0</v>
      </c>
      <c r="AG123" s="2">
        <f t="shared" si="136"/>
        <v>0</v>
      </c>
      <c r="AH123" s="2">
        <f t="shared" si="136"/>
        <v>0</v>
      </c>
      <c r="AI123" s="2">
        <f t="shared" si="136"/>
        <v>0</v>
      </c>
      <c r="AJ123" s="2">
        <f t="shared" si="136"/>
        <v>0</v>
      </c>
      <c r="AK123" s="2">
        <f t="shared" si="136"/>
        <v>0</v>
      </c>
      <c r="AL123" s="2">
        <f t="shared" si="136"/>
        <v>0</v>
      </c>
      <c r="AM123" s="2">
        <f t="shared" si="136"/>
        <v>0</v>
      </c>
      <c r="AN123" s="2">
        <f t="shared" si="136"/>
        <v>0</v>
      </c>
      <c r="AO123" s="2">
        <f t="shared" si="136"/>
        <v>0</v>
      </c>
      <c r="AP123" s="2">
        <f t="shared" si="136"/>
        <v>0</v>
      </c>
      <c r="AQ123" s="2">
        <f t="shared" si="136"/>
        <v>0</v>
      </c>
      <c r="AR123" s="2">
        <f t="shared" si="136"/>
        <v>0</v>
      </c>
      <c r="AS123" s="2">
        <f t="shared" si="136"/>
        <v>0</v>
      </c>
      <c r="AT123" s="2">
        <f t="shared" si="136"/>
        <v>0</v>
      </c>
      <c r="AU123" s="2">
        <f t="shared" si="136"/>
        <v>0</v>
      </c>
      <c r="AV123" s="2">
        <f t="shared" si="136"/>
        <v>0</v>
      </c>
    </row>
    <row r="124" spans="1:48" x14ac:dyDescent="0.25">
      <c r="A124" s="355" t="s">
        <v>1978</v>
      </c>
      <c r="B124" t="s">
        <v>469</v>
      </c>
      <c r="C124" t="s">
        <v>1781</v>
      </c>
      <c r="D124">
        <f t="shared" si="134"/>
        <v>0</v>
      </c>
      <c r="E124">
        <f t="shared" si="134"/>
        <v>0</v>
      </c>
      <c r="F124">
        <f t="shared" si="134"/>
        <v>0</v>
      </c>
      <c r="G124">
        <f t="shared" si="134"/>
        <v>0</v>
      </c>
      <c r="H124">
        <f t="shared" si="134"/>
        <v>0</v>
      </c>
      <c r="I124">
        <f t="shared" si="134"/>
        <v>0</v>
      </c>
      <c r="J124">
        <f t="shared" si="134"/>
        <v>0</v>
      </c>
      <c r="K124">
        <f t="shared" si="134"/>
        <v>0</v>
      </c>
      <c r="L124">
        <f t="shared" si="134"/>
        <v>0</v>
      </c>
      <c r="M124">
        <f t="shared" si="134"/>
        <v>0</v>
      </c>
      <c r="N124" s="2">
        <f t="shared" ref="N124:AV124" si="137">IFERROR(IF($M124-$D124&gt;=0,($M124-$D124)/COUNT($E$1:$M$1)+M124,$F477*$E477^N$1),0)</f>
        <v>0</v>
      </c>
      <c r="O124" s="2">
        <f t="shared" si="137"/>
        <v>0</v>
      </c>
      <c r="P124" s="2">
        <f t="shared" si="137"/>
        <v>0</v>
      </c>
      <c r="Q124" s="2">
        <f t="shared" si="137"/>
        <v>0</v>
      </c>
      <c r="R124" s="2">
        <f t="shared" si="137"/>
        <v>0</v>
      </c>
      <c r="S124" s="2">
        <f t="shared" si="137"/>
        <v>0</v>
      </c>
      <c r="T124" s="2">
        <f t="shared" si="137"/>
        <v>0</v>
      </c>
      <c r="U124" s="2">
        <f t="shared" si="137"/>
        <v>0</v>
      </c>
      <c r="V124" s="2">
        <f t="shared" si="137"/>
        <v>0</v>
      </c>
      <c r="W124" s="2">
        <f t="shared" si="137"/>
        <v>0</v>
      </c>
      <c r="X124" s="2">
        <f t="shared" si="137"/>
        <v>0</v>
      </c>
      <c r="Y124" s="2">
        <f t="shared" si="137"/>
        <v>0</v>
      </c>
      <c r="Z124" s="2">
        <f t="shared" si="137"/>
        <v>0</v>
      </c>
      <c r="AA124" s="2">
        <f t="shared" si="137"/>
        <v>0</v>
      </c>
      <c r="AB124" s="2">
        <f t="shared" si="137"/>
        <v>0</v>
      </c>
      <c r="AC124" s="2">
        <f t="shared" si="137"/>
        <v>0</v>
      </c>
      <c r="AD124" s="2">
        <f t="shared" si="137"/>
        <v>0</v>
      </c>
      <c r="AE124" s="2">
        <f t="shared" si="137"/>
        <v>0</v>
      </c>
      <c r="AF124" s="2">
        <f t="shared" si="137"/>
        <v>0</v>
      </c>
      <c r="AG124" s="2">
        <f t="shared" si="137"/>
        <v>0</v>
      </c>
      <c r="AH124" s="2">
        <f t="shared" si="137"/>
        <v>0</v>
      </c>
      <c r="AI124" s="2">
        <f t="shared" si="137"/>
        <v>0</v>
      </c>
      <c r="AJ124" s="2">
        <f t="shared" si="137"/>
        <v>0</v>
      </c>
      <c r="AK124" s="2">
        <f t="shared" si="137"/>
        <v>0</v>
      </c>
      <c r="AL124" s="2">
        <f t="shared" si="137"/>
        <v>0</v>
      </c>
      <c r="AM124" s="2">
        <f t="shared" si="137"/>
        <v>0</v>
      </c>
      <c r="AN124" s="2">
        <f t="shared" si="137"/>
        <v>0</v>
      </c>
      <c r="AO124" s="2">
        <f t="shared" si="137"/>
        <v>0</v>
      </c>
      <c r="AP124" s="2">
        <f t="shared" si="137"/>
        <v>0</v>
      </c>
      <c r="AQ124" s="2">
        <f t="shared" si="137"/>
        <v>0</v>
      </c>
      <c r="AR124" s="2">
        <f t="shared" si="137"/>
        <v>0</v>
      </c>
      <c r="AS124" s="2">
        <f t="shared" si="137"/>
        <v>0</v>
      </c>
      <c r="AT124" s="2">
        <f t="shared" si="137"/>
        <v>0</v>
      </c>
      <c r="AU124" s="2">
        <f t="shared" si="137"/>
        <v>0</v>
      </c>
      <c r="AV124" s="2">
        <f t="shared" si="137"/>
        <v>0</v>
      </c>
    </row>
    <row r="125" spans="1:48" x14ac:dyDescent="0.25">
      <c r="A125" s="354" t="s">
        <v>1975</v>
      </c>
      <c r="B125" t="s">
        <v>469</v>
      </c>
      <c r="C125" t="s">
        <v>1781</v>
      </c>
      <c r="D125">
        <f t="shared" si="134"/>
        <v>0</v>
      </c>
      <c r="E125">
        <f t="shared" si="134"/>
        <v>0</v>
      </c>
      <c r="F125">
        <f t="shared" si="134"/>
        <v>0</v>
      </c>
      <c r="G125">
        <f t="shared" si="134"/>
        <v>0</v>
      </c>
      <c r="H125">
        <f t="shared" si="134"/>
        <v>0</v>
      </c>
      <c r="I125">
        <f t="shared" si="134"/>
        <v>0</v>
      </c>
      <c r="J125">
        <f t="shared" si="134"/>
        <v>0</v>
      </c>
      <c r="K125">
        <f t="shared" si="134"/>
        <v>0</v>
      </c>
      <c r="L125">
        <f t="shared" si="134"/>
        <v>0</v>
      </c>
      <c r="M125">
        <f t="shared" si="134"/>
        <v>0</v>
      </c>
      <c r="N125" s="2">
        <f t="shared" ref="N125:AV125" si="138">IFERROR(IF($M125-$D125&gt;=0,($M125-$D125)/COUNT($E$1:$M$1)+M125,$F478*$E478^N$1),0)</f>
        <v>0</v>
      </c>
      <c r="O125" s="2">
        <f t="shared" si="138"/>
        <v>0</v>
      </c>
      <c r="P125" s="2">
        <f t="shared" si="138"/>
        <v>0</v>
      </c>
      <c r="Q125" s="2">
        <f t="shared" si="138"/>
        <v>0</v>
      </c>
      <c r="R125" s="2">
        <f t="shared" si="138"/>
        <v>0</v>
      </c>
      <c r="S125" s="2">
        <f t="shared" si="138"/>
        <v>0</v>
      </c>
      <c r="T125" s="2">
        <f t="shared" si="138"/>
        <v>0</v>
      </c>
      <c r="U125" s="2">
        <f t="shared" si="138"/>
        <v>0</v>
      </c>
      <c r="V125" s="2">
        <f t="shared" si="138"/>
        <v>0</v>
      </c>
      <c r="W125" s="2">
        <f t="shared" si="138"/>
        <v>0</v>
      </c>
      <c r="X125" s="2">
        <f t="shared" si="138"/>
        <v>0</v>
      </c>
      <c r="Y125" s="2">
        <f t="shared" si="138"/>
        <v>0</v>
      </c>
      <c r="Z125" s="2">
        <f t="shared" si="138"/>
        <v>0</v>
      </c>
      <c r="AA125" s="2">
        <f t="shared" si="138"/>
        <v>0</v>
      </c>
      <c r="AB125" s="2">
        <f t="shared" si="138"/>
        <v>0</v>
      </c>
      <c r="AC125" s="2">
        <f t="shared" si="138"/>
        <v>0</v>
      </c>
      <c r="AD125" s="2">
        <f t="shared" si="138"/>
        <v>0</v>
      </c>
      <c r="AE125" s="2">
        <f t="shared" si="138"/>
        <v>0</v>
      </c>
      <c r="AF125" s="2">
        <f t="shared" si="138"/>
        <v>0</v>
      </c>
      <c r="AG125" s="2">
        <f t="shared" si="138"/>
        <v>0</v>
      </c>
      <c r="AH125" s="2">
        <f t="shared" si="138"/>
        <v>0</v>
      </c>
      <c r="AI125" s="2">
        <f t="shared" si="138"/>
        <v>0</v>
      </c>
      <c r="AJ125" s="2">
        <f t="shared" si="138"/>
        <v>0</v>
      </c>
      <c r="AK125" s="2">
        <f t="shared" si="138"/>
        <v>0</v>
      </c>
      <c r="AL125" s="2">
        <f t="shared" si="138"/>
        <v>0</v>
      </c>
      <c r="AM125" s="2">
        <f t="shared" si="138"/>
        <v>0</v>
      </c>
      <c r="AN125" s="2">
        <f t="shared" si="138"/>
        <v>0</v>
      </c>
      <c r="AO125" s="2">
        <f t="shared" si="138"/>
        <v>0</v>
      </c>
      <c r="AP125" s="2">
        <f t="shared" si="138"/>
        <v>0</v>
      </c>
      <c r="AQ125" s="2">
        <f t="shared" si="138"/>
        <v>0</v>
      </c>
      <c r="AR125" s="2">
        <f t="shared" si="138"/>
        <v>0</v>
      </c>
      <c r="AS125" s="2">
        <f t="shared" si="138"/>
        <v>0</v>
      </c>
      <c r="AT125" s="2">
        <f t="shared" si="138"/>
        <v>0</v>
      </c>
      <c r="AU125" s="2">
        <f t="shared" si="138"/>
        <v>0</v>
      </c>
      <c r="AV125" s="2">
        <f t="shared" si="138"/>
        <v>0</v>
      </c>
    </row>
    <row r="126" spans="1:48" x14ac:dyDescent="0.25">
      <c r="A126" s="354" t="s">
        <v>1692</v>
      </c>
      <c r="B126" t="s">
        <v>1710</v>
      </c>
      <c r="C126" t="s">
        <v>1781</v>
      </c>
      <c r="D126">
        <f t="shared" si="134"/>
        <v>0</v>
      </c>
      <c r="E126">
        <f t="shared" si="134"/>
        <v>0</v>
      </c>
      <c r="F126">
        <f t="shared" si="134"/>
        <v>0</v>
      </c>
      <c r="G126">
        <f t="shared" si="134"/>
        <v>0</v>
      </c>
      <c r="H126">
        <f t="shared" si="134"/>
        <v>0</v>
      </c>
      <c r="I126">
        <f t="shared" si="134"/>
        <v>0</v>
      </c>
      <c r="J126">
        <f t="shared" si="134"/>
        <v>0</v>
      </c>
      <c r="K126">
        <f t="shared" si="134"/>
        <v>0</v>
      </c>
      <c r="L126">
        <f t="shared" si="134"/>
        <v>0</v>
      </c>
      <c r="M126">
        <f t="shared" si="134"/>
        <v>0</v>
      </c>
      <c r="N126" s="2">
        <f t="shared" ref="N126:AV126" si="139">IFERROR(IF($M126-$D126&gt;=0,($M126-$D126)/COUNT($E$1:$M$1)+M126,$F479*$E479^N$1),0)</f>
        <v>0</v>
      </c>
      <c r="O126" s="2">
        <f t="shared" si="139"/>
        <v>0</v>
      </c>
      <c r="P126" s="2">
        <f t="shared" si="139"/>
        <v>0</v>
      </c>
      <c r="Q126" s="2">
        <f t="shared" si="139"/>
        <v>0</v>
      </c>
      <c r="R126" s="2">
        <f t="shared" si="139"/>
        <v>0</v>
      </c>
      <c r="S126" s="2">
        <f t="shared" si="139"/>
        <v>0</v>
      </c>
      <c r="T126" s="2">
        <f t="shared" si="139"/>
        <v>0</v>
      </c>
      <c r="U126" s="2">
        <f t="shared" si="139"/>
        <v>0</v>
      </c>
      <c r="V126" s="2">
        <f t="shared" si="139"/>
        <v>0</v>
      </c>
      <c r="W126" s="2">
        <f t="shared" si="139"/>
        <v>0</v>
      </c>
      <c r="X126" s="2">
        <f t="shared" si="139"/>
        <v>0</v>
      </c>
      <c r="Y126" s="2">
        <f t="shared" si="139"/>
        <v>0</v>
      </c>
      <c r="Z126" s="2">
        <f t="shared" si="139"/>
        <v>0</v>
      </c>
      <c r="AA126" s="2">
        <f t="shared" si="139"/>
        <v>0</v>
      </c>
      <c r="AB126" s="2">
        <f t="shared" si="139"/>
        <v>0</v>
      </c>
      <c r="AC126" s="2">
        <f t="shared" si="139"/>
        <v>0</v>
      </c>
      <c r="AD126" s="2">
        <f t="shared" si="139"/>
        <v>0</v>
      </c>
      <c r="AE126" s="2">
        <f t="shared" si="139"/>
        <v>0</v>
      </c>
      <c r="AF126" s="2">
        <f t="shared" si="139"/>
        <v>0</v>
      </c>
      <c r="AG126" s="2">
        <f t="shared" si="139"/>
        <v>0</v>
      </c>
      <c r="AH126" s="2">
        <f t="shared" si="139"/>
        <v>0</v>
      </c>
      <c r="AI126" s="2">
        <f t="shared" si="139"/>
        <v>0</v>
      </c>
      <c r="AJ126" s="2">
        <f t="shared" si="139"/>
        <v>0</v>
      </c>
      <c r="AK126" s="2">
        <f t="shared" si="139"/>
        <v>0</v>
      </c>
      <c r="AL126" s="2">
        <f t="shared" si="139"/>
        <v>0</v>
      </c>
      <c r="AM126" s="2">
        <f t="shared" si="139"/>
        <v>0</v>
      </c>
      <c r="AN126" s="2">
        <f t="shared" si="139"/>
        <v>0</v>
      </c>
      <c r="AO126" s="2">
        <f t="shared" si="139"/>
        <v>0</v>
      </c>
      <c r="AP126" s="2">
        <f t="shared" si="139"/>
        <v>0</v>
      </c>
      <c r="AQ126" s="2">
        <f t="shared" si="139"/>
        <v>0</v>
      </c>
      <c r="AR126" s="2">
        <f t="shared" si="139"/>
        <v>0</v>
      </c>
      <c r="AS126" s="2">
        <f t="shared" si="139"/>
        <v>0</v>
      </c>
      <c r="AT126" s="2">
        <f t="shared" si="139"/>
        <v>0</v>
      </c>
      <c r="AU126" s="2">
        <f t="shared" si="139"/>
        <v>0</v>
      </c>
      <c r="AV126" s="2">
        <f t="shared" si="139"/>
        <v>0</v>
      </c>
    </row>
    <row r="127" spans="1:48" x14ac:dyDescent="0.25">
      <c r="A127" s="354" t="s">
        <v>1693</v>
      </c>
      <c r="B127" t="s">
        <v>1710</v>
      </c>
      <c r="C127" t="s">
        <v>1781</v>
      </c>
      <c r="D127">
        <f t="shared" si="134"/>
        <v>0</v>
      </c>
      <c r="E127">
        <f t="shared" si="134"/>
        <v>0</v>
      </c>
      <c r="F127">
        <f t="shared" si="134"/>
        <v>0</v>
      </c>
      <c r="G127">
        <f t="shared" si="134"/>
        <v>0</v>
      </c>
      <c r="H127">
        <f t="shared" si="134"/>
        <v>0</v>
      </c>
      <c r="I127">
        <f t="shared" si="134"/>
        <v>0</v>
      </c>
      <c r="J127">
        <f t="shared" si="134"/>
        <v>0</v>
      </c>
      <c r="K127">
        <f t="shared" si="134"/>
        <v>0</v>
      </c>
      <c r="L127">
        <f t="shared" si="134"/>
        <v>0</v>
      </c>
      <c r="M127">
        <f t="shared" si="134"/>
        <v>0</v>
      </c>
      <c r="N127" s="2">
        <f t="shared" ref="N127:AV127" si="140">IFERROR(IF($M127-$D127&gt;=0,($M127-$D127)/COUNT($E$1:$M$1)+M127,$F480*$E480^N$1),0)</f>
        <v>0</v>
      </c>
      <c r="O127" s="2">
        <f t="shared" si="140"/>
        <v>0</v>
      </c>
      <c r="P127" s="2">
        <f t="shared" si="140"/>
        <v>0</v>
      </c>
      <c r="Q127" s="2">
        <f t="shared" si="140"/>
        <v>0</v>
      </c>
      <c r="R127" s="2">
        <f t="shared" si="140"/>
        <v>0</v>
      </c>
      <c r="S127" s="2">
        <f t="shared" si="140"/>
        <v>0</v>
      </c>
      <c r="T127" s="2">
        <f t="shared" si="140"/>
        <v>0</v>
      </c>
      <c r="U127" s="2">
        <f t="shared" si="140"/>
        <v>0</v>
      </c>
      <c r="V127" s="2">
        <f t="shared" si="140"/>
        <v>0</v>
      </c>
      <c r="W127" s="2">
        <f t="shared" si="140"/>
        <v>0</v>
      </c>
      <c r="X127" s="2">
        <f t="shared" si="140"/>
        <v>0</v>
      </c>
      <c r="Y127" s="2">
        <f t="shared" si="140"/>
        <v>0</v>
      </c>
      <c r="Z127" s="2">
        <f t="shared" si="140"/>
        <v>0</v>
      </c>
      <c r="AA127" s="2">
        <f t="shared" si="140"/>
        <v>0</v>
      </c>
      <c r="AB127" s="2">
        <f t="shared" si="140"/>
        <v>0</v>
      </c>
      <c r="AC127" s="2">
        <f t="shared" si="140"/>
        <v>0</v>
      </c>
      <c r="AD127" s="2">
        <f t="shared" si="140"/>
        <v>0</v>
      </c>
      <c r="AE127" s="2">
        <f t="shared" si="140"/>
        <v>0</v>
      </c>
      <c r="AF127" s="2">
        <f t="shared" si="140"/>
        <v>0</v>
      </c>
      <c r="AG127" s="2">
        <f t="shared" si="140"/>
        <v>0</v>
      </c>
      <c r="AH127" s="2">
        <f t="shared" si="140"/>
        <v>0</v>
      </c>
      <c r="AI127" s="2">
        <f t="shared" si="140"/>
        <v>0</v>
      </c>
      <c r="AJ127" s="2">
        <f t="shared" si="140"/>
        <v>0</v>
      </c>
      <c r="AK127" s="2">
        <f t="shared" si="140"/>
        <v>0</v>
      </c>
      <c r="AL127" s="2">
        <f t="shared" si="140"/>
        <v>0</v>
      </c>
      <c r="AM127" s="2">
        <f t="shared" si="140"/>
        <v>0</v>
      </c>
      <c r="AN127" s="2">
        <f t="shared" si="140"/>
        <v>0</v>
      </c>
      <c r="AO127" s="2">
        <f t="shared" si="140"/>
        <v>0</v>
      </c>
      <c r="AP127" s="2">
        <f t="shared" si="140"/>
        <v>0</v>
      </c>
      <c r="AQ127" s="2">
        <f t="shared" si="140"/>
        <v>0</v>
      </c>
      <c r="AR127" s="2">
        <f t="shared" si="140"/>
        <v>0</v>
      </c>
      <c r="AS127" s="2">
        <f t="shared" si="140"/>
        <v>0</v>
      </c>
      <c r="AT127" s="2">
        <f t="shared" si="140"/>
        <v>0</v>
      </c>
      <c r="AU127" s="2">
        <f t="shared" si="140"/>
        <v>0</v>
      </c>
      <c r="AV127" s="2">
        <f t="shared" si="140"/>
        <v>0</v>
      </c>
    </row>
    <row r="128" spans="1:48" x14ac:dyDescent="0.25">
      <c r="A128" s="354" t="s">
        <v>1694</v>
      </c>
      <c r="B128" t="s">
        <v>273</v>
      </c>
      <c r="C128" t="s">
        <v>1781</v>
      </c>
      <c r="D128">
        <f t="shared" si="134"/>
        <v>0</v>
      </c>
      <c r="E128">
        <f t="shared" si="134"/>
        <v>0</v>
      </c>
      <c r="F128">
        <f t="shared" si="134"/>
        <v>0</v>
      </c>
      <c r="G128">
        <f t="shared" si="134"/>
        <v>0</v>
      </c>
      <c r="H128">
        <f t="shared" si="134"/>
        <v>0</v>
      </c>
      <c r="I128">
        <f t="shared" si="134"/>
        <v>0</v>
      </c>
      <c r="J128">
        <f t="shared" si="134"/>
        <v>0</v>
      </c>
      <c r="K128">
        <f t="shared" si="134"/>
        <v>0</v>
      </c>
      <c r="L128">
        <f t="shared" si="134"/>
        <v>0</v>
      </c>
      <c r="M128">
        <f t="shared" si="134"/>
        <v>0</v>
      </c>
      <c r="N128" s="2">
        <f t="shared" ref="N128:AV128" si="141">IFERROR(IF($M128-$D128&gt;=0,($M128-$D128)/COUNT($E$1:$M$1)+M128,$F481*$E481^N$1),0)</f>
        <v>0</v>
      </c>
      <c r="O128" s="2">
        <f t="shared" si="141"/>
        <v>0</v>
      </c>
      <c r="P128" s="2">
        <f t="shared" si="141"/>
        <v>0</v>
      </c>
      <c r="Q128" s="2">
        <f t="shared" si="141"/>
        <v>0</v>
      </c>
      <c r="R128" s="2">
        <f t="shared" si="141"/>
        <v>0</v>
      </c>
      <c r="S128" s="2">
        <f t="shared" si="141"/>
        <v>0</v>
      </c>
      <c r="T128" s="2">
        <f t="shared" si="141"/>
        <v>0</v>
      </c>
      <c r="U128" s="2">
        <f t="shared" si="141"/>
        <v>0</v>
      </c>
      <c r="V128" s="2">
        <f t="shared" si="141"/>
        <v>0</v>
      </c>
      <c r="W128" s="2">
        <f t="shared" si="141"/>
        <v>0</v>
      </c>
      <c r="X128" s="2">
        <f t="shared" si="141"/>
        <v>0</v>
      </c>
      <c r="Y128" s="2">
        <f t="shared" si="141"/>
        <v>0</v>
      </c>
      <c r="Z128" s="2">
        <f t="shared" si="141"/>
        <v>0</v>
      </c>
      <c r="AA128" s="2">
        <f t="shared" si="141"/>
        <v>0</v>
      </c>
      <c r="AB128" s="2">
        <f t="shared" si="141"/>
        <v>0</v>
      </c>
      <c r="AC128" s="2">
        <f t="shared" si="141"/>
        <v>0</v>
      </c>
      <c r="AD128" s="2">
        <f t="shared" si="141"/>
        <v>0</v>
      </c>
      <c r="AE128" s="2">
        <f t="shared" si="141"/>
        <v>0</v>
      </c>
      <c r="AF128" s="2">
        <f t="shared" si="141"/>
        <v>0</v>
      </c>
      <c r="AG128" s="2">
        <f t="shared" si="141"/>
        <v>0</v>
      </c>
      <c r="AH128" s="2">
        <f t="shared" si="141"/>
        <v>0</v>
      </c>
      <c r="AI128" s="2">
        <f t="shared" si="141"/>
        <v>0</v>
      </c>
      <c r="AJ128" s="2">
        <f t="shared" si="141"/>
        <v>0</v>
      </c>
      <c r="AK128" s="2">
        <f t="shared" si="141"/>
        <v>0</v>
      </c>
      <c r="AL128" s="2">
        <f t="shared" si="141"/>
        <v>0</v>
      </c>
      <c r="AM128" s="2">
        <f t="shared" si="141"/>
        <v>0</v>
      </c>
      <c r="AN128" s="2">
        <f t="shared" si="141"/>
        <v>0</v>
      </c>
      <c r="AO128" s="2">
        <f t="shared" si="141"/>
        <v>0</v>
      </c>
      <c r="AP128" s="2">
        <f t="shared" si="141"/>
        <v>0</v>
      </c>
      <c r="AQ128" s="2">
        <f t="shared" si="141"/>
        <v>0</v>
      </c>
      <c r="AR128" s="2">
        <f t="shared" si="141"/>
        <v>0</v>
      </c>
      <c r="AS128" s="2">
        <f t="shared" si="141"/>
        <v>0</v>
      </c>
      <c r="AT128" s="2">
        <f t="shared" si="141"/>
        <v>0</v>
      </c>
      <c r="AU128" s="2">
        <f t="shared" si="141"/>
        <v>0</v>
      </c>
      <c r="AV128" s="2">
        <f t="shared" si="141"/>
        <v>0</v>
      </c>
    </row>
    <row r="129" spans="1:48" x14ac:dyDescent="0.25">
      <c r="A129" s="355" t="s">
        <v>1977</v>
      </c>
      <c r="B129" t="s">
        <v>469</v>
      </c>
      <c r="C129" t="s">
        <v>1781</v>
      </c>
      <c r="D129">
        <f t="shared" si="134"/>
        <v>0</v>
      </c>
      <c r="E129">
        <f t="shared" si="134"/>
        <v>0</v>
      </c>
      <c r="F129">
        <f t="shared" si="134"/>
        <v>0</v>
      </c>
      <c r="G129">
        <f t="shared" si="134"/>
        <v>0</v>
      </c>
      <c r="H129">
        <f t="shared" si="134"/>
        <v>0</v>
      </c>
      <c r="I129">
        <f t="shared" si="134"/>
        <v>0</v>
      </c>
      <c r="J129">
        <f t="shared" si="134"/>
        <v>0</v>
      </c>
      <c r="K129">
        <f t="shared" si="134"/>
        <v>0</v>
      </c>
      <c r="L129">
        <f t="shared" si="134"/>
        <v>0</v>
      </c>
      <c r="M129">
        <f t="shared" si="134"/>
        <v>0</v>
      </c>
      <c r="N129" s="2">
        <f t="shared" ref="N129:AV129" si="142">IFERROR(IF($M129-$D129&gt;=0,($M129-$D129)/COUNT($E$1:$M$1)+M129,$F482*$E482^N$1),0)</f>
        <v>0</v>
      </c>
      <c r="O129" s="2">
        <f t="shared" si="142"/>
        <v>0</v>
      </c>
      <c r="P129" s="2">
        <f t="shared" si="142"/>
        <v>0</v>
      </c>
      <c r="Q129" s="2">
        <f t="shared" si="142"/>
        <v>0</v>
      </c>
      <c r="R129" s="2">
        <f t="shared" si="142"/>
        <v>0</v>
      </c>
      <c r="S129" s="2">
        <f t="shared" si="142"/>
        <v>0</v>
      </c>
      <c r="T129" s="2">
        <f t="shared" si="142"/>
        <v>0</v>
      </c>
      <c r="U129" s="2">
        <f t="shared" si="142"/>
        <v>0</v>
      </c>
      <c r="V129" s="2">
        <f t="shared" si="142"/>
        <v>0</v>
      </c>
      <c r="W129" s="2">
        <f t="shared" si="142"/>
        <v>0</v>
      </c>
      <c r="X129" s="2">
        <f t="shared" si="142"/>
        <v>0</v>
      </c>
      <c r="Y129" s="2">
        <f t="shared" si="142"/>
        <v>0</v>
      </c>
      <c r="Z129" s="2">
        <f t="shared" si="142"/>
        <v>0</v>
      </c>
      <c r="AA129" s="2">
        <f t="shared" si="142"/>
        <v>0</v>
      </c>
      <c r="AB129" s="2">
        <f t="shared" si="142"/>
        <v>0</v>
      </c>
      <c r="AC129" s="2">
        <f t="shared" si="142"/>
        <v>0</v>
      </c>
      <c r="AD129" s="2">
        <f t="shared" si="142"/>
        <v>0</v>
      </c>
      <c r="AE129" s="2">
        <f t="shared" si="142"/>
        <v>0</v>
      </c>
      <c r="AF129" s="2">
        <f t="shared" si="142"/>
        <v>0</v>
      </c>
      <c r="AG129" s="2">
        <f t="shared" si="142"/>
        <v>0</v>
      </c>
      <c r="AH129" s="2">
        <f t="shared" si="142"/>
        <v>0</v>
      </c>
      <c r="AI129" s="2">
        <f t="shared" si="142"/>
        <v>0</v>
      </c>
      <c r="AJ129" s="2">
        <f t="shared" si="142"/>
        <v>0</v>
      </c>
      <c r="AK129" s="2">
        <f t="shared" si="142"/>
        <v>0</v>
      </c>
      <c r="AL129" s="2">
        <f t="shared" si="142"/>
        <v>0</v>
      </c>
      <c r="AM129" s="2">
        <f t="shared" si="142"/>
        <v>0</v>
      </c>
      <c r="AN129" s="2">
        <f t="shared" si="142"/>
        <v>0</v>
      </c>
      <c r="AO129" s="2">
        <f t="shared" si="142"/>
        <v>0</v>
      </c>
      <c r="AP129" s="2">
        <f t="shared" si="142"/>
        <v>0</v>
      </c>
      <c r="AQ129" s="2">
        <f t="shared" si="142"/>
        <v>0</v>
      </c>
      <c r="AR129" s="2">
        <f t="shared" si="142"/>
        <v>0</v>
      </c>
      <c r="AS129" s="2">
        <f t="shared" si="142"/>
        <v>0</v>
      </c>
      <c r="AT129" s="2">
        <f t="shared" si="142"/>
        <v>0</v>
      </c>
      <c r="AU129" s="2">
        <f t="shared" si="142"/>
        <v>0</v>
      </c>
      <c r="AV129" s="2">
        <f t="shared" si="142"/>
        <v>0</v>
      </c>
    </row>
    <row r="130" spans="1:48" x14ac:dyDescent="0.25">
      <c r="A130" s="354" t="s">
        <v>1696</v>
      </c>
      <c r="B130" t="s">
        <v>273</v>
      </c>
      <c r="C130" t="s">
        <v>1781</v>
      </c>
      <c r="D130">
        <f t="shared" si="134"/>
        <v>0</v>
      </c>
      <c r="E130">
        <f t="shared" si="134"/>
        <v>0</v>
      </c>
      <c r="F130">
        <f t="shared" si="134"/>
        <v>0</v>
      </c>
      <c r="G130">
        <f t="shared" si="134"/>
        <v>0</v>
      </c>
      <c r="H130">
        <f t="shared" si="134"/>
        <v>0</v>
      </c>
      <c r="I130">
        <f t="shared" si="134"/>
        <v>0</v>
      </c>
      <c r="J130">
        <f t="shared" si="134"/>
        <v>0</v>
      </c>
      <c r="K130">
        <f t="shared" si="134"/>
        <v>0</v>
      </c>
      <c r="L130">
        <f t="shared" si="134"/>
        <v>0</v>
      </c>
      <c r="M130">
        <f t="shared" si="134"/>
        <v>0</v>
      </c>
      <c r="N130" s="2">
        <f t="shared" ref="N130:AV130" si="143">IFERROR(IF($M130-$D130&gt;=0,($M130-$D130)/COUNT($E$1:$M$1)+M130,$F483*$E483^N$1),0)</f>
        <v>0</v>
      </c>
      <c r="O130" s="2">
        <f t="shared" si="143"/>
        <v>0</v>
      </c>
      <c r="P130" s="2">
        <f t="shared" si="143"/>
        <v>0</v>
      </c>
      <c r="Q130" s="2">
        <f t="shared" si="143"/>
        <v>0</v>
      </c>
      <c r="R130" s="2">
        <f t="shared" si="143"/>
        <v>0</v>
      </c>
      <c r="S130" s="2">
        <f t="shared" si="143"/>
        <v>0</v>
      </c>
      <c r="T130" s="2">
        <f t="shared" si="143"/>
        <v>0</v>
      </c>
      <c r="U130" s="2">
        <f t="shared" si="143"/>
        <v>0</v>
      </c>
      <c r="V130" s="2">
        <f t="shared" si="143"/>
        <v>0</v>
      </c>
      <c r="W130" s="2">
        <f t="shared" si="143"/>
        <v>0</v>
      </c>
      <c r="X130" s="2">
        <f t="shared" si="143"/>
        <v>0</v>
      </c>
      <c r="Y130" s="2">
        <f t="shared" si="143"/>
        <v>0</v>
      </c>
      <c r="Z130" s="2">
        <f t="shared" si="143"/>
        <v>0</v>
      </c>
      <c r="AA130" s="2">
        <f t="shared" si="143"/>
        <v>0</v>
      </c>
      <c r="AB130" s="2">
        <f t="shared" si="143"/>
        <v>0</v>
      </c>
      <c r="AC130" s="2">
        <f t="shared" si="143"/>
        <v>0</v>
      </c>
      <c r="AD130" s="2">
        <f t="shared" si="143"/>
        <v>0</v>
      </c>
      <c r="AE130" s="2">
        <f t="shared" si="143"/>
        <v>0</v>
      </c>
      <c r="AF130" s="2">
        <f t="shared" si="143"/>
        <v>0</v>
      </c>
      <c r="AG130" s="2">
        <f t="shared" si="143"/>
        <v>0</v>
      </c>
      <c r="AH130" s="2">
        <f t="shared" si="143"/>
        <v>0</v>
      </c>
      <c r="AI130" s="2">
        <f t="shared" si="143"/>
        <v>0</v>
      </c>
      <c r="AJ130" s="2">
        <f t="shared" si="143"/>
        <v>0</v>
      </c>
      <c r="AK130" s="2">
        <f t="shared" si="143"/>
        <v>0</v>
      </c>
      <c r="AL130" s="2">
        <f t="shared" si="143"/>
        <v>0</v>
      </c>
      <c r="AM130" s="2">
        <f t="shared" si="143"/>
        <v>0</v>
      </c>
      <c r="AN130" s="2">
        <f t="shared" si="143"/>
        <v>0</v>
      </c>
      <c r="AO130" s="2">
        <f t="shared" si="143"/>
        <v>0</v>
      </c>
      <c r="AP130" s="2">
        <f t="shared" si="143"/>
        <v>0</v>
      </c>
      <c r="AQ130" s="2">
        <f t="shared" si="143"/>
        <v>0</v>
      </c>
      <c r="AR130" s="2">
        <f t="shared" si="143"/>
        <v>0</v>
      </c>
      <c r="AS130" s="2">
        <f t="shared" si="143"/>
        <v>0</v>
      </c>
      <c r="AT130" s="2">
        <f t="shared" si="143"/>
        <v>0</v>
      </c>
      <c r="AU130" s="2">
        <f t="shared" si="143"/>
        <v>0</v>
      </c>
      <c r="AV130" s="2">
        <f t="shared" si="143"/>
        <v>0</v>
      </c>
    </row>
    <row r="131" spans="1:48" x14ac:dyDescent="0.25">
      <c r="A131" s="354" t="s">
        <v>1697</v>
      </c>
      <c r="B131" t="s">
        <v>272</v>
      </c>
      <c r="C131" t="s">
        <v>1781</v>
      </c>
      <c r="D131">
        <f t="shared" si="134"/>
        <v>0</v>
      </c>
      <c r="E131">
        <f t="shared" si="134"/>
        <v>0</v>
      </c>
      <c r="F131">
        <f t="shared" si="134"/>
        <v>0</v>
      </c>
      <c r="G131">
        <f t="shared" si="134"/>
        <v>0</v>
      </c>
      <c r="H131">
        <f t="shared" si="134"/>
        <v>0</v>
      </c>
      <c r="I131">
        <f t="shared" si="134"/>
        <v>0</v>
      </c>
      <c r="J131">
        <f t="shared" si="134"/>
        <v>0</v>
      </c>
      <c r="K131">
        <f t="shared" si="134"/>
        <v>0</v>
      </c>
      <c r="L131">
        <f t="shared" si="134"/>
        <v>0</v>
      </c>
      <c r="M131">
        <f t="shared" si="134"/>
        <v>0</v>
      </c>
      <c r="N131" s="2">
        <f t="shared" ref="N131:AV131" si="144">IFERROR(IF($M131-$D131&gt;=0,($M131-$D131)/COUNT($E$1:$M$1)+M131,$F484*$E484^N$1),0)</f>
        <v>0</v>
      </c>
      <c r="O131" s="2">
        <f t="shared" si="144"/>
        <v>0</v>
      </c>
      <c r="P131" s="2">
        <f t="shared" si="144"/>
        <v>0</v>
      </c>
      <c r="Q131" s="2">
        <f t="shared" si="144"/>
        <v>0</v>
      </c>
      <c r="R131" s="2">
        <f t="shared" si="144"/>
        <v>0</v>
      </c>
      <c r="S131" s="2">
        <f t="shared" si="144"/>
        <v>0</v>
      </c>
      <c r="T131" s="2">
        <f t="shared" si="144"/>
        <v>0</v>
      </c>
      <c r="U131" s="2">
        <f t="shared" si="144"/>
        <v>0</v>
      </c>
      <c r="V131" s="2">
        <f t="shared" si="144"/>
        <v>0</v>
      </c>
      <c r="W131" s="2">
        <f t="shared" si="144"/>
        <v>0</v>
      </c>
      <c r="X131" s="2">
        <f t="shared" si="144"/>
        <v>0</v>
      </c>
      <c r="Y131" s="2">
        <f t="shared" si="144"/>
        <v>0</v>
      </c>
      <c r="Z131" s="2">
        <f t="shared" si="144"/>
        <v>0</v>
      </c>
      <c r="AA131" s="2">
        <f t="shared" si="144"/>
        <v>0</v>
      </c>
      <c r="AB131" s="2">
        <f t="shared" si="144"/>
        <v>0</v>
      </c>
      <c r="AC131" s="2">
        <f t="shared" si="144"/>
        <v>0</v>
      </c>
      <c r="AD131" s="2">
        <f t="shared" si="144"/>
        <v>0</v>
      </c>
      <c r="AE131" s="2">
        <f t="shared" si="144"/>
        <v>0</v>
      </c>
      <c r="AF131" s="2">
        <f t="shared" si="144"/>
        <v>0</v>
      </c>
      <c r="AG131" s="2">
        <f t="shared" si="144"/>
        <v>0</v>
      </c>
      <c r="AH131" s="2">
        <f t="shared" si="144"/>
        <v>0</v>
      </c>
      <c r="AI131" s="2">
        <f t="shared" si="144"/>
        <v>0</v>
      </c>
      <c r="AJ131" s="2">
        <f t="shared" si="144"/>
        <v>0</v>
      </c>
      <c r="AK131" s="2">
        <f t="shared" si="144"/>
        <v>0</v>
      </c>
      <c r="AL131" s="2">
        <f t="shared" si="144"/>
        <v>0</v>
      </c>
      <c r="AM131" s="2">
        <f t="shared" si="144"/>
        <v>0</v>
      </c>
      <c r="AN131" s="2">
        <f t="shared" si="144"/>
        <v>0</v>
      </c>
      <c r="AO131" s="2">
        <f t="shared" si="144"/>
        <v>0</v>
      </c>
      <c r="AP131" s="2">
        <f t="shared" si="144"/>
        <v>0</v>
      </c>
      <c r="AQ131" s="2">
        <f t="shared" si="144"/>
        <v>0</v>
      </c>
      <c r="AR131" s="2">
        <f t="shared" si="144"/>
        <v>0</v>
      </c>
      <c r="AS131" s="2">
        <f t="shared" si="144"/>
        <v>0</v>
      </c>
      <c r="AT131" s="2">
        <f t="shared" si="144"/>
        <v>0</v>
      </c>
      <c r="AU131" s="2">
        <f t="shared" si="144"/>
        <v>0</v>
      </c>
      <c r="AV131" s="2">
        <f t="shared" si="144"/>
        <v>0</v>
      </c>
    </row>
    <row r="132" spans="1:48" x14ac:dyDescent="0.25">
      <c r="A132" s="354" t="s">
        <v>1698</v>
      </c>
      <c r="B132" t="s">
        <v>469</v>
      </c>
      <c r="C132" t="s">
        <v>1781</v>
      </c>
      <c r="D132">
        <f t="shared" ref="D132:M139" si="145">IFERROR(INDEX($B$254:$AA$256,MATCH($A132,$A$254:$A$256,0),MATCH(D$1,$B$175:$AA$175,0)),0)</f>
        <v>0</v>
      </c>
      <c r="E132">
        <f t="shared" si="145"/>
        <v>0</v>
      </c>
      <c r="F132">
        <f t="shared" si="145"/>
        <v>0</v>
      </c>
      <c r="G132">
        <f t="shared" si="145"/>
        <v>0</v>
      </c>
      <c r="H132">
        <f t="shared" si="145"/>
        <v>0</v>
      </c>
      <c r="I132">
        <f t="shared" si="145"/>
        <v>0</v>
      </c>
      <c r="J132">
        <f t="shared" si="145"/>
        <v>0</v>
      </c>
      <c r="K132">
        <f t="shared" si="145"/>
        <v>0</v>
      </c>
      <c r="L132">
        <f t="shared" si="145"/>
        <v>0</v>
      </c>
      <c r="M132">
        <f t="shared" si="145"/>
        <v>0</v>
      </c>
      <c r="N132" s="2">
        <f t="shared" ref="N132:AV132" si="146">IFERROR(IF($M132-$D132&gt;=0,($M132-$D132)/COUNT($E$1:$M$1)+M132,$F485*$E485^N$1),0)</f>
        <v>0</v>
      </c>
      <c r="O132" s="2">
        <f t="shared" si="146"/>
        <v>0</v>
      </c>
      <c r="P132" s="2">
        <f t="shared" si="146"/>
        <v>0</v>
      </c>
      <c r="Q132" s="2">
        <f t="shared" si="146"/>
        <v>0</v>
      </c>
      <c r="R132" s="2">
        <f t="shared" si="146"/>
        <v>0</v>
      </c>
      <c r="S132" s="2">
        <f t="shared" si="146"/>
        <v>0</v>
      </c>
      <c r="T132" s="2">
        <f t="shared" si="146"/>
        <v>0</v>
      </c>
      <c r="U132" s="2">
        <f t="shared" si="146"/>
        <v>0</v>
      </c>
      <c r="V132" s="2">
        <f t="shared" si="146"/>
        <v>0</v>
      </c>
      <c r="W132" s="2">
        <f t="shared" si="146"/>
        <v>0</v>
      </c>
      <c r="X132" s="2">
        <f t="shared" si="146"/>
        <v>0</v>
      </c>
      <c r="Y132" s="2">
        <f t="shared" si="146"/>
        <v>0</v>
      </c>
      <c r="Z132" s="2">
        <f t="shared" si="146"/>
        <v>0</v>
      </c>
      <c r="AA132" s="2">
        <f t="shared" si="146"/>
        <v>0</v>
      </c>
      <c r="AB132" s="2">
        <f t="shared" si="146"/>
        <v>0</v>
      </c>
      <c r="AC132" s="2">
        <f t="shared" si="146"/>
        <v>0</v>
      </c>
      <c r="AD132" s="2">
        <f t="shared" si="146"/>
        <v>0</v>
      </c>
      <c r="AE132" s="2">
        <f t="shared" si="146"/>
        <v>0</v>
      </c>
      <c r="AF132" s="2">
        <f t="shared" si="146"/>
        <v>0</v>
      </c>
      <c r="AG132" s="2">
        <f t="shared" si="146"/>
        <v>0</v>
      </c>
      <c r="AH132" s="2">
        <f t="shared" si="146"/>
        <v>0</v>
      </c>
      <c r="AI132" s="2">
        <f t="shared" si="146"/>
        <v>0</v>
      </c>
      <c r="AJ132" s="2">
        <f t="shared" si="146"/>
        <v>0</v>
      </c>
      <c r="AK132" s="2">
        <f t="shared" si="146"/>
        <v>0</v>
      </c>
      <c r="AL132" s="2">
        <f t="shared" si="146"/>
        <v>0</v>
      </c>
      <c r="AM132" s="2">
        <f t="shared" si="146"/>
        <v>0</v>
      </c>
      <c r="AN132" s="2">
        <f t="shared" si="146"/>
        <v>0</v>
      </c>
      <c r="AO132" s="2">
        <f t="shared" si="146"/>
        <v>0</v>
      </c>
      <c r="AP132" s="2">
        <f t="shared" si="146"/>
        <v>0</v>
      </c>
      <c r="AQ132" s="2">
        <f t="shared" si="146"/>
        <v>0</v>
      </c>
      <c r="AR132" s="2">
        <f t="shared" si="146"/>
        <v>0</v>
      </c>
      <c r="AS132" s="2">
        <f t="shared" si="146"/>
        <v>0</v>
      </c>
      <c r="AT132" s="2">
        <f t="shared" si="146"/>
        <v>0</v>
      </c>
      <c r="AU132" s="2">
        <f t="shared" si="146"/>
        <v>0</v>
      </c>
      <c r="AV132" s="2">
        <f t="shared" si="146"/>
        <v>0</v>
      </c>
    </row>
    <row r="133" spans="1:48" x14ac:dyDescent="0.25">
      <c r="A133" s="354" t="s">
        <v>1699</v>
      </c>
      <c r="B133" t="s">
        <v>469</v>
      </c>
      <c r="C133" t="s">
        <v>1781</v>
      </c>
      <c r="D133">
        <f t="shared" si="145"/>
        <v>0</v>
      </c>
      <c r="E133">
        <f t="shared" si="145"/>
        <v>0</v>
      </c>
      <c r="F133">
        <f t="shared" si="145"/>
        <v>0</v>
      </c>
      <c r="G133">
        <f t="shared" si="145"/>
        <v>0</v>
      </c>
      <c r="H133">
        <f t="shared" si="145"/>
        <v>0</v>
      </c>
      <c r="I133">
        <f t="shared" si="145"/>
        <v>0</v>
      </c>
      <c r="J133">
        <f t="shared" si="145"/>
        <v>0</v>
      </c>
      <c r="K133">
        <f t="shared" si="145"/>
        <v>0</v>
      </c>
      <c r="L133">
        <f t="shared" si="145"/>
        <v>0</v>
      </c>
      <c r="M133">
        <f t="shared" si="145"/>
        <v>0</v>
      </c>
      <c r="N133" s="2">
        <f t="shared" ref="N133:AV133" si="147">IFERROR(IF($M133-$D133&gt;=0,($M133-$D133)/COUNT($E$1:$M$1)+M133,$F486*$E486^N$1),0)</f>
        <v>0</v>
      </c>
      <c r="O133" s="2">
        <f t="shared" si="147"/>
        <v>0</v>
      </c>
      <c r="P133" s="2">
        <f t="shared" si="147"/>
        <v>0</v>
      </c>
      <c r="Q133" s="2">
        <f t="shared" si="147"/>
        <v>0</v>
      </c>
      <c r="R133" s="2">
        <f t="shared" si="147"/>
        <v>0</v>
      </c>
      <c r="S133" s="2">
        <f t="shared" si="147"/>
        <v>0</v>
      </c>
      <c r="T133" s="2">
        <f t="shared" si="147"/>
        <v>0</v>
      </c>
      <c r="U133" s="2">
        <f t="shared" si="147"/>
        <v>0</v>
      </c>
      <c r="V133" s="2">
        <f t="shared" si="147"/>
        <v>0</v>
      </c>
      <c r="W133" s="2">
        <f t="shared" si="147"/>
        <v>0</v>
      </c>
      <c r="X133" s="2">
        <f t="shared" si="147"/>
        <v>0</v>
      </c>
      <c r="Y133" s="2">
        <f t="shared" si="147"/>
        <v>0</v>
      </c>
      <c r="Z133" s="2">
        <f t="shared" si="147"/>
        <v>0</v>
      </c>
      <c r="AA133" s="2">
        <f t="shared" si="147"/>
        <v>0</v>
      </c>
      <c r="AB133" s="2">
        <f t="shared" si="147"/>
        <v>0</v>
      </c>
      <c r="AC133" s="2">
        <f t="shared" si="147"/>
        <v>0</v>
      </c>
      <c r="AD133" s="2">
        <f t="shared" si="147"/>
        <v>0</v>
      </c>
      <c r="AE133" s="2">
        <f t="shared" si="147"/>
        <v>0</v>
      </c>
      <c r="AF133" s="2">
        <f t="shared" si="147"/>
        <v>0</v>
      </c>
      <c r="AG133" s="2">
        <f t="shared" si="147"/>
        <v>0</v>
      </c>
      <c r="AH133" s="2">
        <f t="shared" si="147"/>
        <v>0</v>
      </c>
      <c r="AI133" s="2">
        <f t="shared" si="147"/>
        <v>0</v>
      </c>
      <c r="AJ133" s="2">
        <f t="shared" si="147"/>
        <v>0</v>
      </c>
      <c r="AK133" s="2">
        <f t="shared" si="147"/>
        <v>0</v>
      </c>
      <c r="AL133" s="2">
        <f t="shared" si="147"/>
        <v>0</v>
      </c>
      <c r="AM133" s="2">
        <f t="shared" si="147"/>
        <v>0</v>
      </c>
      <c r="AN133" s="2">
        <f t="shared" si="147"/>
        <v>0</v>
      </c>
      <c r="AO133" s="2">
        <f t="shared" si="147"/>
        <v>0</v>
      </c>
      <c r="AP133" s="2">
        <f t="shared" si="147"/>
        <v>0</v>
      </c>
      <c r="AQ133" s="2">
        <f t="shared" si="147"/>
        <v>0</v>
      </c>
      <c r="AR133" s="2">
        <f t="shared" si="147"/>
        <v>0</v>
      </c>
      <c r="AS133" s="2">
        <f t="shared" si="147"/>
        <v>0</v>
      </c>
      <c r="AT133" s="2">
        <f t="shared" si="147"/>
        <v>0</v>
      </c>
      <c r="AU133" s="2">
        <f t="shared" si="147"/>
        <v>0</v>
      </c>
      <c r="AV133" s="2">
        <f t="shared" si="147"/>
        <v>0</v>
      </c>
    </row>
    <row r="134" spans="1:48" x14ac:dyDescent="0.25">
      <c r="A134" s="354" t="s">
        <v>1700</v>
      </c>
      <c r="B134" t="s">
        <v>469</v>
      </c>
      <c r="C134" t="s">
        <v>1781</v>
      </c>
      <c r="D134">
        <f t="shared" si="145"/>
        <v>0</v>
      </c>
      <c r="E134">
        <f t="shared" si="145"/>
        <v>0</v>
      </c>
      <c r="F134">
        <f t="shared" si="145"/>
        <v>0</v>
      </c>
      <c r="G134">
        <f t="shared" si="145"/>
        <v>0</v>
      </c>
      <c r="H134">
        <f t="shared" si="145"/>
        <v>0</v>
      </c>
      <c r="I134">
        <f t="shared" si="145"/>
        <v>0</v>
      </c>
      <c r="J134">
        <f t="shared" si="145"/>
        <v>0</v>
      </c>
      <c r="K134">
        <f t="shared" si="145"/>
        <v>0</v>
      </c>
      <c r="L134">
        <f t="shared" si="145"/>
        <v>0</v>
      </c>
      <c r="M134">
        <f t="shared" si="145"/>
        <v>0</v>
      </c>
      <c r="N134" s="2">
        <f t="shared" ref="N134:AV134" si="148">IFERROR(IF($M134-$D134&gt;=0,($M134-$D134)/COUNT($E$1:$M$1)+M134,$F487*$E487^N$1),0)</f>
        <v>0</v>
      </c>
      <c r="O134" s="2">
        <f t="shared" si="148"/>
        <v>0</v>
      </c>
      <c r="P134" s="2">
        <f t="shared" si="148"/>
        <v>0</v>
      </c>
      <c r="Q134" s="2">
        <f t="shared" si="148"/>
        <v>0</v>
      </c>
      <c r="R134" s="2">
        <f t="shared" si="148"/>
        <v>0</v>
      </c>
      <c r="S134" s="2">
        <f t="shared" si="148"/>
        <v>0</v>
      </c>
      <c r="T134" s="2">
        <f t="shared" si="148"/>
        <v>0</v>
      </c>
      <c r="U134" s="2">
        <f t="shared" si="148"/>
        <v>0</v>
      </c>
      <c r="V134" s="2">
        <f t="shared" si="148"/>
        <v>0</v>
      </c>
      <c r="W134" s="2">
        <f t="shared" si="148"/>
        <v>0</v>
      </c>
      <c r="X134" s="2">
        <f t="shared" si="148"/>
        <v>0</v>
      </c>
      <c r="Y134" s="2">
        <f t="shared" si="148"/>
        <v>0</v>
      </c>
      <c r="Z134" s="2">
        <f t="shared" si="148"/>
        <v>0</v>
      </c>
      <c r="AA134" s="2">
        <f t="shared" si="148"/>
        <v>0</v>
      </c>
      <c r="AB134" s="2">
        <f t="shared" si="148"/>
        <v>0</v>
      </c>
      <c r="AC134" s="2">
        <f t="shared" si="148"/>
        <v>0</v>
      </c>
      <c r="AD134" s="2">
        <f t="shared" si="148"/>
        <v>0</v>
      </c>
      <c r="AE134" s="2">
        <f t="shared" si="148"/>
        <v>0</v>
      </c>
      <c r="AF134" s="2">
        <f t="shared" si="148"/>
        <v>0</v>
      </c>
      <c r="AG134" s="2">
        <f t="shared" si="148"/>
        <v>0</v>
      </c>
      <c r="AH134" s="2">
        <f t="shared" si="148"/>
        <v>0</v>
      </c>
      <c r="AI134" s="2">
        <f t="shared" si="148"/>
        <v>0</v>
      </c>
      <c r="AJ134" s="2">
        <f t="shared" si="148"/>
        <v>0</v>
      </c>
      <c r="AK134" s="2">
        <f t="shared" si="148"/>
        <v>0</v>
      </c>
      <c r="AL134" s="2">
        <f t="shared" si="148"/>
        <v>0</v>
      </c>
      <c r="AM134" s="2">
        <f t="shared" si="148"/>
        <v>0</v>
      </c>
      <c r="AN134" s="2">
        <f t="shared" si="148"/>
        <v>0</v>
      </c>
      <c r="AO134" s="2">
        <f t="shared" si="148"/>
        <v>0</v>
      </c>
      <c r="AP134" s="2">
        <f t="shared" si="148"/>
        <v>0</v>
      </c>
      <c r="AQ134" s="2">
        <f t="shared" si="148"/>
        <v>0</v>
      </c>
      <c r="AR134" s="2">
        <f t="shared" si="148"/>
        <v>0</v>
      </c>
      <c r="AS134" s="2">
        <f t="shared" si="148"/>
        <v>0</v>
      </c>
      <c r="AT134" s="2">
        <f t="shared" si="148"/>
        <v>0</v>
      </c>
      <c r="AU134" s="2">
        <f t="shared" si="148"/>
        <v>0</v>
      </c>
      <c r="AV134" s="2">
        <f t="shared" si="148"/>
        <v>0</v>
      </c>
    </row>
    <row r="135" spans="1:48" x14ac:dyDescent="0.25">
      <c r="A135" s="354" t="s">
        <v>1701</v>
      </c>
      <c r="B135" t="s">
        <v>273</v>
      </c>
      <c r="C135" t="s">
        <v>1781</v>
      </c>
      <c r="D135">
        <f t="shared" si="145"/>
        <v>0</v>
      </c>
      <c r="E135">
        <f t="shared" si="145"/>
        <v>0</v>
      </c>
      <c r="F135">
        <f t="shared" si="145"/>
        <v>0</v>
      </c>
      <c r="G135">
        <f t="shared" si="145"/>
        <v>0</v>
      </c>
      <c r="H135">
        <f t="shared" si="145"/>
        <v>0</v>
      </c>
      <c r="I135">
        <f t="shared" si="145"/>
        <v>0</v>
      </c>
      <c r="J135">
        <f t="shared" si="145"/>
        <v>0</v>
      </c>
      <c r="K135">
        <f t="shared" si="145"/>
        <v>0</v>
      </c>
      <c r="L135">
        <f t="shared" si="145"/>
        <v>0</v>
      </c>
      <c r="M135">
        <f t="shared" si="145"/>
        <v>0</v>
      </c>
      <c r="N135" s="2">
        <f t="shared" ref="N135:AV135" si="149">IFERROR(IF($M135-$D135&gt;=0,($M135-$D135)/COUNT($E$1:$M$1)+M135,$F488*$E488^N$1),0)</f>
        <v>0</v>
      </c>
      <c r="O135" s="2">
        <f t="shared" si="149"/>
        <v>0</v>
      </c>
      <c r="P135" s="2">
        <f t="shared" si="149"/>
        <v>0</v>
      </c>
      <c r="Q135" s="2">
        <f t="shared" si="149"/>
        <v>0</v>
      </c>
      <c r="R135" s="2">
        <f t="shared" si="149"/>
        <v>0</v>
      </c>
      <c r="S135" s="2">
        <f t="shared" si="149"/>
        <v>0</v>
      </c>
      <c r="T135" s="2">
        <f t="shared" si="149"/>
        <v>0</v>
      </c>
      <c r="U135" s="2">
        <f t="shared" si="149"/>
        <v>0</v>
      </c>
      <c r="V135" s="2">
        <f t="shared" si="149"/>
        <v>0</v>
      </c>
      <c r="W135" s="2">
        <f t="shared" si="149"/>
        <v>0</v>
      </c>
      <c r="X135" s="2">
        <f t="shared" si="149"/>
        <v>0</v>
      </c>
      <c r="Y135" s="2">
        <f t="shared" si="149"/>
        <v>0</v>
      </c>
      <c r="Z135" s="2">
        <f t="shared" si="149"/>
        <v>0</v>
      </c>
      <c r="AA135" s="2">
        <f t="shared" si="149"/>
        <v>0</v>
      </c>
      <c r="AB135" s="2">
        <f t="shared" si="149"/>
        <v>0</v>
      </c>
      <c r="AC135" s="2">
        <f t="shared" si="149"/>
        <v>0</v>
      </c>
      <c r="AD135" s="2">
        <f t="shared" si="149"/>
        <v>0</v>
      </c>
      <c r="AE135" s="2">
        <f t="shared" si="149"/>
        <v>0</v>
      </c>
      <c r="AF135" s="2">
        <f t="shared" si="149"/>
        <v>0</v>
      </c>
      <c r="AG135" s="2">
        <f t="shared" si="149"/>
        <v>0</v>
      </c>
      <c r="AH135" s="2">
        <f t="shared" si="149"/>
        <v>0</v>
      </c>
      <c r="AI135" s="2">
        <f t="shared" si="149"/>
        <v>0</v>
      </c>
      <c r="AJ135" s="2">
        <f t="shared" si="149"/>
        <v>0</v>
      </c>
      <c r="AK135" s="2">
        <f t="shared" si="149"/>
        <v>0</v>
      </c>
      <c r="AL135" s="2">
        <f t="shared" si="149"/>
        <v>0</v>
      </c>
      <c r="AM135" s="2">
        <f t="shared" si="149"/>
        <v>0</v>
      </c>
      <c r="AN135" s="2">
        <f t="shared" si="149"/>
        <v>0</v>
      </c>
      <c r="AO135" s="2">
        <f t="shared" si="149"/>
        <v>0</v>
      </c>
      <c r="AP135" s="2">
        <f t="shared" si="149"/>
        <v>0</v>
      </c>
      <c r="AQ135" s="2">
        <f t="shared" si="149"/>
        <v>0</v>
      </c>
      <c r="AR135" s="2">
        <f t="shared" si="149"/>
        <v>0</v>
      </c>
      <c r="AS135" s="2">
        <f t="shared" si="149"/>
        <v>0</v>
      </c>
      <c r="AT135" s="2">
        <f t="shared" si="149"/>
        <v>0</v>
      </c>
      <c r="AU135" s="2">
        <f t="shared" si="149"/>
        <v>0</v>
      </c>
      <c r="AV135" s="2">
        <f t="shared" si="149"/>
        <v>0</v>
      </c>
    </row>
    <row r="136" spans="1:48" x14ac:dyDescent="0.25">
      <c r="A136" s="354" t="s">
        <v>1702</v>
      </c>
      <c r="B136" t="s">
        <v>469</v>
      </c>
      <c r="C136" t="s">
        <v>1781</v>
      </c>
      <c r="D136">
        <f t="shared" si="145"/>
        <v>0</v>
      </c>
      <c r="E136">
        <f t="shared" si="145"/>
        <v>0</v>
      </c>
      <c r="F136">
        <f t="shared" si="145"/>
        <v>0</v>
      </c>
      <c r="G136">
        <f t="shared" si="145"/>
        <v>0</v>
      </c>
      <c r="H136">
        <f t="shared" si="145"/>
        <v>0</v>
      </c>
      <c r="I136">
        <f t="shared" si="145"/>
        <v>0</v>
      </c>
      <c r="J136">
        <f t="shared" si="145"/>
        <v>0</v>
      </c>
      <c r="K136">
        <f t="shared" si="145"/>
        <v>0</v>
      </c>
      <c r="L136">
        <f t="shared" si="145"/>
        <v>0</v>
      </c>
      <c r="M136">
        <f t="shared" si="145"/>
        <v>0</v>
      </c>
      <c r="N136" s="2">
        <f t="shared" ref="N136:AV136" si="150">IFERROR(IF($M136-$D136&gt;=0,($M136-$D136)/COUNT($E$1:$M$1)+M136,$F489*$E489^N$1),0)</f>
        <v>0</v>
      </c>
      <c r="O136" s="2">
        <f t="shared" si="150"/>
        <v>0</v>
      </c>
      <c r="P136" s="2">
        <f t="shared" si="150"/>
        <v>0</v>
      </c>
      <c r="Q136" s="2">
        <f t="shared" si="150"/>
        <v>0</v>
      </c>
      <c r="R136" s="2">
        <f t="shared" si="150"/>
        <v>0</v>
      </c>
      <c r="S136" s="2">
        <f t="shared" si="150"/>
        <v>0</v>
      </c>
      <c r="T136" s="2">
        <f t="shared" si="150"/>
        <v>0</v>
      </c>
      <c r="U136" s="2">
        <f t="shared" si="150"/>
        <v>0</v>
      </c>
      <c r="V136" s="2">
        <f t="shared" si="150"/>
        <v>0</v>
      </c>
      <c r="W136" s="2">
        <f t="shared" si="150"/>
        <v>0</v>
      </c>
      <c r="X136" s="2">
        <f t="shared" si="150"/>
        <v>0</v>
      </c>
      <c r="Y136" s="2">
        <f t="shared" si="150"/>
        <v>0</v>
      </c>
      <c r="Z136" s="2">
        <f t="shared" si="150"/>
        <v>0</v>
      </c>
      <c r="AA136" s="2">
        <f t="shared" si="150"/>
        <v>0</v>
      </c>
      <c r="AB136" s="2">
        <f t="shared" si="150"/>
        <v>0</v>
      </c>
      <c r="AC136" s="2">
        <f t="shared" si="150"/>
        <v>0</v>
      </c>
      <c r="AD136" s="2">
        <f t="shared" si="150"/>
        <v>0</v>
      </c>
      <c r="AE136" s="2">
        <f t="shared" si="150"/>
        <v>0</v>
      </c>
      <c r="AF136" s="2">
        <f t="shared" si="150"/>
        <v>0</v>
      </c>
      <c r="AG136" s="2">
        <f t="shared" si="150"/>
        <v>0</v>
      </c>
      <c r="AH136" s="2">
        <f t="shared" si="150"/>
        <v>0</v>
      </c>
      <c r="AI136" s="2">
        <f t="shared" si="150"/>
        <v>0</v>
      </c>
      <c r="AJ136" s="2">
        <f t="shared" si="150"/>
        <v>0</v>
      </c>
      <c r="AK136" s="2">
        <f t="shared" si="150"/>
        <v>0</v>
      </c>
      <c r="AL136" s="2">
        <f t="shared" si="150"/>
        <v>0</v>
      </c>
      <c r="AM136" s="2">
        <f t="shared" si="150"/>
        <v>0</v>
      </c>
      <c r="AN136" s="2">
        <f t="shared" si="150"/>
        <v>0</v>
      </c>
      <c r="AO136" s="2">
        <f t="shared" si="150"/>
        <v>0</v>
      </c>
      <c r="AP136" s="2">
        <f t="shared" si="150"/>
        <v>0</v>
      </c>
      <c r="AQ136" s="2">
        <f t="shared" si="150"/>
        <v>0</v>
      </c>
      <c r="AR136" s="2">
        <f t="shared" si="150"/>
        <v>0</v>
      </c>
      <c r="AS136" s="2">
        <f t="shared" si="150"/>
        <v>0</v>
      </c>
      <c r="AT136" s="2">
        <f t="shared" si="150"/>
        <v>0</v>
      </c>
      <c r="AU136" s="2">
        <f t="shared" si="150"/>
        <v>0</v>
      </c>
      <c r="AV136" s="2">
        <f t="shared" si="150"/>
        <v>0</v>
      </c>
    </row>
    <row r="137" spans="1:48" x14ac:dyDescent="0.25">
      <c r="A137" s="354" t="s">
        <v>1703</v>
      </c>
      <c r="B137" t="s">
        <v>459</v>
      </c>
      <c r="C137" t="s">
        <v>1781</v>
      </c>
      <c r="D137">
        <f t="shared" si="145"/>
        <v>0</v>
      </c>
      <c r="E137">
        <f t="shared" si="145"/>
        <v>0</v>
      </c>
      <c r="F137">
        <f t="shared" si="145"/>
        <v>0</v>
      </c>
      <c r="G137">
        <f t="shared" si="145"/>
        <v>0</v>
      </c>
      <c r="H137">
        <f t="shared" si="145"/>
        <v>0</v>
      </c>
      <c r="I137">
        <f t="shared" si="145"/>
        <v>0</v>
      </c>
      <c r="J137">
        <f t="shared" si="145"/>
        <v>0</v>
      </c>
      <c r="K137">
        <f t="shared" si="145"/>
        <v>0</v>
      </c>
      <c r="L137">
        <f t="shared" si="145"/>
        <v>0</v>
      </c>
      <c r="M137">
        <f t="shared" si="145"/>
        <v>0</v>
      </c>
      <c r="N137" s="2">
        <f t="shared" ref="N137:AV137" si="151">IFERROR(IF($M137-$D137&gt;=0,($M137-$D137)/COUNT($E$1:$M$1)+M137,$F490*$E490^N$1),0)</f>
        <v>0</v>
      </c>
      <c r="O137" s="2">
        <f t="shared" si="151"/>
        <v>0</v>
      </c>
      <c r="P137" s="2">
        <f t="shared" si="151"/>
        <v>0</v>
      </c>
      <c r="Q137" s="2">
        <f t="shared" si="151"/>
        <v>0</v>
      </c>
      <c r="R137" s="2">
        <f t="shared" si="151"/>
        <v>0</v>
      </c>
      <c r="S137" s="2">
        <f t="shared" si="151"/>
        <v>0</v>
      </c>
      <c r="T137" s="2">
        <f t="shared" si="151"/>
        <v>0</v>
      </c>
      <c r="U137" s="2">
        <f t="shared" si="151"/>
        <v>0</v>
      </c>
      <c r="V137" s="2">
        <f t="shared" si="151"/>
        <v>0</v>
      </c>
      <c r="W137" s="2">
        <f t="shared" si="151"/>
        <v>0</v>
      </c>
      <c r="X137" s="2">
        <f t="shared" si="151"/>
        <v>0</v>
      </c>
      <c r="Y137" s="2">
        <f t="shared" si="151"/>
        <v>0</v>
      </c>
      <c r="Z137" s="2">
        <f t="shared" si="151"/>
        <v>0</v>
      </c>
      <c r="AA137" s="2">
        <f t="shared" si="151"/>
        <v>0</v>
      </c>
      <c r="AB137" s="2">
        <f t="shared" si="151"/>
        <v>0</v>
      </c>
      <c r="AC137" s="2">
        <f t="shared" si="151"/>
        <v>0</v>
      </c>
      <c r="AD137" s="2">
        <f t="shared" si="151"/>
        <v>0</v>
      </c>
      <c r="AE137" s="2">
        <f t="shared" si="151"/>
        <v>0</v>
      </c>
      <c r="AF137" s="2">
        <f t="shared" si="151"/>
        <v>0</v>
      </c>
      <c r="AG137" s="2">
        <f t="shared" si="151"/>
        <v>0</v>
      </c>
      <c r="AH137" s="2">
        <f t="shared" si="151"/>
        <v>0</v>
      </c>
      <c r="AI137" s="2">
        <f t="shared" si="151"/>
        <v>0</v>
      </c>
      <c r="AJ137" s="2">
        <f t="shared" si="151"/>
        <v>0</v>
      </c>
      <c r="AK137" s="2">
        <f t="shared" si="151"/>
        <v>0</v>
      </c>
      <c r="AL137" s="2">
        <f t="shared" si="151"/>
        <v>0</v>
      </c>
      <c r="AM137" s="2">
        <f t="shared" si="151"/>
        <v>0</v>
      </c>
      <c r="AN137" s="2">
        <f t="shared" si="151"/>
        <v>0</v>
      </c>
      <c r="AO137" s="2">
        <f t="shared" si="151"/>
        <v>0</v>
      </c>
      <c r="AP137" s="2">
        <f t="shared" si="151"/>
        <v>0</v>
      </c>
      <c r="AQ137" s="2">
        <f t="shared" si="151"/>
        <v>0</v>
      </c>
      <c r="AR137" s="2">
        <f t="shared" si="151"/>
        <v>0</v>
      </c>
      <c r="AS137" s="2">
        <f t="shared" si="151"/>
        <v>0</v>
      </c>
      <c r="AT137" s="2">
        <f t="shared" si="151"/>
        <v>0</v>
      </c>
      <c r="AU137" s="2">
        <f t="shared" si="151"/>
        <v>0</v>
      </c>
      <c r="AV137" s="2">
        <f t="shared" si="151"/>
        <v>0</v>
      </c>
    </row>
    <row r="138" spans="1:48" x14ac:dyDescent="0.25">
      <c r="A138" s="354" t="s">
        <v>1704</v>
      </c>
      <c r="B138" t="s">
        <v>463</v>
      </c>
      <c r="C138" t="s">
        <v>1781</v>
      </c>
      <c r="D138">
        <f t="shared" si="145"/>
        <v>0</v>
      </c>
      <c r="E138">
        <f t="shared" si="145"/>
        <v>0</v>
      </c>
      <c r="F138">
        <f t="shared" si="145"/>
        <v>0</v>
      </c>
      <c r="G138">
        <f t="shared" si="145"/>
        <v>0</v>
      </c>
      <c r="H138">
        <f t="shared" si="145"/>
        <v>0</v>
      </c>
      <c r="I138">
        <f t="shared" si="145"/>
        <v>0</v>
      </c>
      <c r="J138">
        <f t="shared" si="145"/>
        <v>0</v>
      </c>
      <c r="K138">
        <f t="shared" si="145"/>
        <v>0</v>
      </c>
      <c r="L138">
        <f t="shared" si="145"/>
        <v>0</v>
      </c>
      <c r="M138">
        <f t="shared" si="145"/>
        <v>0</v>
      </c>
      <c r="N138" s="2">
        <f t="shared" ref="N138:AV138" si="152">IFERROR(IF($M138-$D138&gt;=0,($M138-$D138)/COUNT($E$1:$M$1)+M138,$F491*$E491^N$1),0)</f>
        <v>0</v>
      </c>
      <c r="O138" s="2">
        <f t="shared" si="152"/>
        <v>0</v>
      </c>
      <c r="P138" s="2">
        <f t="shared" si="152"/>
        <v>0</v>
      </c>
      <c r="Q138" s="2">
        <f t="shared" si="152"/>
        <v>0</v>
      </c>
      <c r="R138" s="2">
        <f t="shared" si="152"/>
        <v>0</v>
      </c>
      <c r="S138" s="2">
        <f t="shared" si="152"/>
        <v>0</v>
      </c>
      <c r="T138" s="2">
        <f t="shared" si="152"/>
        <v>0</v>
      </c>
      <c r="U138" s="2">
        <f t="shared" si="152"/>
        <v>0</v>
      </c>
      <c r="V138" s="2">
        <f t="shared" si="152"/>
        <v>0</v>
      </c>
      <c r="W138" s="2">
        <f t="shared" si="152"/>
        <v>0</v>
      </c>
      <c r="X138" s="2">
        <f t="shared" si="152"/>
        <v>0</v>
      </c>
      <c r="Y138" s="2">
        <f t="shared" si="152"/>
        <v>0</v>
      </c>
      <c r="Z138" s="2">
        <f t="shared" si="152"/>
        <v>0</v>
      </c>
      <c r="AA138" s="2">
        <f t="shared" si="152"/>
        <v>0</v>
      </c>
      <c r="AB138" s="2">
        <f t="shared" si="152"/>
        <v>0</v>
      </c>
      <c r="AC138" s="2">
        <f t="shared" si="152"/>
        <v>0</v>
      </c>
      <c r="AD138" s="2">
        <f t="shared" si="152"/>
        <v>0</v>
      </c>
      <c r="AE138" s="2">
        <f t="shared" si="152"/>
        <v>0</v>
      </c>
      <c r="AF138" s="2">
        <f t="shared" si="152"/>
        <v>0</v>
      </c>
      <c r="AG138" s="2">
        <f t="shared" si="152"/>
        <v>0</v>
      </c>
      <c r="AH138" s="2">
        <f t="shared" si="152"/>
        <v>0</v>
      </c>
      <c r="AI138" s="2">
        <f t="shared" si="152"/>
        <v>0</v>
      </c>
      <c r="AJ138" s="2">
        <f t="shared" si="152"/>
        <v>0</v>
      </c>
      <c r="AK138" s="2">
        <f t="shared" si="152"/>
        <v>0</v>
      </c>
      <c r="AL138" s="2">
        <f t="shared" si="152"/>
        <v>0</v>
      </c>
      <c r="AM138" s="2">
        <f t="shared" si="152"/>
        <v>0</v>
      </c>
      <c r="AN138" s="2">
        <f t="shared" si="152"/>
        <v>0</v>
      </c>
      <c r="AO138" s="2">
        <f t="shared" si="152"/>
        <v>0</v>
      </c>
      <c r="AP138" s="2">
        <f t="shared" si="152"/>
        <v>0</v>
      </c>
      <c r="AQ138" s="2">
        <f t="shared" si="152"/>
        <v>0</v>
      </c>
      <c r="AR138" s="2">
        <f t="shared" si="152"/>
        <v>0</v>
      </c>
      <c r="AS138" s="2">
        <f t="shared" si="152"/>
        <v>0</v>
      </c>
      <c r="AT138" s="2">
        <f t="shared" si="152"/>
        <v>0</v>
      </c>
      <c r="AU138" s="2">
        <f t="shared" si="152"/>
        <v>0</v>
      </c>
      <c r="AV138" s="2">
        <f t="shared" si="152"/>
        <v>0</v>
      </c>
    </row>
    <row r="139" spans="1:48" x14ac:dyDescent="0.25">
      <c r="A139" s="354" t="s">
        <v>1705</v>
      </c>
      <c r="B139" t="s">
        <v>463</v>
      </c>
      <c r="C139" t="s">
        <v>1781</v>
      </c>
      <c r="D139">
        <f t="shared" si="145"/>
        <v>0</v>
      </c>
      <c r="E139">
        <f t="shared" si="145"/>
        <v>0</v>
      </c>
      <c r="F139">
        <f t="shared" si="145"/>
        <v>0</v>
      </c>
      <c r="G139">
        <f t="shared" si="145"/>
        <v>0</v>
      </c>
      <c r="H139">
        <f t="shared" si="145"/>
        <v>0</v>
      </c>
      <c r="I139">
        <f t="shared" si="145"/>
        <v>0</v>
      </c>
      <c r="J139">
        <f t="shared" si="145"/>
        <v>0</v>
      </c>
      <c r="K139">
        <f t="shared" si="145"/>
        <v>0</v>
      </c>
      <c r="L139">
        <f t="shared" si="145"/>
        <v>0</v>
      </c>
      <c r="M139">
        <f t="shared" si="145"/>
        <v>0</v>
      </c>
      <c r="N139" s="2">
        <f t="shared" ref="N139:AV139" si="153">IFERROR(IF($M139-$D139&gt;=0,($M139-$D139)/COUNT($E$1:$M$1)+M139,$F492*$E492^N$1),0)</f>
        <v>0</v>
      </c>
      <c r="O139" s="2">
        <f t="shared" si="153"/>
        <v>0</v>
      </c>
      <c r="P139" s="2">
        <f t="shared" si="153"/>
        <v>0</v>
      </c>
      <c r="Q139" s="2">
        <f t="shared" si="153"/>
        <v>0</v>
      </c>
      <c r="R139" s="2">
        <f t="shared" si="153"/>
        <v>0</v>
      </c>
      <c r="S139" s="2">
        <f t="shared" si="153"/>
        <v>0</v>
      </c>
      <c r="T139" s="2">
        <f t="shared" si="153"/>
        <v>0</v>
      </c>
      <c r="U139" s="2">
        <f t="shared" si="153"/>
        <v>0</v>
      </c>
      <c r="V139" s="2">
        <f t="shared" si="153"/>
        <v>0</v>
      </c>
      <c r="W139" s="2">
        <f t="shared" si="153"/>
        <v>0</v>
      </c>
      <c r="X139" s="2">
        <f t="shared" si="153"/>
        <v>0</v>
      </c>
      <c r="Y139" s="2">
        <f t="shared" si="153"/>
        <v>0</v>
      </c>
      <c r="Z139" s="2">
        <f t="shared" si="153"/>
        <v>0</v>
      </c>
      <c r="AA139" s="2">
        <f t="shared" si="153"/>
        <v>0</v>
      </c>
      <c r="AB139" s="2">
        <f t="shared" si="153"/>
        <v>0</v>
      </c>
      <c r="AC139" s="2">
        <f t="shared" si="153"/>
        <v>0</v>
      </c>
      <c r="AD139" s="2">
        <f t="shared" si="153"/>
        <v>0</v>
      </c>
      <c r="AE139" s="2">
        <f t="shared" si="153"/>
        <v>0</v>
      </c>
      <c r="AF139" s="2">
        <f t="shared" si="153"/>
        <v>0</v>
      </c>
      <c r="AG139" s="2">
        <f t="shared" si="153"/>
        <v>0</v>
      </c>
      <c r="AH139" s="2">
        <f t="shared" si="153"/>
        <v>0</v>
      </c>
      <c r="AI139" s="2">
        <f t="shared" si="153"/>
        <v>0</v>
      </c>
      <c r="AJ139" s="2">
        <f t="shared" si="153"/>
        <v>0</v>
      </c>
      <c r="AK139" s="2">
        <f t="shared" si="153"/>
        <v>0</v>
      </c>
      <c r="AL139" s="2">
        <f t="shared" si="153"/>
        <v>0</v>
      </c>
      <c r="AM139" s="2">
        <f t="shared" si="153"/>
        <v>0</v>
      </c>
      <c r="AN139" s="2">
        <f t="shared" si="153"/>
        <v>0</v>
      </c>
      <c r="AO139" s="2">
        <f t="shared" si="153"/>
        <v>0</v>
      </c>
      <c r="AP139" s="2">
        <f t="shared" si="153"/>
        <v>0</v>
      </c>
      <c r="AQ139" s="2">
        <f t="shared" si="153"/>
        <v>0</v>
      </c>
      <c r="AR139" s="2">
        <f t="shared" si="153"/>
        <v>0</v>
      </c>
      <c r="AS139" s="2">
        <f t="shared" si="153"/>
        <v>0</v>
      </c>
      <c r="AT139" s="2">
        <f t="shared" si="153"/>
        <v>0</v>
      </c>
      <c r="AU139" s="2">
        <f t="shared" si="153"/>
        <v>0</v>
      </c>
      <c r="AV139" s="2">
        <f t="shared" si="153"/>
        <v>0</v>
      </c>
    </row>
    <row r="140" spans="1:48" x14ac:dyDescent="0.25">
      <c r="A140" s="356" t="s">
        <v>1985</v>
      </c>
      <c r="B140" t="s">
        <v>469</v>
      </c>
      <c r="C140" t="s">
        <v>1781</v>
      </c>
      <c r="D140">
        <f t="shared" ref="D140:M144" si="154">IFERROR(INDEX($B$254:$AA$256,MATCH($A140,$A$254:$A$256,0),MATCH(D$1,$B$175:$AA$175,0)),0)</f>
        <v>0</v>
      </c>
      <c r="E140">
        <f t="shared" si="154"/>
        <v>0</v>
      </c>
      <c r="F140">
        <f t="shared" si="154"/>
        <v>0</v>
      </c>
      <c r="G140">
        <f t="shared" si="154"/>
        <v>0</v>
      </c>
      <c r="H140">
        <f t="shared" si="154"/>
        <v>0</v>
      </c>
      <c r="I140">
        <f t="shared" si="154"/>
        <v>0</v>
      </c>
      <c r="J140">
        <f t="shared" si="154"/>
        <v>0</v>
      </c>
      <c r="K140">
        <f t="shared" si="154"/>
        <v>0</v>
      </c>
      <c r="L140">
        <f t="shared" si="154"/>
        <v>0</v>
      </c>
      <c r="M140">
        <f t="shared" si="154"/>
        <v>0</v>
      </c>
      <c r="N140" s="2">
        <f t="shared" ref="N140:AV140" si="155">IFERROR(IF($M140-$D140&gt;=0,($M140-$D140)/COUNT($E$1:$M$1)+M140,$F493*$E493^N$1),0)</f>
        <v>0</v>
      </c>
      <c r="O140" s="2">
        <f t="shared" si="155"/>
        <v>0</v>
      </c>
      <c r="P140" s="2">
        <f t="shared" si="155"/>
        <v>0</v>
      </c>
      <c r="Q140" s="2">
        <f t="shared" si="155"/>
        <v>0</v>
      </c>
      <c r="R140" s="2">
        <f t="shared" si="155"/>
        <v>0</v>
      </c>
      <c r="S140" s="2">
        <f t="shared" si="155"/>
        <v>0</v>
      </c>
      <c r="T140" s="2">
        <f t="shared" si="155"/>
        <v>0</v>
      </c>
      <c r="U140" s="2">
        <f t="shared" si="155"/>
        <v>0</v>
      </c>
      <c r="V140" s="2">
        <f t="shared" si="155"/>
        <v>0</v>
      </c>
      <c r="W140" s="2">
        <f t="shared" si="155"/>
        <v>0</v>
      </c>
      <c r="X140" s="2">
        <f t="shared" si="155"/>
        <v>0</v>
      </c>
      <c r="Y140" s="2">
        <f t="shared" si="155"/>
        <v>0</v>
      </c>
      <c r="Z140" s="2">
        <f t="shared" si="155"/>
        <v>0</v>
      </c>
      <c r="AA140" s="2">
        <f t="shared" si="155"/>
        <v>0</v>
      </c>
      <c r="AB140" s="2">
        <f t="shared" si="155"/>
        <v>0</v>
      </c>
      <c r="AC140" s="2">
        <f t="shared" si="155"/>
        <v>0</v>
      </c>
      <c r="AD140" s="2">
        <f t="shared" si="155"/>
        <v>0</v>
      </c>
      <c r="AE140" s="2">
        <f t="shared" si="155"/>
        <v>0</v>
      </c>
      <c r="AF140" s="2">
        <f t="shared" si="155"/>
        <v>0</v>
      </c>
      <c r="AG140" s="2">
        <f t="shared" si="155"/>
        <v>0</v>
      </c>
      <c r="AH140" s="2">
        <f t="shared" si="155"/>
        <v>0</v>
      </c>
      <c r="AI140" s="2">
        <f t="shared" si="155"/>
        <v>0</v>
      </c>
      <c r="AJ140" s="2">
        <f t="shared" si="155"/>
        <v>0</v>
      </c>
      <c r="AK140" s="2">
        <f t="shared" si="155"/>
        <v>0</v>
      </c>
      <c r="AL140" s="2">
        <f t="shared" si="155"/>
        <v>0</v>
      </c>
      <c r="AM140" s="2">
        <f t="shared" si="155"/>
        <v>0</v>
      </c>
      <c r="AN140" s="2">
        <f t="shared" si="155"/>
        <v>0</v>
      </c>
      <c r="AO140" s="2">
        <f t="shared" si="155"/>
        <v>0</v>
      </c>
      <c r="AP140" s="2">
        <f t="shared" si="155"/>
        <v>0</v>
      </c>
      <c r="AQ140" s="2">
        <f t="shared" si="155"/>
        <v>0</v>
      </c>
      <c r="AR140" s="2">
        <f t="shared" si="155"/>
        <v>0</v>
      </c>
      <c r="AS140" s="2">
        <f t="shared" si="155"/>
        <v>0</v>
      </c>
      <c r="AT140" s="2">
        <f t="shared" si="155"/>
        <v>0</v>
      </c>
      <c r="AU140" s="2">
        <f t="shared" si="155"/>
        <v>0</v>
      </c>
      <c r="AV140" s="2">
        <f t="shared" si="155"/>
        <v>0</v>
      </c>
    </row>
    <row r="141" spans="1:48" x14ac:dyDescent="0.25">
      <c r="A141" s="354" t="s">
        <v>1971</v>
      </c>
      <c r="B141" t="s">
        <v>1710</v>
      </c>
      <c r="C141" t="s">
        <v>1781</v>
      </c>
      <c r="D141">
        <f t="shared" si="154"/>
        <v>0</v>
      </c>
      <c r="E141">
        <f t="shared" si="154"/>
        <v>0</v>
      </c>
      <c r="F141">
        <f t="shared" si="154"/>
        <v>0</v>
      </c>
      <c r="G141">
        <f t="shared" si="154"/>
        <v>0</v>
      </c>
      <c r="H141">
        <f t="shared" si="154"/>
        <v>0</v>
      </c>
      <c r="I141">
        <f t="shared" si="154"/>
        <v>0</v>
      </c>
      <c r="J141">
        <f t="shared" si="154"/>
        <v>0</v>
      </c>
      <c r="K141">
        <f t="shared" si="154"/>
        <v>0</v>
      </c>
      <c r="L141">
        <f t="shared" si="154"/>
        <v>0</v>
      </c>
      <c r="M141">
        <f t="shared" si="154"/>
        <v>0</v>
      </c>
      <c r="N141" s="2">
        <f t="shared" ref="N141:AV141" si="156">IFERROR(IF($M141-$D141&gt;=0,($M141-$D141)/COUNT($E$1:$M$1)+M141,$F494*$E494^N$1),0)</f>
        <v>0</v>
      </c>
      <c r="O141" s="2">
        <f t="shared" si="156"/>
        <v>0</v>
      </c>
      <c r="P141" s="2">
        <f t="shared" si="156"/>
        <v>0</v>
      </c>
      <c r="Q141" s="2">
        <f t="shared" si="156"/>
        <v>0</v>
      </c>
      <c r="R141" s="2">
        <f t="shared" si="156"/>
        <v>0</v>
      </c>
      <c r="S141" s="2">
        <f t="shared" si="156"/>
        <v>0</v>
      </c>
      <c r="T141" s="2">
        <f t="shared" si="156"/>
        <v>0</v>
      </c>
      <c r="U141" s="2">
        <f t="shared" si="156"/>
        <v>0</v>
      </c>
      <c r="V141" s="2">
        <f t="shared" si="156"/>
        <v>0</v>
      </c>
      <c r="W141" s="2">
        <f t="shared" si="156"/>
        <v>0</v>
      </c>
      <c r="X141" s="2">
        <f t="shared" si="156"/>
        <v>0</v>
      </c>
      <c r="Y141" s="2">
        <f t="shared" si="156"/>
        <v>0</v>
      </c>
      <c r="Z141" s="2">
        <f t="shared" si="156"/>
        <v>0</v>
      </c>
      <c r="AA141" s="2">
        <f t="shared" si="156"/>
        <v>0</v>
      </c>
      <c r="AB141" s="2">
        <f t="shared" si="156"/>
        <v>0</v>
      </c>
      <c r="AC141" s="2">
        <f t="shared" si="156"/>
        <v>0</v>
      </c>
      <c r="AD141" s="2">
        <f t="shared" si="156"/>
        <v>0</v>
      </c>
      <c r="AE141" s="2">
        <f t="shared" si="156"/>
        <v>0</v>
      </c>
      <c r="AF141" s="2">
        <f t="shared" si="156"/>
        <v>0</v>
      </c>
      <c r="AG141" s="2">
        <f t="shared" si="156"/>
        <v>0</v>
      </c>
      <c r="AH141" s="2">
        <f t="shared" si="156"/>
        <v>0</v>
      </c>
      <c r="AI141" s="2">
        <f t="shared" si="156"/>
        <v>0</v>
      </c>
      <c r="AJ141" s="2">
        <f t="shared" si="156"/>
        <v>0</v>
      </c>
      <c r="AK141" s="2">
        <f t="shared" si="156"/>
        <v>0</v>
      </c>
      <c r="AL141" s="2">
        <f t="shared" si="156"/>
        <v>0</v>
      </c>
      <c r="AM141" s="2">
        <f t="shared" si="156"/>
        <v>0</v>
      </c>
      <c r="AN141" s="2">
        <f t="shared" si="156"/>
        <v>0</v>
      </c>
      <c r="AO141" s="2">
        <f t="shared" si="156"/>
        <v>0</v>
      </c>
      <c r="AP141" s="2">
        <f t="shared" si="156"/>
        <v>0</v>
      </c>
      <c r="AQ141" s="2">
        <f t="shared" si="156"/>
        <v>0</v>
      </c>
      <c r="AR141" s="2">
        <f t="shared" si="156"/>
        <v>0</v>
      </c>
      <c r="AS141" s="2">
        <f t="shared" si="156"/>
        <v>0</v>
      </c>
      <c r="AT141" s="2">
        <f t="shared" si="156"/>
        <v>0</v>
      </c>
      <c r="AU141" s="2">
        <f t="shared" si="156"/>
        <v>0</v>
      </c>
      <c r="AV141" s="2">
        <f t="shared" si="156"/>
        <v>0</v>
      </c>
    </row>
    <row r="142" spans="1:48" x14ac:dyDescent="0.25">
      <c r="A142" s="354" t="s">
        <v>1972</v>
      </c>
      <c r="B142" t="s">
        <v>469</v>
      </c>
      <c r="C142" t="s">
        <v>1781</v>
      </c>
      <c r="D142">
        <f t="shared" si="154"/>
        <v>0</v>
      </c>
      <c r="E142">
        <f t="shared" si="154"/>
        <v>0</v>
      </c>
      <c r="F142">
        <f t="shared" si="154"/>
        <v>0</v>
      </c>
      <c r="G142">
        <f t="shared" si="154"/>
        <v>0</v>
      </c>
      <c r="H142">
        <f t="shared" si="154"/>
        <v>0</v>
      </c>
      <c r="I142">
        <f t="shared" si="154"/>
        <v>0</v>
      </c>
      <c r="J142">
        <f t="shared" si="154"/>
        <v>0</v>
      </c>
      <c r="K142">
        <f t="shared" si="154"/>
        <v>0</v>
      </c>
      <c r="L142">
        <f t="shared" si="154"/>
        <v>0</v>
      </c>
      <c r="M142">
        <f t="shared" si="154"/>
        <v>0</v>
      </c>
      <c r="N142" s="2">
        <f t="shared" ref="N142:AV142" si="157">IFERROR(IF($M142-$D142&gt;=0,($M142-$D142)/COUNT($E$1:$M$1)+M142,$F495*$E495^N$1),0)</f>
        <v>0</v>
      </c>
      <c r="O142" s="2">
        <f t="shared" si="157"/>
        <v>0</v>
      </c>
      <c r="P142" s="2">
        <f t="shared" si="157"/>
        <v>0</v>
      </c>
      <c r="Q142" s="2">
        <f t="shared" si="157"/>
        <v>0</v>
      </c>
      <c r="R142" s="2">
        <f t="shared" si="157"/>
        <v>0</v>
      </c>
      <c r="S142" s="2">
        <f t="shared" si="157"/>
        <v>0</v>
      </c>
      <c r="T142" s="2">
        <f t="shared" si="157"/>
        <v>0</v>
      </c>
      <c r="U142" s="2">
        <f t="shared" si="157"/>
        <v>0</v>
      </c>
      <c r="V142" s="2">
        <f t="shared" si="157"/>
        <v>0</v>
      </c>
      <c r="W142" s="2">
        <f t="shared" si="157"/>
        <v>0</v>
      </c>
      <c r="X142" s="2">
        <f t="shared" si="157"/>
        <v>0</v>
      </c>
      <c r="Y142" s="2">
        <f t="shared" si="157"/>
        <v>0</v>
      </c>
      <c r="Z142" s="2">
        <f t="shared" si="157"/>
        <v>0</v>
      </c>
      <c r="AA142" s="2">
        <f t="shared" si="157"/>
        <v>0</v>
      </c>
      <c r="AB142" s="2">
        <f t="shared" si="157"/>
        <v>0</v>
      </c>
      <c r="AC142" s="2">
        <f t="shared" si="157"/>
        <v>0</v>
      </c>
      <c r="AD142" s="2">
        <f t="shared" si="157"/>
        <v>0</v>
      </c>
      <c r="AE142" s="2">
        <f t="shared" si="157"/>
        <v>0</v>
      </c>
      <c r="AF142" s="2">
        <f t="shared" si="157"/>
        <v>0</v>
      </c>
      <c r="AG142" s="2">
        <f t="shared" si="157"/>
        <v>0</v>
      </c>
      <c r="AH142" s="2">
        <f t="shared" si="157"/>
        <v>0</v>
      </c>
      <c r="AI142" s="2">
        <f t="shared" si="157"/>
        <v>0</v>
      </c>
      <c r="AJ142" s="2">
        <f t="shared" si="157"/>
        <v>0</v>
      </c>
      <c r="AK142" s="2">
        <f t="shared" si="157"/>
        <v>0</v>
      </c>
      <c r="AL142" s="2">
        <f t="shared" si="157"/>
        <v>0</v>
      </c>
      <c r="AM142" s="2">
        <f t="shared" si="157"/>
        <v>0</v>
      </c>
      <c r="AN142" s="2">
        <f t="shared" si="157"/>
        <v>0</v>
      </c>
      <c r="AO142" s="2">
        <f t="shared" si="157"/>
        <v>0</v>
      </c>
      <c r="AP142" s="2">
        <f t="shared" si="157"/>
        <v>0</v>
      </c>
      <c r="AQ142" s="2">
        <f t="shared" si="157"/>
        <v>0</v>
      </c>
      <c r="AR142" s="2">
        <f t="shared" si="157"/>
        <v>0</v>
      </c>
      <c r="AS142" s="2">
        <f t="shared" si="157"/>
        <v>0</v>
      </c>
      <c r="AT142" s="2">
        <f t="shared" si="157"/>
        <v>0</v>
      </c>
      <c r="AU142" s="2">
        <f t="shared" si="157"/>
        <v>0</v>
      </c>
      <c r="AV142" s="2">
        <f t="shared" si="157"/>
        <v>0</v>
      </c>
    </row>
    <row r="143" spans="1:48" s="105" customFormat="1" x14ac:dyDescent="0.25">
      <c r="A143" s="357" t="s">
        <v>1973</v>
      </c>
      <c r="B143" s="105" t="s">
        <v>1988</v>
      </c>
      <c r="C143" s="105" t="s">
        <v>1781</v>
      </c>
      <c r="D143" s="105">
        <f t="shared" si="154"/>
        <v>0</v>
      </c>
      <c r="E143" s="105">
        <f t="shared" si="154"/>
        <v>0</v>
      </c>
      <c r="F143" s="105">
        <f t="shared" si="154"/>
        <v>0</v>
      </c>
      <c r="G143" s="105">
        <f t="shared" si="154"/>
        <v>0</v>
      </c>
      <c r="H143" s="105">
        <f t="shared" si="154"/>
        <v>0</v>
      </c>
      <c r="I143" s="105">
        <f t="shared" si="154"/>
        <v>0</v>
      </c>
      <c r="J143" s="105">
        <f t="shared" si="154"/>
        <v>0</v>
      </c>
      <c r="K143" s="105">
        <f t="shared" si="154"/>
        <v>0</v>
      </c>
      <c r="L143" s="105">
        <f t="shared" si="154"/>
        <v>0</v>
      </c>
      <c r="M143" s="105">
        <f t="shared" si="154"/>
        <v>0</v>
      </c>
      <c r="N143" s="358">
        <f t="shared" ref="N143:AV143" si="158">IFERROR(IF($M143-$D143&gt;=0,($M143-$D143)/COUNT($E$1:$M$1)+M143,$F496*$E496^N$1),0)</f>
        <v>0</v>
      </c>
      <c r="O143" s="358">
        <f t="shared" si="158"/>
        <v>0</v>
      </c>
      <c r="P143" s="358">
        <f t="shared" si="158"/>
        <v>0</v>
      </c>
      <c r="Q143" s="358">
        <f t="shared" si="158"/>
        <v>0</v>
      </c>
      <c r="R143" s="358">
        <f t="shared" si="158"/>
        <v>0</v>
      </c>
      <c r="S143" s="358">
        <f t="shared" si="158"/>
        <v>0</v>
      </c>
      <c r="T143" s="358">
        <f t="shared" si="158"/>
        <v>0</v>
      </c>
      <c r="U143" s="358">
        <f t="shared" si="158"/>
        <v>0</v>
      </c>
      <c r="V143" s="358">
        <f t="shared" si="158"/>
        <v>0</v>
      </c>
      <c r="W143" s="358">
        <f t="shared" si="158"/>
        <v>0</v>
      </c>
      <c r="X143" s="358">
        <f t="shared" si="158"/>
        <v>0</v>
      </c>
      <c r="Y143" s="358">
        <f t="shared" si="158"/>
        <v>0</v>
      </c>
      <c r="Z143" s="358">
        <f t="shared" si="158"/>
        <v>0</v>
      </c>
      <c r="AA143" s="358">
        <f t="shared" si="158"/>
        <v>0</v>
      </c>
      <c r="AB143" s="358">
        <f t="shared" si="158"/>
        <v>0</v>
      </c>
      <c r="AC143" s="358">
        <f t="shared" si="158"/>
        <v>0</v>
      </c>
      <c r="AD143" s="358">
        <f t="shared" si="158"/>
        <v>0</v>
      </c>
      <c r="AE143" s="358">
        <f t="shared" si="158"/>
        <v>0</v>
      </c>
      <c r="AF143" s="358">
        <f t="shared" si="158"/>
        <v>0</v>
      </c>
      <c r="AG143" s="358">
        <f t="shared" si="158"/>
        <v>0</v>
      </c>
      <c r="AH143" s="358">
        <f t="shared" si="158"/>
        <v>0</v>
      </c>
      <c r="AI143" s="358">
        <f t="shared" si="158"/>
        <v>0</v>
      </c>
      <c r="AJ143" s="358">
        <f t="shared" si="158"/>
        <v>0</v>
      </c>
      <c r="AK143" s="358">
        <f t="shared" si="158"/>
        <v>0</v>
      </c>
      <c r="AL143" s="358">
        <f t="shared" si="158"/>
        <v>0</v>
      </c>
      <c r="AM143" s="358">
        <f t="shared" si="158"/>
        <v>0</v>
      </c>
      <c r="AN143" s="358">
        <f t="shared" si="158"/>
        <v>0</v>
      </c>
      <c r="AO143" s="358">
        <f t="shared" si="158"/>
        <v>0</v>
      </c>
      <c r="AP143" s="358">
        <f t="shared" si="158"/>
        <v>0</v>
      </c>
      <c r="AQ143" s="358">
        <f t="shared" si="158"/>
        <v>0</v>
      </c>
      <c r="AR143" s="358">
        <f t="shared" si="158"/>
        <v>0</v>
      </c>
      <c r="AS143" s="358">
        <f t="shared" si="158"/>
        <v>0</v>
      </c>
      <c r="AT143" s="358">
        <f t="shared" si="158"/>
        <v>0</v>
      </c>
      <c r="AU143" s="358">
        <f t="shared" si="158"/>
        <v>0</v>
      </c>
      <c r="AV143" s="358">
        <f t="shared" si="158"/>
        <v>0</v>
      </c>
    </row>
    <row r="144" spans="1:48" x14ac:dyDescent="0.25">
      <c r="A144" s="354" t="s">
        <v>1974</v>
      </c>
      <c r="B144" t="s">
        <v>469</v>
      </c>
      <c r="C144" t="s">
        <v>1781</v>
      </c>
      <c r="D144">
        <f t="shared" si="154"/>
        <v>0</v>
      </c>
      <c r="E144">
        <f t="shared" si="154"/>
        <v>0</v>
      </c>
      <c r="F144">
        <f t="shared" si="154"/>
        <v>0</v>
      </c>
      <c r="G144">
        <f t="shared" si="154"/>
        <v>0</v>
      </c>
      <c r="H144">
        <f t="shared" si="154"/>
        <v>0</v>
      </c>
      <c r="I144">
        <f t="shared" si="154"/>
        <v>0</v>
      </c>
      <c r="J144">
        <f t="shared" si="154"/>
        <v>0</v>
      </c>
      <c r="K144">
        <f t="shared" si="154"/>
        <v>0</v>
      </c>
      <c r="L144">
        <f t="shared" si="154"/>
        <v>0</v>
      </c>
      <c r="M144">
        <f t="shared" si="154"/>
        <v>0</v>
      </c>
      <c r="N144" s="2">
        <f t="shared" ref="N144:AV144" si="159">IFERROR(IF($M144-$D144&gt;=0,($M144-$D144)/COUNT($E$1:$M$1)+M144,$F497*$E497^N$1),0)</f>
        <v>0</v>
      </c>
      <c r="O144" s="2">
        <f t="shared" si="159"/>
        <v>0</v>
      </c>
      <c r="P144" s="2">
        <f t="shared" si="159"/>
        <v>0</v>
      </c>
      <c r="Q144" s="2">
        <f t="shared" si="159"/>
        <v>0</v>
      </c>
      <c r="R144" s="2">
        <f t="shared" si="159"/>
        <v>0</v>
      </c>
      <c r="S144" s="2">
        <f t="shared" si="159"/>
        <v>0</v>
      </c>
      <c r="T144" s="2">
        <f t="shared" si="159"/>
        <v>0</v>
      </c>
      <c r="U144" s="2">
        <f t="shared" si="159"/>
        <v>0</v>
      </c>
      <c r="V144" s="2">
        <f t="shared" si="159"/>
        <v>0</v>
      </c>
      <c r="W144" s="2">
        <f t="shared" si="159"/>
        <v>0</v>
      </c>
      <c r="X144" s="2">
        <f t="shared" si="159"/>
        <v>0</v>
      </c>
      <c r="Y144" s="2">
        <f t="shared" si="159"/>
        <v>0</v>
      </c>
      <c r="Z144" s="2">
        <f t="shared" si="159"/>
        <v>0</v>
      </c>
      <c r="AA144" s="2">
        <f t="shared" si="159"/>
        <v>0</v>
      </c>
      <c r="AB144" s="2">
        <f t="shared" si="159"/>
        <v>0</v>
      </c>
      <c r="AC144" s="2">
        <f t="shared" si="159"/>
        <v>0</v>
      </c>
      <c r="AD144" s="2">
        <f t="shared" si="159"/>
        <v>0</v>
      </c>
      <c r="AE144" s="2">
        <f t="shared" si="159"/>
        <v>0</v>
      </c>
      <c r="AF144" s="2">
        <f t="shared" si="159"/>
        <v>0</v>
      </c>
      <c r="AG144" s="2">
        <f t="shared" si="159"/>
        <v>0</v>
      </c>
      <c r="AH144" s="2">
        <f t="shared" si="159"/>
        <v>0</v>
      </c>
      <c r="AI144" s="2">
        <f t="shared" si="159"/>
        <v>0</v>
      </c>
      <c r="AJ144" s="2">
        <f t="shared" si="159"/>
        <v>0</v>
      </c>
      <c r="AK144" s="2">
        <f t="shared" si="159"/>
        <v>0</v>
      </c>
      <c r="AL144" s="2">
        <f t="shared" si="159"/>
        <v>0</v>
      </c>
      <c r="AM144" s="2">
        <f t="shared" si="159"/>
        <v>0</v>
      </c>
      <c r="AN144" s="2">
        <f t="shared" si="159"/>
        <v>0</v>
      </c>
      <c r="AO144" s="2">
        <f t="shared" si="159"/>
        <v>0</v>
      </c>
      <c r="AP144" s="2">
        <f t="shared" si="159"/>
        <v>0</v>
      </c>
      <c r="AQ144" s="2">
        <f t="shared" si="159"/>
        <v>0</v>
      </c>
      <c r="AR144" s="2">
        <f t="shared" si="159"/>
        <v>0</v>
      </c>
      <c r="AS144" s="2">
        <f t="shared" si="159"/>
        <v>0</v>
      </c>
      <c r="AT144" s="2">
        <f t="shared" si="159"/>
        <v>0</v>
      </c>
      <c r="AU144" s="2">
        <f t="shared" si="159"/>
        <v>0</v>
      </c>
      <c r="AV144" s="2">
        <f t="shared" si="159"/>
        <v>0</v>
      </c>
    </row>
    <row r="145" spans="1:48" x14ac:dyDescent="0.25">
      <c r="A145" s="354" t="s">
        <v>1688</v>
      </c>
      <c r="B145" t="s">
        <v>1709</v>
      </c>
      <c r="C145" t="s">
        <v>1782</v>
      </c>
      <c r="D145">
        <f t="shared" ref="D145:M154" si="160">IFERROR(INDEX($B$258:$AA$258,MATCH($A145,$A$258,0),MATCH(D$1,$B$175:$AA$175,0)),0)</f>
        <v>0</v>
      </c>
      <c r="E145">
        <f t="shared" si="160"/>
        <v>0</v>
      </c>
      <c r="F145">
        <f t="shared" si="160"/>
        <v>0</v>
      </c>
      <c r="G145">
        <f t="shared" si="160"/>
        <v>0</v>
      </c>
      <c r="H145">
        <f t="shared" si="160"/>
        <v>0</v>
      </c>
      <c r="I145">
        <f t="shared" si="160"/>
        <v>0</v>
      </c>
      <c r="J145">
        <f t="shared" si="160"/>
        <v>0</v>
      </c>
      <c r="K145">
        <f t="shared" si="160"/>
        <v>0</v>
      </c>
      <c r="L145">
        <f t="shared" si="160"/>
        <v>0</v>
      </c>
      <c r="M145">
        <f t="shared" si="160"/>
        <v>0</v>
      </c>
      <c r="N145" s="2">
        <f t="shared" ref="N145:AV145" si="161">IFERROR(IF($M145-$D145&gt;=0,($M145-$D145)/COUNT($E$1:$M$1)+M145,$F498*$E498^N$1),0)</f>
        <v>0</v>
      </c>
      <c r="O145" s="2">
        <f t="shared" si="161"/>
        <v>0</v>
      </c>
      <c r="P145" s="2">
        <f t="shared" si="161"/>
        <v>0</v>
      </c>
      <c r="Q145" s="2">
        <f t="shared" si="161"/>
        <v>0</v>
      </c>
      <c r="R145" s="2">
        <f t="shared" si="161"/>
        <v>0</v>
      </c>
      <c r="S145" s="2">
        <f t="shared" si="161"/>
        <v>0</v>
      </c>
      <c r="T145" s="2">
        <f t="shared" si="161"/>
        <v>0</v>
      </c>
      <c r="U145" s="2">
        <f t="shared" si="161"/>
        <v>0</v>
      </c>
      <c r="V145" s="2">
        <f t="shared" si="161"/>
        <v>0</v>
      </c>
      <c r="W145" s="2">
        <f t="shared" si="161"/>
        <v>0</v>
      </c>
      <c r="X145" s="2">
        <f t="shared" si="161"/>
        <v>0</v>
      </c>
      <c r="Y145" s="2">
        <f t="shared" si="161"/>
        <v>0</v>
      </c>
      <c r="Z145" s="2">
        <f t="shared" si="161"/>
        <v>0</v>
      </c>
      <c r="AA145" s="2">
        <f t="shared" si="161"/>
        <v>0</v>
      </c>
      <c r="AB145" s="2">
        <f t="shared" si="161"/>
        <v>0</v>
      </c>
      <c r="AC145" s="2">
        <f t="shared" si="161"/>
        <v>0</v>
      </c>
      <c r="AD145" s="2">
        <f t="shared" si="161"/>
        <v>0</v>
      </c>
      <c r="AE145" s="2">
        <f t="shared" si="161"/>
        <v>0</v>
      </c>
      <c r="AF145" s="2">
        <f t="shared" si="161"/>
        <v>0</v>
      </c>
      <c r="AG145" s="2">
        <f t="shared" si="161"/>
        <v>0</v>
      </c>
      <c r="AH145" s="2">
        <f t="shared" si="161"/>
        <v>0</v>
      </c>
      <c r="AI145" s="2">
        <f t="shared" si="161"/>
        <v>0</v>
      </c>
      <c r="AJ145" s="2">
        <f t="shared" si="161"/>
        <v>0</v>
      </c>
      <c r="AK145" s="2">
        <f t="shared" si="161"/>
        <v>0</v>
      </c>
      <c r="AL145" s="2">
        <f t="shared" si="161"/>
        <v>0</v>
      </c>
      <c r="AM145" s="2">
        <f t="shared" si="161"/>
        <v>0</v>
      </c>
      <c r="AN145" s="2">
        <f t="shared" si="161"/>
        <v>0</v>
      </c>
      <c r="AO145" s="2">
        <f t="shared" si="161"/>
        <v>0</v>
      </c>
      <c r="AP145" s="2">
        <f t="shared" si="161"/>
        <v>0</v>
      </c>
      <c r="AQ145" s="2">
        <f t="shared" si="161"/>
        <v>0</v>
      </c>
      <c r="AR145" s="2">
        <f t="shared" si="161"/>
        <v>0</v>
      </c>
      <c r="AS145" s="2">
        <f t="shared" si="161"/>
        <v>0</v>
      </c>
      <c r="AT145" s="2">
        <f t="shared" si="161"/>
        <v>0</v>
      </c>
      <c r="AU145" s="2">
        <f t="shared" si="161"/>
        <v>0</v>
      </c>
      <c r="AV145" s="2">
        <f t="shared" si="161"/>
        <v>0</v>
      </c>
    </row>
    <row r="146" spans="1:48" x14ac:dyDescent="0.25">
      <c r="A146" s="354" t="s">
        <v>1689</v>
      </c>
      <c r="B146" t="s">
        <v>273</v>
      </c>
      <c r="C146" t="s">
        <v>1782</v>
      </c>
      <c r="D146">
        <f t="shared" si="160"/>
        <v>0</v>
      </c>
      <c r="E146">
        <f t="shared" si="160"/>
        <v>0</v>
      </c>
      <c r="F146">
        <f t="shared" si="160"/>
        <v>0</v>
      </c>
      <c r="G146">
        <f t="shared" si="160"/>
        <v>0</v>
      </c>
      <c r="H146">
        <f t="shared" si="160"/>
        <v>0</v>
      </c>
      <c r="I146">
        <f t="shared" si="160"/>
        <v>0</v>
      </c>
      <c r="J146">
        <f t="shared" si="160"/>
        <v>0</v>
      </c>
      <c r="K146">
        <f t="shared" si="160"/>
        <v>0</v>
      </c>
      <c r="L146">
        <f t="shared" si="160"/>
        <v>0</v>
      </c>
      <c r="M146">
        <f t="shared" si="160"/>
        <v>0</v>
      </c>
      <c r="N146" s="2">
        <f t="shared" ref="N146:AV146" si="162">IFERROR(IF($M146-$D146&gt;=0,($M146-$D146)/COUNT($E$1:$M$1)+M146,$F499*$E499^N$1),0)</f>
        <v>0</v>
      </c>
      <c r="O146" s="2">
        <f t="shared" si="162"/>
        <v>0</v>
      </c>
      <c r="P146" s="2">
        <f t="shared" si="162"/>
        <v>0</v>
      </c>
      <c r="Q146" s="2">
        <f t="shared" si="162"/>
        <v>0</v>
      </c>
      <c r="R146" s="2">
        <f t="shared" si="162"/>
        <v>0</v>
      </c>
      <c r="S146" s="2">
        <f t="shared" si="162"/>
        <v>0</v>
      </c>
      <c r="T146" s="2">
        <f t="shared" si="162"/>
        <v>0</v>
      </c>
      <c r="U146" s="2">
        <f t="shared" si="162"/>
        <v>0</v>
      </c>
      <c r="V146" s="2">
        <f t="shared" si="162"/>
        <v>0</v>
      </c>
      <c r="W146" s="2">
        <f t="shared" si="162"/>
        <v>0</v>
      </c>
      <c r="X146" s="2">
        <f t="shared" si="162"/>
        <v>0</v>
      </c>
      <c r="Y146" s="2">
        <f t="shared" si="162"/>
        <v>0</v>
      </c>
      <c r="Z146" s="2">
        <f t="shared" si="162"/>
        <v>0</v>
      </c>
      <c r="AA146" s="2">
        <f t="shared" si="162"/>
        <v>0</v>
      </c>
      <c r="AB146" s="2">
        <f t="shared" si="162"/>
        <v>0</v>
      </c>
      <c r="AC146" s="2">
        <f t="shared" si="162"/>
        <v>0</v>
      </c>
      <c r="AD146" s="2">
        <f t="shared" si="162"/>
        <v>0</v>
      </c>
      <c r="AE146" s="2">
        <f t="shared" si="162"/>
        <v>0</v>
      </c>
      <c r="AF146" s="2">
        <f t="shared" si="162"/>
        <v>0</v>
      </c>
      <c r="AG146" s="2">
        <f t="shared" si="162"/>
        <v>0</v>
      </c>
      <c r="AH146" s="2">
        <f t="shared" si="162"/>
        <v>0</v>
      </c>
      <c r="AI146" s="2">
        <f t="shared" si="162"/>
        <v>0</v>
      </c>
      <c r="AJ146" s="2">
        <f t="shared" si="162"/>
        <v>0</v>
      </c>
      <c r="AK146" s="2">
        <f t="shared" si="162"/>
        <v>0</v>
      </c>
      <c r="AL146" s="2">
        <f t="shared" si="162"/>
        <v>0</v>
      </c>
      <c r="AM146" s="2">
        <f t="shared" si="162"/>
        <v>0</v>
      </c>
      <c r="AN146" s="2">
        <f t="shared" si="162"/>
        <v>0</v>
      </c>
      <c r="AO146" s="2">
        <f t="shared" si="162"/>
        <v>0</v>
      </c>
      <c r="AP146" s="2">
        <f t="shared" si="162"/>
        <v>0</v>
      </c>
      <c r="AQ146" s="2">
        <f t="shared" si="162"/>
        <v>0</v>
      </c>
      <c r="AR146" s="2">
        <f t="shared" si="162"/>
        <v>0</v>
      </c>
      <c r="AS146" s="2">
        <f t="shared" si="162"/>
        <v>0</v>
      </c>
      <c r="AT146" s="2">
        <f t="shared" si="162"/>
        <v>0</v>
      </c>
      <c r="AU146" s="2">
        <f t="shared" si="162"/>
        <v>0</v>
      </c>
      <c r="AV146" s="2">
        <f t="shared" si="162"/>
        <v>0</v>
      </c>
    </row>
    <row r="147" spans="1:48" x14ac:dyDescent="0.25">
      <c r="A147" s="355" t="s">
        <v>1978</v>
      </c>
      <c r="B147" t="s">
        <v>469</v>
      </c>
      <c r="C147" t="s">
        <v>1782</v>
      </c>
      <c r="D147">
        <f t="shared" si="160"/>
        <v>0</v>
      </c>
      <c r="E147">
        <f t="shared" si="160"/>
        <v>0</v>
      </c>
      <c r="F147">
        <f t="shared" si="160"/>
        <v>0</v>
      </c>
      <c r="G147">
        <f t="shared" si="160"/>
        <v>0</v>
      </c>
      <c r="H147">
        <f t="shared" si="160"/>
        <v>0</v>
      </c>
      <c r="I147">
        <f t="shared" si="160"/>
        <v>0</v>
      </c>
      <c r="J147">
        <f t="shared" si="160"/>
        <v>0</v>
      </c>
      <c r="K147">
        <f t="shared" si="160"/>
        <v>0</v>
      </c>
      <c r="L147">
        <f t="shared" si="160"/>
        <v>0</v>
      </c>
      <c r="M147">
        <f t="shared" si="160"/>
        <v>0</v>
      </c>
      <c r="N147" s="2">
        <f t="shared" ref="N147:AV147" si="163">IFERROR(IF($M147-$D147&gt;=0,($M147-$D147)/COUNT($E$1:$M$1)+M147,$F500*$E500^N$1),0)</f>
        <v>0</v>
      </c>
      <c r="O147" s="2">
        <f t="shared" si="163"/>
        <v>0</v>
      </c>
      <c r="P147" s="2">
        <f t="shared" si="163"/>
        <v>0</v>
      </c>
      <c r="Q147" s="2">
        <f t="shared" si="163"/>
        <v>0</v>
      </c>
      <c r="R147" s="2">
        <f t="shared" si="163"/>
        <v>0</v>
      </c>
      <c r="S147" s="2">
        <f t="shared" si="163"/>
        <v>0</v>
      </c>
      <c r="T147" s="2">
        <f t="shared" si="163"/>
        <v>0</v>
      </c>
      <c r="U147" s="2">
        <f t="shared" si="163"/>
        <v>0</v>
      </c>
      <c r="V147" s="2">
        <f t="shared" si="163"/>
        <v>0</v>
      </c>
      <c r="W147" s="2">
        <f t="shared" si="163"/>
        <v>0</v>
      </c>
      <c r="X147" s="2">
        <f t="shared" si="163"/>
        <v>0</v>
      </c>
      <c r="Y147" s="2">
        <f t="shared" si="163"/>
        <v>0</v>
      </c>
      <c r="Z147" s="2">
        <f t="shared" si="163"/>
        <v>0</v>
      </c>
      <c r="AA147" s="2">
        <f t="shared" si="163"/>
        <v>0</v>
      </c>
      <c r="AB147" s="2">
        <f t="shared" si="163"/>
        <v>0</v>
      </c>
      <c r="AC147" s="2">
        <f t="shared" si="163"/>
        <v>0</v>
      </c>
      <c r="AD147" s="2">
        <f t="shared" si="163"/>
        <v>0</v>
      </c>
      <c r="AE147" s="2">
        <f t="shared" si="163"/>
        <v>0</v>
      </c>
      <c r="AF147" s="2">
        <f t="shared" si="163"/>
        <v>0</v>
      </c>
      <c r="AG147" s="2">
        <f t="shared" si="163"/>
        <v>0</v>
      </c>
      <c r="AH147" s="2">
        <f t="shared" si="163"/>
        <v>0</v>
      </c>
      <c r="AI147" s="2">
        <f t="shared" si="163"/>
        <v>0</v>
      </c>
      <c r="AJ147" s="2">
        <f t="shared" si="163"/>
        <v>0</v>
      </c>
      <c r="AK147" s="2">
        <f t="shared" si="163"/>
        <v>0</v>
      </c>
      <c r="AL147" s="2">
        <f t="shared" si="163"/>
        <v>0</v>
      </c>
      <c r="AM147" s="2">
        <f t="shared" si="163"/>
        <v>0</v>
      </c>
      <c r="AN147" s="2">
        <f t="shared" si="163"/>
        <v>0</v>
      </c>
      <c r="AO147" s="2">
        <f t="shared" si="163"/>
        <v>0</v>
      </c>
      <c r="AP147" s="2">
        <f t="shared" si="163"/>
        <v>0</v>
      </c>
      <c r="AQ147" s="2">
        <f t="shared" si="163"/>
        <v>0</v>
      </c>
      <c r="AR147" s="2">
        <f t="shared" si="163"/>
        <v>0</v>
      </c>
      <c r="AS147" s="2">
        <f t="shared" si="163"/>
        <v>0</v>
      </c>
      <c r="AT147" s="2">
        <f t="shared" si="163"/>
        <v>0</v>
      </c>
      <c r="AU147" s="2">
        <f t="shared" si="163"/>
        <v>0</v>
      </c>
      <c r="AV147" s="2">
        <f t="shared" si="163"/>
        <v>0</v>
      </c>
    </row>
    <row r="148" spans="1:48" x14ac:dyDescent="0.25">
      <c r="A148" s="354" t="s">
        <v>1975</v>
      </c>
      <c r="B148" t="s">
        <v>469</v>
      </c>
      <c r="C148" t="s">
        <v>1782</v>
      </c>
      <c r="D148">
        <f t="shared" si="160"/>
        <v>0</v>
      </c>
      <c r="E148">
        <f t="shared" si="160"/>
        <v>0</v>
      </c>
      <c r="F148">
        <f t="shared" si="160"/>
        <v>0</v>
      </c>
      <c r="G148">
        <f t="shared" si="160"/>
        <v>0</v>
      </c>
      <c r="H148">
        <f t="shared" si="160"/>
        <v>0</v>
      </c>
      <c r="I148">
        <f t="shared" si="160"/>
        <v>0</v>
      </c>
      <c r="J148">
        <f t="shared" si="160"/>
        <v>0</v>
      </c>
      <c r="K148">
        <f t="shared" si="160"/>
        <v>0</v>
      </c>
      <c r="L148">
        <f t="shared" si="160"/>
        <v>0</v>
      </c>
      <c r="M148">
        <f t="shared" si="160"/>
        <v>0</v>
      </c>
      <c r="N148" s="2">
        <f t="shared" ref="N148:AV148" si="164">IFERROR(IF($M148-$D148&gt;=0,($M148-$D148)/COUNT($E$1:$M$1)+M148,$F501*$E501^N$1),0)</f>
        <v>0</v>
      </c>
      <c r="O148" s="2">
        <f t="shared" si="164"/>
        <v>0</v>
      </c>
      <c r="P148" s="2">
        <f t="shared" si="164"/>
        <v>0</v>
      </c>
      <c r="Q148" s="2">
        <f t="shared" si="164"/>
        <v>0</v>
      </c>
      <c r="R148" s="2">
        <f t="shared" si="164"/>
        <v>0</v>
      </c>
      <c r="S148" s="2">
        <f t="shared" si="164"/>
        <v>0</v>
      </c>
      <c r="T148" s="2">
        <f t="shared" si="164"/>
        <v>0</v>
      </c>
      <c r="U148" s="2">
        <f t="shared" si="164"/>
        <v>0</v>
      </c>
      <c r="V148" s="2">
        <f t="shared" si="164"/>
        <v>0</v>
      </c>
      <c r="W148" s="2">
        <f t="shared" si="164"/>
        <v>0</v>
      </c>
      <c r="X148" s="2">
        <f t="shared" si="164"/>
        <v>0</v>
      </c>
      <c r="Y148" s="2">
        <f t="shared" si="164"/>
        <v>0</v>
      </c>
      <c r="Z148" s="2">
        <f t="shared" si="164"/>
        <v>0</v>
      </c>
      <c r="AA148" s="2">
        <f t="shared" si="164"/>
        <v>0</v>
      </c>
      <c r="AB148" s="2">
        <f t="shared" si="164"/>
        <v>0</v>
      </c>
      <c r="AC148" s="2">
        <f t="shared" si="164"/>
        <v>0</v>
      </c>
      <c r="AD148" s="2">
        <f t="shared" si="164"/>
        <v>0</v>
      </c>
      <c r="AE148" s="2">
        <f t="shared" si="164"/>
        <v>0</v>
      </c>
      <c r="AF148" s="2">
        <f t="shared" si="164"/>
        <v>0</v>
      </c>
      <c r="AG148" s="2">
        <f t="shared" si="164"/>
        <v>0</v>
      </c>
      <c r="AH148" s="2">
        <f t="shared" si="164"/>
        <v>0</v>
      </c>
      <c r="AI148" s="2">
        <f t="shared" si="164"/>
        <v>0</v>
      </c>
      <c r="AJ148" s="2">
        <f t="shared" si="164"/>
        <v>0</v>
      </c>
      <c r="AK148" s="2">
        <f t="shared" si="164"/>
        <v>0</v>
      </c>
      <c r="AL148" s="2">
        <f t="shared" si="164"/>
        <v>0</v>
      </c>
      <c r="AM148" s="2">
        <f t="shared" si="164"/>
        <v>0</v>
      </c>
      <c r="AN148" s="2">
        <f t="shared" si="164"/>
        <v>0</v>
      </c>
      <c r="AO148" s="2">
        <f t="shared" si="164"/>
        <v>0</v>
      </c>
      <c r="AP148" s="2">
        <f t="shared" si="164"/>
        <v>0</v>
      </c>
      <c r="AQ148" s="2">
        <f t="shared" si="164"/>
        <v>0</v>
      </c>
      <c r="AR148" s="2">
        <f t="shared" si="164"/>
        <v>0</v>
      </c>
      <c r="AS148" s="2">
        <f t="shared" si="164"/>
        <v>0</v>
      </c>
      <c r="AT148" s="2">
        <f t="shared" si="164"/>
        <v>0</v>
      </c>
      <c r="AU148" s="2">
        <f t="shared" si="164"/>
        <v>0</v>
      </c>
      <c r="AV148" s="2">
        <f t="shared" si="164"/>
        <v>0</v>
      </c>
    </row>
    <row r="149" spans="1:48" x14ac:dyDescent="0.25">
      <c r="A149" s="354" t="s">
        <v>1692</v>
      </c>
      <c r="B149" t="s">
        <v>1710</v>
      </c>
      <c r="C149" t="s">
        <v>1782</v>
      </c>
      <c r="D149">
        <f t="shared" si="160"/>
        <v>0</v>
      </c>
      <c r="E149">
        <f t="shared" si="160"/>
        <v>0</v>
      </c>
      <c r="F149">
        <f t="shared" si="160"/>
        <v>0</v>
      </c>
      <c r="G149">
        <f t="shared" si="160"/>
        <v>0</v>
      </c>
      <c r="H149">
        <f t="shared" si="160"/>
        <v>0</v>
      </c>
      <c r="I149">
        <f t="shared" si="160"/>
        <v>0</v>
      </c>
      <c r="J149">
        <f t="shared" si="160"/>
        <v>0</v>
      </c>
      <c r="K149">
        <f t="shared" si="160"/>
        <v>0</v>
      </c>
      <c r="L149">
        <f t="shared" si="160"/>
        <v>0</v>
      </c>
      <c r="M149">
        <f t="shared" si="160"/>
        <v>0</v>
      </c>
      <c r="N149" s="2">
        <f t="shared" ref="N149:AV149" si="165">IFERROR(IF($M149-$D149&gt;=0,($M149-$D149)/COUNT($E$1:$M$1)+M149,$F502*$E502^N$1),0)</f>
        <v>0</v>
      </c>
      <c r="O149" s="2">
        <f t="shared" si="165"/>
        <v>0</v>
      </c>
      <c r="P149" s="2">
        <f t="shared" si="165"/>
        <v>0</v>
      </c>
      <c r="Q149" s="2">
        <f t="shared" si="165"/>
        <v>0</v>
      </c>
      <c r="R149" s="2">
        <f t="shared" si="165"/>
        <v>0</v>
      </c>
      <c r="S149" s="2">
        <f t="shared" si="165"/>
        <v>0</v>
      </c>
      <c r="T149" s="2">
        <f t="shared" si="165"/>
        <v>0</v>
      </c>
      <c r="U149" s="2">
        <f t="shared" si="165"/>
        <v>0</v>
      </c>
      <c r="V149" s="2">
        <f t="shared" si="165"/>
        <v>0</v>
      </c>
      <c r="W149" s="2">
        <f t="shared" si="165"/>
        <v>0</v>
      </c>
      <c r="X149" s="2">
        <f t="shared" si="165"/>
        <v>0</v>
      </c>
      <c r="Y149" s="2">
        <f t="shared" si="165"/>
        <v>0</v>
      </c>
      <c r="Z149" s="2">
        <f t="shared" si="165"/>
        <v>0</v>
      </c>
      <c r="AA149" s="2">
        <f t="shared" si="165"/>
        <v>0</v>
      </c>
      <c r="AB149" s="2">
        <f t="shared" si="165"/>
        <v>0</v>
      </c>
      <c r="AC149" s="2">
        <f t="shared" si="165"/>
        <v>0</v>
      </c>
      <c r="AD149" s="2">
        <f t="shared" si="165"/>
        <v>0</v>
      </c>
      <c r="AE149" s="2">
        <f t="shared" si="165"/>
        <v>0</v>
      </c>
      <c r="AF149" s="2">
        <f t="shared" si="165"/>
        <v>0</v>
      </c>
      <c r="AG149" s="2">
        <f t="shared" si="165"/>
        <v>0</v>
      </c>
      <c r="AH149" s="2">
        <f t="shared" si="165"/>
        <v>0</v>
      </c>
      <c r="AI149" s="2">
        <f t="shared" si="165"/>
        <v>0</v>
      </c>
      <c r="AJ149" s="2">
        <f t="shared" si="165"/>
        <v>0</v>
      </c>
      <c r="AK149" s="2">
        <f t="shared" si="165"/>
        <v>0</v>
      </c>
      <c r="AL149" s="2">
        <f t="shared" si="165"/>
        <v>0</v>
      </c>
      <c r="AM149" s="2">
        <f t="shared" si="165"/>
        <v>0</v>
      </c>
      <c r="AN149" s="2">
        <f t="shared" si="165"/>
        <v>0</v>
      </c>
      <c r="AO149" s="2">
        <f t="shared" si="165"/>
        <v>0</v>
      </c>
      <c r="AP149" s="2">
        <f t="shared" si="165"/>
        <v>0</v>
      </c>
      <c r="AQ149" s="2">
        <f t="shared" si="165"/>
        <v>0</v>
      </c>
      <c r="AR149" s="2">
        <f t="shared" si="165"/>
        <v>0</v>
      </c>
      <c r="AS149" s="2">
        <f t="shared" si="165"/>
        <v>0</v>
      </c>
      <c r="AT149" s="2">
        <f t="shared" si="165"/>
        <v>0</v>
      </c>
      <c r="AU149" s="2">
        <f t="shared" si="165"/>
        <v>0</v>
      </c>
      <c r="AV149" s="2">
        <f t="shared" si="165"/>
        <v>0</v>
      </c>
    </row>
    <row r="150" spans="1:48" x14ac:dyDescent="0.25">
      <c r="A150" s="354" t="s">
        <v>1693</v>
      </c>
      <c r="B150" t="s">
        <v>1710</v>
      </c>
      <c r="C150" t="s">
        <v>1782</v>
      </c>
      <c r="D150">
        <f t="shared" si="160"/>
        <v>0</v>
      </c>
      <c r="E150">
        <f t="shared" si="160"/>
        <v>0</v>
      </c>
      <c r="F150">
        <f t="shared" si="160"/>
        <v>0</v>
      </c>
      <c r="G150">
        <f t="shared" si="160"/>
        <v>0</v>
      </c>
      <c r="H150">
        <f t="shared" si="160"/>
        <v>0</v>
      </c>
      <c r="I150">
        <f t="shared" si="160"/>
        <v>0</v>
      </c>
      <c r="J150">
        <f t="shared" si="160"/>
        <v>0</v>
      </c>
      <c r="K150">
        <f t="shared" si="160"/>
        <v>0</v>
      </c>
      <c r="L150">
        <f t="shared" si="160"/>
        <v>0</v>
      </c>
      <c r="M150">
        <f t="shared" si="160"/>
        <v>0</v>
      </c>
      <c r="N150" s="2">
        <f t="shared" ref="N150:AV150" si="166">IFERROR(IF($M150-$D150&gt;=0,($M150-$D150)/COUNT($E$1:$M$1)+M150,$F503*$E503^N$1),0)</f>
        <v>0</v>
      </c>
      <c r="O150" s="2">
        <f t="shared" si="166"/>
        <v>0</v>
      </c>
      <c r="P150" s="2">
        <f t="shared" si="166"/>
        <v>0</v>
      </c>
      <c r="Q150" s="2">
        <f t="shared" si="166"/>
        <v>0</v>
      </c>
      <c r="R150" s="2">
        <f t="shared" si="166"/>
        <v>0</v>
      </c>
      <c r="S150" s="2">
        <f t="shared" si="166"/>
        <v>0</v>
      </c>
      <c r="T150" s="2">
        <f t="shared" si="166"/>
        <v>0</v>
      </c>
      <c r="U150" s="2">
        <f t="shared" si="166"/>
        <v>0</v>
      </c>
      <c r="V150" s="2">
        <f t="shared" si="166"/>
        <v>0</v>
      </c>
      <c r="W150" s="2">
        <f t="shared" si="166"/>
        <v>0</v>
      </c>
      <c r="X150" s="2">
        <f t="shared" si="166"/>
        <v>0</v>
      </c>
      <c r="Y150" s="2">
        <f t="shared" si="166"/>
        <v>0</v>
      </c>
      <c r="Z150" s="2">
        <f t="shared" si="166"/>
        <v>0</v>
      </c>
      <c r="AA150" s="2">
        <f t="shared" si="166"/>
        <v>0</v>
      </c>
      <c r="AB150" s="2">
        <f t="shared" si="166"/>
        <v>0</v>
      </c>
      <c r="AC150" s="2">
        <f t="shared" si="166"/>
        <v>0</v>
      </c>
      <c r="AD150" s="2">
        <f t="shared" si="166"/>
        <v>0</v>
      </c>
      <c r="AE150" s="2">
        <f t="shared" si="166"/>
        <v>0</v>
      </c>
      <c r="AF150" s="2">
        <f t="shared" si="166"/>
        <v>0</v>
      </c>
      <c r="AG150" s="2">
        <f t="shared" si="166"/>
        <v>0</v>
      </c>
      <c r="AH150" s="2">
        <f t="shared" si="166"/>
        <v>0</v>
      </c>
      <c r="AI150" s="2">
        <f t="shared" si="166"/>
        <v>0</v>
      </c>
      <c r="AJ150" s="2">
        <f t="shared" si="166"/>
        <v>0</v>
      </c>
      <c r="AK150" s="2">
        <f t="shared" si="166"/>
        <v>0</v>
      </c>
      <c r="AL150" s="2">
        <f t="shared" si="166"/>
        <v>0</v>
      </c>
      <c r="AM150" s="2">
        <f t="shared" si="166"/>
        <v>0</v>
      </c>
      <c r="AN150" s="2">
        <f t="shared" si="166"/>
        <v>0</v>
      </c>
      <c r="AO150" s="2">
        <f t="shared" si="166"/>
        <v>0</v>
      </c>
      <c r="AP150" s="2">
        <f t="shared" si="166"/>
        <v>0</v>
      </c>
      <c r="AQ150" s="2">
        <f t="shared" si="166"/>
        <v>0</v>
      </c>
      <c r="AR150" s="2">
        <f t="shared" si="166"/>
        <v>0</v>
      </c>
      <c r="AS150" s="2">
        <f t="shared" si="166"/>
        <v>0</v>
      </c>
      <c r="AT150" s="2">
        <f t="shared" si="166"/>
        <v>0</v>
      </c>
      <c r="AU150" s="2">
        <f t="shared" si="166"/>
        <v>0</v>
      </c>
      <c r="AV150" s="2">
        <f t="shared" si="166"/>
        <v>0</v>
      </c>
    </row>
    <row r="151" spans="1:48" x14ac:dyDescent="0.25">
      <c r="A151" s="354" t="s">
        <v>1694</v>
      </c>
      <c r="B151" t="s">
        <v>273</v>
      </c>
      <c r="C151" t="s">
        <v>1782</v>
      </c>
      <c r="D151">
        <f t="shared" si="160"/>
        <v>0</v>
      </c>
      <c r="E151">
        <f t="shared" si="160"/>
        <v>0</v>
      </c>
      <c r="F151">
        <f t="shared" si="160"/>
        <v>0</v>
      </c>
      <c r="G151">
        <f t="shared" si="160"/>
        <v>0</v>
      </c>
      <c r="H151">
        <f t="shared" si="160"/>
        <v>0</v>
      </c>
      <c r="I151">
        <f t="shared" si="160"/>
        <v>0</v>
      </c>
      <c r="J151">
        <f t="shared" si="160"/>
        <v>0</v>
      </c>
      <c r="K151">
        <f t="shared" si="160"/>
        <v>0</v>
      </c>
      <c r="L151">
        <f t="shared" si="160"/>
        <v>0</v>
      </c>
      <c r="M151">
        <f t="shared" si="160"/>
        <v>0</v>
      </c>
      <c r="N151" s="2">
        <f t="shared" ref="N151:AV151" si="167">IFERROR(IF($M151-$D151&gt;=0,($M151-$D151)/COUNT($E$1:$M$1)+M151,$F504*$E504^N$1),0)</f>
        <v>0</v>
      </c>
      <c r="O151" s="2">
        <f t="shared" si="167"/>
        <v>0</v>
      </c>
      <c r="P151" s="2">
        <f t="shared" si="167"/>
        <v>0</v>
      </c>
      <c r="Q151" s="2">
        <f t="shared" si="167"/>
        <v>0</v>
      </c>
      <c r="R151" s="2">
        <f t="shared" si="167"/>
        <v>0</v>
      </c>
      <c r="S151" s="2">
        <f t="shared" si="167"/>
        <v>0</v>
      </c>
      <c r="T151" s="2">
        <f t="shared" si="167"/>
        <v>0</v>
      </c>
      <c r="U151" s="2">
        <f t="shared" si="167"/>
        <v>0</v>
      </c>
      <c r="V151" s="2">
        <f t="shared" si="167"/>
        <v>0</v>
      </c>
      <c r="W151" s="2">
        <f t="shared" si="167"/>
        <v>0</v>
      </c>
      <c r="X151" s="2">
        <f t="shared" si="167"/>
        <v>0</v>
      </c>
      <c r="Y151" s="2">
        <f t="shared" si="167"/>
        <v>0</v>
      </c>
      <c r="Z151" s="2">
        <f t="shared" si="167"/>
        <v>0</v>
      </c>
      <c r="AA151" s="2">
        <f t="shared" si="167"/>
        <v>0</v>
      </c>
      <c r="AB151" s="2">
        <f t="shared" si="167"/>
        <v>0</v>
      </c>
      <c r="AC151" s="2">
        <f t="shared" si="167"/>
        <v>0</v>
      </c>
      <c r="AD151" s="2">
        <f t="shared" si="167"/>
        <v>0</v>
      </c>
      <c r="AE151" s="2">
        <f t="shared" si="167"/>
        <v>0</v>
      </c>
      <c r="AF151" s="2">
        <f t="shared" si="167"/>
        <v>0</v>
      </c>
      <c r="AG151" s="2">
        <f t="shared" si="167"/>
        <v>0</v>
      </c>
      <c r="AH151" s="2">
        <f t="shared" si="167"/>
        <v>0</v>
      </c>
      <c r="AI151" s="2">
        <f t="shared" si="167"/>
        <v>0</v>
      </c>
      <c r="AJ151" s="2">
        <f t="shared" si="167"/>
        <v>0</v>
      </c>
      <c r="AK151" s="2">
        <f t="shared" si="167"/>
        <v>0</v>
      </c>
      <c r="AL151" s="2">
        <f t="shared" si="167"/>
        <v>0</v>
      </c>
      <c r="AM151" s="2">
        <f t="shared" si="167"/>
        <v>0</v>
      </c>
      <c r="AN151" s="2">
        <f t="shared" si="167"/>
        <v>0</v>
      </c>
      <c r="AO151" s="2">
        <f t="shared" si="167"/>
        <v>0</v>
      </c>
      <c r="AP151" s="2">
        <f t="shared" si="167"/>
        <v>0</v>
      </c>
      <c r="AQ151" s="2">
        <f t="shared" si="167"/>
        <v>0</v>
      </c>
      <c r="AR151" s="2">
        <f t="shared" si="167"/>
        <v>0</v>
      </c>
      <c r="AS151" s="2">
        <f t="shared" si="167"/>
        <v>0</v>
      </c>
      <c r="AT151" s="2">
        <f t="shared" si="167"/>
        <v>0</v>
      </c>
      <c r="AU151" s="2">
        <f t="shared" si="167"/>
        <v>0</v>
      </c>
      <c r="AV151" s="2">
        <f t="shared" si="167"/>
        <v>0</v>
      </c>
    </row>
    <row r="152" spans="1:48" x14ac:dyDescent="0.25">
      <c r="A152" s="355" t="s">
        <v>1977</v>
      </c>
      <c r="B152" t="s">
        <v>469</v>
      </c>
      <c r="C152" t="s">
        <v>1782</v>
      </c>
      <c r="D152">
        <f t="shared" si="160"/>
        <v>0</v>
      </c>
      <c r="E152">
        <f t="shared" si="160"/>
        <v>0</v>
      </c>
      <c r="F152">
        <f t="shared" si="160"/>
        <v>0</v>
      </c>
      <c r="G152">
        <f t="shared" si="160"/>
        <v>0</v>
      </c>
      <c r="H152">
        <f t="shared" si="160"/>
        <v>0</v>
      </c>
      <c r="I152">
        <f t="shared" si="160"/>
        <v>0</v>
      </c>
      <c r="J152">
        <f t="shared" si="160"/>
        <v>0</v>
      </c>
      <c r="K152">
        <f t="shared" si="160"/>
        <v>0</v>
      </c>
      <c r="L152">
        <f t="shared" si="160"/>
        <v>0</v>
      </c>
      <c r="M152">
        <f t="shared" si="160"/>
        <v>0</v>
      </c>
      <c r="N152" s="2">
        <f t="shared" ref="N152:AV152" si="168">IFERROR(IF($M152-$D152&gt;=0,($M152-$D152)/COUNT($E$1:$M$1)+M152,$F505*$E505^N$1),0)</f>
        <v>0</v>
      </c>
      <c r="O152" s="2">
        <f t="shared" si="168"/>
        <v>0</v>
      </c>
      <c r="P152" s="2">
        <f t="shared" si="168"/>
        <v>0</v>
      </c>
      <c r="Q152" s="2">
        <f t="shared" si="168"/>
        <v>0</v>
      </c>
      <c r="R152" s="2">
        <f t="shared" si="168"/>
        <v>0</v>
      </c>
      <c r="S152" s="2">
        <f t="shared" si="168"/>
        <v>0</v>
      </c>
      <c r="T152" s="2">
        <f t="shared" si="168"/>
        <v>0</v>
      </c>
      <c r="U152" s="2">
        <f t="shared" si="168"/>
        <v>0</v>
      </c>
      <c r="V152" s="2">
        <f t="shared" si="168"/>
        <v>0</v>
      </c>
      <c r="W152" s="2">
        <f t="shared" si="168"/>
        <v>0</v>
      </c>
      <c r="X152" s="2">
        <f t="shared" si="168"/>
        <v>0</v>
      </c>
      <c r="Y152" s="2">
        <f t="shared" si="168"/>
        <v>0</v>
      </c>
      <c r="Z152" s="2">
        <f t="shared" si="168"/>
        <v>0</v>
      </c>
      <c r="AA152" s="2">
        <f t="shared" si="168"/>
        <v>0</v>
      </c>
      <c r="AB152" s="2">
        <f t="shared" si="168"/>
        <v>0</v>
      </c>
      <c r="AC152" s="2">
        <f t="shared" si="168"/>
        <v>0</v>
      </c>
      <c r="AD152" s="2">
        <f t="shared" si="168"/>
        <v>0</v>
      </c>
      <c r="AE152" s="2">
        <f t="shared" si="168"/>
        <v>0</v>
      </c>
      <c r="AF152" s="2">
        <f t="shared" si="168"/>
        <v>0</v>
      </c>
      <c r="AG152" s="2">
        <f t="shared" si="168"/>
        <v>0</v>
      </c>
      <c r="AH152" s="2">
        <f t="shared" si="168"/>
        <v>0</v>
      </c>
      <c r="AI152" s="2">
        <f t="shared" si="168"/>
        <v>0</v>
      </c>
      <c r="AJ152" s="2">
        <f t="shared" si="168"/>
        <v>0</v>
      </c>
      <c r="AK152" s="2">
        <f t="shared" si="168"/>
        <v>0</v>
      </c>
      <c r="AL152" s="2">
        <f t="shared" si="168"/>
        <v>0</v>
      </c>
      <c r="AM152" s="2">
        <f t="shared" si="168"/>
        <v>0</v>
      </c>
      <c r="AN152" s="2">
        <f t="shared" si="168"/>
        <v>0</v>
      </c>
      <c r="AO152" s="2">
        <f t="shared" si="168"/>
        <v>0</v>
      </c>
      <c r="AP152" s="2">
        <f t="shared" si="168"/>
        <v>0</v>
      </c>
      <c r="AQ152" s="2">
        <f t="shared" si="168"/>
        <v>0</v>
      </c>
      <c r="AR152" s="2">
        <f t="shared" si="168"/>
        <v>0</v>
      </c>
      <c r="AS152" s="2">
        <f t="shared" si="168"/>
        <v>0</v>
      </c>
      <c r="AT152" s="2">
        <f t="shared" si="168"/>
        <v>0</v>
      </c>
      <c r="AU152" s="2">
        <f t="shared" si="168"/>
        <v>0</v>
      </c>
      <c r="AV152" s="2">
        <f t="shared" si="168"/>
        <v>0</v>
      </c>
    </row>
    <row r="153" spans="1:48" x14ac:dyDescent="0.25">
      <c r="A153" s="354" t="s">
        <v>1696</v>
      </c>
      <c r="B153" t="s">
        <v>273</v>
      </c>
      <c r="C153" t="s">
        <v>1782</v>
      </c>
      <c r="D153">
        <f t="shared" si="160"/>
        <v>0</v>
      </c>
      <c r="E153">
        <f t="shared" si="160"/>
        <v>0</v>
      </c>
      <c r="F153">
        <f t="shared" si="160"/>
        <v>0</v>
      </c>
      <c r="G153">
        <f t="shared" si="160"/>
        <v>0</v>
      </c>
      <c r="H153">
        <f t="shared" si="160"/>
        <v>0</v>
      </c>
      <c r="I153">
        <f t="shared" si="160"/>
        <v>0</v>
      </c>
      <c r="J153">
        <f t="shared" si="160"/>
        <v>0</v>
      </c>
      <c r="K153">
        <f t="shared" si="160"/>
        <v>0</v>
      </c>
      <c r="L153">
        <f t="shared" si="160"/>
        <v>0</v>
      </c>
      <c r="M153">
        <f t="shared" si="160"/>
        <v>0</v>
      </c>
      <c r="N153" s="2">
        <f t="shared" ref="N153:AV153" si="169">IFERROR(IF($M153-$D153&gt;=0,($M153-$D153)/COUNT($E$1:$M$1)+M153,$F506*$E506^N$1),0)</f>
        <v>0</v>
      </c>
      <c r="O153" s="2">
        <f t="shared" si="169"/>
        <v>0</v>
      </c>
      <c r="P153" s="2">
        <f t="shared" si="169"/>
        <v>0</v>
      </c>
      <c r="Q153" s="2">
        <f t="shared" si="169"/>
        <v>0</v>
      </c>
      <c r="R153" s="2">
        <f t="shared" si="169"/>
        <v>0</v>
      </c>
      <c r="S153" s="2">
        <f t="shared" si="169"/>
        <v>0</v>
      </c>
      <c r="T153" s="2">
        <f t="shared" si="169"/>
        <v>0</v>
      </c>
      <c r="U153" s="2">
        <f t="shared" si="169"/>
        <v>0</v>
      </c>
      <c r="V153" s="2">
        <f t="shared" si="169"/>
        <v>0</v>
      </c>
      <c r="W153" s="2">
        <f t="shared" si="169"/>
        <v>0</v>
      </c>
      <c r="X153" s="2">
        <f t="shared" si="169"/>
        <v>0</v>
      </c>
      <c r="Y153" s="2">
        <f t="shared" si="169"/>
        <v>0</v>
      </c>
      <c r="Z153" s="2">
        <f t="shared" si="169"/>
        <v>0</v>
      </c>
      <c r="AA153" s="2">
        <f t="shared" si="169"/>
        <v>0</v>
      </c>
      <c r="AB153" s="2">
        <f t="shared" si="169"/>
        <v>0</v>
      </c>
      <c r="AC153" s="2">
        <f t="shared" si="169"/>
        <v>0</v>
      </c>
      <c r="AD153" s="2">
        <f t="shared" si="169"/>
        <v>0</v>
      </c>
      <c r="AE153" s="2">
        <f t="shared" si="169"/>
        <v>0</v>
      </c>
      <c r="AF153" s="2">
        <f t="shared" si="169"/>
        <v>0</v>
      </c>
      <c r="AG153" s="2">
        <f t="shared" si="169"/>
        <v>0</v>
      </c>
      <c r="AH153" s="2">
        <f t="shared" si="169"/>
        <v>0</v>
      </c>
      <c r="AI153" s="2">
        <f t="shared" si="169"/>
        <v>0</v>
      </c>
      <c r="AJ153" s="2">
        <f t="shared" si="169"/>
        <v>0</v>
      </c>
      <c r="AK153" s="2">
        <f t="shared" si="169"/>
        <v>0</v>
      </c>
      <c r="AL153" s="2">
        <f t="shared" si="169"/>
        <v>0</v>
      </c>
      <c r="AM153" s="2">
        <f t="shared" si="169"/>
        <v>0</v>
      </c>
      <c r="AN153" s="2">
        <f t="shared" si="169"/>
        <v>0</v>
      </c>
      <c r="AO153" s="2">
        <f t="shared" si="169"/>
        <v>0</v>
      </c>
      <c r="AP153" s="2">
        <f t="shared" si="169"/>
        <v>0</v>
      </c>
      <c r="AQ153" s="2">
        <f t="shared" si="169"/>
        <v>0</v>
      </c>
      <c r="AR153" s="2">
        <f t="shared" si="169"/>
        <v>0</v>
      </c>
      <c r="AS153" s="2">
        <f t="shared" si="169"/>
        <v>0</v>
      </c>
      <c r="AT153" s="2">
        <f t="shared" si="169"/>
        <v>0</v>
      </c>
      <c r="AU153" s="2">
        <f t="shared" si="169"/>
        <v>0</v>
      </c>
      <c r="AV153" s="2">
        <f t="shared" si="169"/>
        <v>0</v>
      </c>
    </row>
    <row r="154" spans="1:48" x14ac:dyDescent="0.25">
      <c r="A154" s="354" t="s">
        <v>1697</v>
      </c>
      <c r="B154" t="s">
        <v>272</v>
      </c>
      <c r="C154" t="s">
        <v>1782</v>
      </c>
      <c r="D154">
        <f t="shared" si="160"/>
        <v>0</v>
      </c>
      <c r="E154">
        <f t="shared" si="160"/>
        <v>0</v>
      </c>
      <c r="F154">
        <f t="shared" si="160"/>
        <v>0</v>
      </c>
      <c r="G154">
        <f t="shared" si="160"/>
        <v>0</v>
      </c>
      <c r="H154">
        <f t="shared" si="160"/>
        <v>0</v>
      </c>
      <c r="I154">
        <f t="shared" si="160"/>
        <v>0</v>
      </c>
      <c r="J154">
        <f t="shared" si="160"/>
        <v>0</v>
      </c>
      <c r="K154">
        <f t="shared" si="160"/>
        <v>0</v>
      </c>
      <c r="L154">
        <f t="shared" si="160"/>
        <v>0</v>
      </c>
      <c r="M154">
        <f t="shared" si="160"/>
        <v>0</v>
      </c>
      <c r="N154" s="2">
        <f t="shared" ref="N154:AV154" si="170">IFERROR(IF($M154-$D154&gt;=0,($M154-$D154)/COUNT($E$1:$M$1)+M154,$F507*$E507^N$1),0)</f>
        <v>0</v>
      </c>
      <c r="O154" s="2">
        <f t="shared" si="170"/>
        <v>0</v>
      </c>
      <c r="P154" s="2">
        <f t="shared" si="170"/>
        <v>0</v>
      </c>
      <c r="Q154" s="2">
        <f t="shared" si="170"/>
        <v>0</v>
      </c>
      <c r="R154" s="2">
        <f t="shared" si="170"/>
        <v>0</v>
      </c>
      <c r="S154" s="2">
        <f t="shared" si="170"/>
        <v>0</v>
      </c>
      <c r="T154" s="2">
        <f t="shared" si="170"/>
        <v>0</v>
      </c>
      <c r="U154" s="2">
        <f t="shared" si="170"/>
        <v>0</v>
      </c>
      <c r="V154" s="2">
        <f t="shared" si="170"/>
        <v>0</v>
      </c>
      <c r="W154" s="2">
        <f t="shared" si="170"/>
        <v>0</v>
      </c>
      <c r="X154" s="2">
        <f t="shared" si="170"/>
        <v>0</v>
      </c>
      <c r="Y154" s="2">
        <f t="shared" si="170"/>
        <v>0</v>
      </c>
      <c r="Z154" s="2">
        <f t="shared" si="170"/>
        <v>0</v>
      </c>
      <c r="AA154" s="2">
        <f t="shared" si="170"/>
        <v>0</v>
      </c>
      <c r="AB154" s="2">
        <f t="shared" si="170"/>
        <v>0</v>
      </c>
      <c r="AC154" s="2">
        <f t="shared" si="170"/>
        <v>0</v>
      </c>
      <c r="AD154" s="2">
        <f t="shared" si="170"/>
        <v>0</v>
      </c>
      <c r="AE154" s="2">
        <f t="shared" si="170"/>
        <v>0</v>
      </c>
      <c r="AF154" s="2">
        <f t="shared" si="170"/>
        <v>0</v>
      </c>
      <c r="AG154" s="2">
        <f t="shared" si="170"/>
        <v>0</v>
      </c>
      <c r="AH154" s="2">
        <f t="shared" si="170"/>
        <v>0</v>
      </c>
      <c r="AI154" s="2">
        <f t="shared" si="170"/>
        <v>0</v>
      </c>
      <c r="AJ154" s="2">
        <f t="shared" si="170"/>
        <v>0</v>
      </c>
      <c r="AK154" s="2">
        <f t="shared" si="170"/>
        <v>0</v>
      </c>
      <c r="AL154" s="2">
        <f t="shared" si="170"/>
        <v>0</v>
      </c>
      <c r="AM154" s="2">
        <f t="shared" si="170"/>
        <v>0</v>
      </c>
      <c r="AN154" s="2">
        <f t="shared" si="170"/>
        <v>0</v>
      </c>
      <c r="AO154" s="2">
        <f t="shared" si="170"/>
        <v>0</v>
      </c>
      <c r="AP154" s="2">
        <f t="shared" si="170"/>
        <v>0</v>
      </c>
      <c r="AQ154" s="2">
        <f t="shared" si="170"/>
        <v>0</v>
      </c>
      <c r="AR154" s="2">
        <f t="shared" si="170"/>
        <v>0</v>
      </c>
      <c r="AS154" s="2">
        <f t="shared" si="170"/>
        <v>0</v>
      </c>
      <c r="AT154" s="2">
        <f t="shared" si="170"/>
        <v>0</v>
      </c>
      <c r="AU154" s="2">
        <f t="shared" si="170"/>
        <v>0</v>
      </c>
      <c r="AV154" s="2">
        <f t="shared" si="170"/>
        <v>0</v>
      </c>
    </row>
    <row r="155" spans="1:48" x14ac:dyDescent="0.25">
      <c r="A155" s="354" t="s">
        <v>1698</v>
      </c>
      <c r="B155" t="s">
        <v>469</v>
      </c>
      <c r="C155" t="s">
        <v>1782</v>
      </c>
      <c r="D155">
        <f t="shared" ref="D155:M162" si="171">IFERROR(INDEX($B$258:$AA$258,MATCH($A155,$A$258,0),MATCH(D$1,$B$175:$AA$175,0)),0)</f>
        <v>0</v>
      </c>
      <c r="E155">
        <f t="shared" si="171"/>
        <v>0</v>
      </c>
      <c r="F155">
        <f t="shared" si="171"/>
        <v>0</v>
      </c>
      <c r="G155">
        <f t="shared" si="171"/>
        <v>0</v>
      </c>
      <c r="H155">
        <f t="shared" si="171"/>
        <v>0</v>
      </c>
      <c r="I155">
        <f t="shared" si="171"/>
        <v>0</v>
      </c>
      <c r="J155">
        <f t="shared" si="171"/>
        <v>0</v>
      </c>
      <c r="K155">
        <f t="shared" si="171"/>
        <v>0</v>
      </c>
      <c r="L155">
        <f t="shared" si="171"/>
        <v>0</v>
      </c>
      <c r="M155">
        <f t="shared" si="171"/>
        <v>0</v>
      </c>
      <c r="N155" s="2">
        <f t="shared" ref="N155:AV155" si="172">IFERROR(IF($M155-$D155&gt;=0,($M155-$D155)/COUNT($E$1:$M$1)+M155,$F508*$E508^N$1),0)</f>
        <v>0</v>
      </c>
      <c r="O155" s="2">
        <f t="shared" si="172"/>
        <v>0</v>
      </c>
      <c r="P155" s="2">
        <f t="shared" si="172"/>
        <v>0</v>
      </c>
      <c r="Q155" s="2">
        <f t="shared" si="172"/>
        <v>0</v>
      </c>
      <c r="R155" s="2">
        <f t="shared" si="172"/>
        <v>0</v>
      </c>
      <c r="S155" s="2">
        <f t="shared" si="172"/>
        <v>0</v>
      </c>
      <c r="T155" s="2">
        <f t="shared" si="172"/>
        <v>0</v>
      </c>
      <c r="U155" s="2">
        <f t="shared" si="172"/>
        <v>0</v>
      </c>
      <c r="V155" s="2">
        <f t="shared" si="172"/>
        <v>0</v>
      </c>
      <c r="W155" s="2">
        <f t="shared" si="172"/>
        <v>0</v>
      </c>
      <c r="X155" s="2">
        <f t="shared" si="172"/>
        <v>0</v>
      </c>
      <c r="Y155" s="2">
        <f t="shared" si="172"/>
        <v>0</v>
      </c>
      <c r="Z155" s="2">
        <f t="shared" si="172"/>
        <v>0</v>
      </c>
      <c r="AA155" s="2">
        <f t="shared" si="172"/>
        <v>0</v>
      </c>
      <c r="AB155" s="2">
        <f t="shared" si="172"/>
        <v>0</v>
      </c>
      <c r="AC155" s="2">
        <f t="shared" si="172"/>
        <v>0</v>
      </c>
      <c r="AD155" s="2">
        <f t="shared" si="172"/>
        <v>0</v>
      </c>
      <c r="AE155" s="2">
        <f t="shared" si="172"/>
        <v>0</v>
      </c>
      <c r="AF155" s="2">
        <f t="shared" si="172"/>
        <v>0</v>
      </c>
      <c r="AG155" s="2">
        <f t="shared" si="172"/>
        <v>0</v>
      </c>
      <c r="AH155" s="2">
        <f t="shared" si="172"/>
        <v>0</v>
      </c>
      <c r="AI155" s="2">
        <f t="shared" si="172"/>
        <v>0</v>
      </c>
      <c r="AJ155" s="2">
        <f t="shared" si="172"/>
        <v>0</v>
      </c>
      <c r="AK155" s="2">
        <f t="shared" si="172"/>
        <v>0</v>
      </c>
      <c r="AL155" s="2">
        <f t="shared" si="172"/>
        <v>0</v>
      </c>
      <c r="AM155" s="2">
        <f t="shared" si="172"/>
        <v>0</v>
      </c>
      <c r="AN155" s="2">
        <f t="shared" si="172"/>
        <v>0</v>
      </c>
      <c r="AO155" s="2">
        <f t="shared" si="172"/>
        <v>0</v>
      </c>
      <c r="AP155" s="2">
        <f t="shared" si="172"/>
        <v>0</v>
      </c>
      <c r="AQ155" s="2">
        <f t="shared" si="172"/>
        <v>0</v>
      </c>
      <c r="AR155" s="2">
        <f t="shared" si="172"/>
        <v>0</v>
      </c>
      <c r="AS155" s="2">
        <f t="shared" si="172"/>
        <v>0</v>
      </c>
      <c r="AT155" s="2">
        <f t="shared" si="172"/>
        <v>0</v>
      </c>
      <c r="AU155" s="2">
        <f t="shared" si="172"/>
        <v>0</v>
      </c>
      <c r="AV155" s="2">
        <f t="shared" si="172"/>
        <v>0</v>
      </c>
    </row>
    <row r="156" spans="1:48" x14ac:dyDescent="0.25">
      <c r="A156" s="354" t="s">
        <v>1699</v>
      </c>
      <c r="B156" t="s">
        <v>469</v>
      </c>
      <c r="C156" t="s">
        <v>1782</v>
      </c>
      <c r="D156">
        <f t="shared" si="171"/>
        <v>0</v>
      </c>
      <c r="E156">
        <f t="shared" si="171"/>
        <v>0</v>
      </c>
      <c r="F156">
        <f t="shared" si="171"/>
        <v>0</v>
      </c>
      <c r="G156">
        <f t="shared" si="171"/>
        <v>0</v>
      </c>
      <c r="H156">
        <f t="shared" si="171"/>
        <v>0</v>
      </c>
      <c r="I156">
        <f t="shared" si="171"/>
        <v>0</v>
      </c>
      <c r="J156">
        <f t="shared" si="171"/>
        <v>0</v>
      </c>
      <c r="K156">
        <f t="shared" si="171"/>
        <v>0</v>
      </c>
      <c r="L156">
        <f t="shared" si="171"/>
        <v>0</v>
      </c>
      <c r="M156">
        <f t="shared" si="171"/>
        <v>0</v>
      </c>
      <c r="N156" s="2">
        <f t="shared" ref="N156:AV156" si="173">IFERROR(IF($M156-$D156&gt;=0,($M156-$D156)/COUNT($E$1:$M$1)+M156,$F509*$E509^N$1),0)</f>
        <v>0</v>
      </c>
      <c r="O156" s="2">
        <f t="shared" si="173"/>
        <v>0</v>
      </c>
      <c r="P156" s="2">
        <f t="shared" si="173"/>
        <v>0</v>
      </c>
      <c r="Q156" s="2">
        <f t="shared" si="173"/>
        <v>0</v>
      </c>
      <c r="R156" s="2">
        <f t="shared" si="173"/>
        <v>0</v>
      </c>
      <c r="S156" s="2">
        <f t="shared" si="173"/>
        <v>0</v>
      </c>
      <c r="T156" s="2">
        <f t="shared" si="173"/>
        <v>0</v>
      </c>
      <c r="U156" s="2">
        <f t="shared" si="173"/>
        <v>0</v>
      </c>
      <c r="V156" s="2">
        <f t="shared" si="173"/>
        <v>0</v>
      </c>
      <c r="W156" s="2">
        <f t="shared" si="173"/>
        <v>0</v>
      </c>
      <c r="X156" s="2">
        <f t="shared" si="173"/>
        <v>0</v>
      </c>
      <c r="Y156" s="2">
        <f t="shared" si="173"/>
        <v>0</v>
      </c>
      <c r="Z156" s="2">
        <f t="shared" si="173"/>
        <v>0</v>
      </c>
      <c r="AA156" s="2">
        <f t="shared" si="173"/>
        <v>0</v>
      </c>
      <c r="AB156" s="2">
        <f t="shared" si="173"/>
        <v>0</v>
      </c>
      <c r="AC156" s="2">
        <f t="shared" si="173"/>
        <v>0</v>
      </c>
      <c r="AD156" s="2">
        <f t="shared" si="173"/>
        <v>0</v>
      </c>
      <c r="AE156" s="2">
        <f t="shared" si="173"/>
        <v>0</v>
      </c>
      <c r="AF156" s="2">
        <f t="shared" si="173"/>
        <v>0</v>
      </c>
      <c r="AG156" s="2">
        <f t="shared" si="173"/>
        <v>0</v>
      </c>
      <c r="AH156" s="2">
        <f t="shared" si="173"/>
        <v>0</v>
      </c>
      <c r="AI156" s="2">
        <f t="shared" si="173"/>
        <v>0</v>
      </c>
      <c r="AJ156" s="2">
        <f t="shared" si="173"/>
        <v>0</v>
      </c>
      <c r="AK156" s="2">
        <f t="shared" si="173"/>
        <v>0</v>
      </c>
      <c r="AL156" s="2">
        <f t="shared" si="173"/>
        <v>0</v>
      </c>
      <c r="AM156" s="2">
        <f t="shared" si="173"/>
        <v>0</v>
      </c>
      <c r="AN156" s="2">
        <f t="shared" si="173"/>
        <v>0</v>
      </c>
      <c r="AO156" s="2">
        <f t="shared" si="173"/>
        <v>0</v>
      </c>
      <c r="AP156" s="2">
        <f t="shared" si="173"/>
        <v>0</v>
      </c>
      <c r="AQ156" s="2">
        <f t="shared" si="173"/>
        <v>0</v>
      </c>
      <c r="AR156" s="2">
        <f t="shared" si="173"/>
        <v>0</v>
      </c>
      <c r="AS156" s="2">
        <f t="shared" si="173"/>
        <v>0</v>
      </c>
      <c r="AT156" s="2">
        <f t="shared" si="173"/>
        <v>0</v>
      </c>
      <c r="AU156" s="2">
        <f t="shared" si="173"/>
        <v>0</v>
      </c>
      <c r="AV156" s="2">
        <f t="shared" si="173"/>
        <v>0</v>
      </c>
    </row>
    <row r="157" spans="1:48" x14ac:dyDescent="0.25">
      <c r="A157" s="354" t="s">
        <v>1700</v>
      </c>
      <c r="B157" t="s">
        <v>469</v>
      </c>
      <c r="C157" t="s">
        <v>1782</v>
      </c>
      <c r="D157">
        <f t="shared" si="171"/>
        <v>0</v>
      </c>
      <c r="E157">
        <f t="shared" si="171"/>
        <v>0</v>
      </c>
      <c r="F157">
        <f t="shared" si="171"/>
        <v>0</v>
      </c>
      <c r="G157">
        <f t="shared" si="171"/>
        <v>0</v>
      </c>
      <c r="H157">
        <f t="shared" si="171"/>
        <v>0</v>
      </c>
      <c r="I157">
        <f t="shared" si="171"/>
        <v>0</v>
      </c>
      <c r="J157">
        <f t="shared" si="171"/>
        <v>0</v>
      </c>
      <c r="K157">
        <f t="shared" si="171"/>
        <v>0</v>
      </c>
      <c r="L157">
        <f t="shared" si="171"/>
        <v>0</v>
      </c>
      <c r="M157">
        <f t="shared" si="171"/>
        <v>0</v>
      </c>
      <c r="N157" s="2">
        <f t="shared" ref="N157:AV157" si="174">IFERROR(IF($M157-$D157&gt;=0,($M157-$D157)/COUNT($E$1:$M$1)+M157,$F510*$E510^N$1),0)</f>
        <v>0</v>
      </c>
      <c r="O157" s="2">
        <f t="shared" si="174"/>
        <v>0</v>
      </c>
      <c r="P157" s="2">
        <f t="shared" si="174"/>
        <v>0</v>
      </c>
      <c r="Q157" s="2">
        <f t="shared" si="174"/>
        <v>0</v>
      </c>
      <c r="R157" s="2">
        <f t="shared" si="174"/>
        <v>0</v>
      </c>
      <c r="S157" s="2">
        <f t="shared" si="174"/>
        <v>0</v>
      </c>
      <c r="T157" s="2">
        <f t="shared" si="174"/>
        <v>0</v>
      </c>
      <c r="U157" s="2">
        <f t="shared" si="174"/>
        <v>0</v>
      </c>
      <c r="V157" s="2">
        <f t="shared" si="174"/>
        <v>0</v>
      </c>
      <c r="W157" s="2">
        <f t="shared" si="174"/>
        <v>0</v>
      </c>
      <c r="X157" s="2">
        <f t="shared" si="174"/>
        <v>0</v>
      </c>
      <c r="Y157" s="2">
        <f t="shared" si="174"/>
        <v>0</v>
      </c>
      <c r="Z157" s="2">
        <f t="shared" si="174"/>
        <v>0</v>
      </c>
      <c r="AA157" s="2">
        <f t="shared" si="174"/>
        <v>0</v>
      </c>
      <c r="AB157" s="2">
        <f t="shared" si="174"/>
        <v>0</v>
      </c>
      <c r="AC157" s="2">
        <f t="shared" si="174"/>
        <v>0</v>
      </c>
      <c r="AD157" s="2">
        <f t="shared" si="174"/>
        <v>0</v>
      </c>
      <c r="AE157" s="2">
        <f t="shared" si="174"/>
        <v>0</v>
      </c>
      <c r="AF157" s="2">
        <f t="shared" si="174"/>
        <v>0</v>
      </c>
      <c r="AG157" s="2">
        <f t="shared" si="174"/>
        <v>0</v>
      </c>
      <c r="AH157" s="2">
        <f t="shared" si="174"/>
        <v>0</v>
      </c>
      <c r="AI157" s="2">
        <f t="shared" si="174"/>
        <v>0</v>
      </c>
      <c r="AJ157" s="2">
        <f t="shared" si="174"/>
        <v>0</v>
      </c>
      <c r="AK157" s="2">
        <f t="shared" si="174"/>
        <v>0</v>
      </c>
      <c r="AL157" s="2">
        <f t="shared" si="174"/>
        <v>0</v>
      </c>
      <c r="AM157" s="2">
        <f t="shared" si="174"/>
        <v>0</v>
      </c>
      <c r="AN157" s="2">
        <f t="shared" si="174"/>
        <v>0</v>
      </c>
      <c r="AO157" s="2">
        <f t="shared" si="174"/>
        <v>0</v>
      </c>
      <c r="AP157" s="2">
        <f t="shared" si="174"/>
        <v>0</v>
      </c>
      <c r="AQ157" s="2">
        <f t="shared" si="174"/>
        <v>0</v>
      </c>
      <c r="AR157" s="2">
        <f t="shared" si="174"/>
        <v>0</v>
      </c>
      <c r="AS157" s="2">
        <f t="shared" si="174"/>
        <v>0</v>
      </c>
      <c r="AT157" s="2">
        <f t="shared" si="174"/>
        <v>0</v>
      </c>
      <c r="AU157" s="2">
        <f t="shared" si="174"/>
        <v>0</v>
      </c>
      <c r="AV157" s="2">
        <f t="shared" si="174"/>
        <v>0</v>
      </c>
    </row>
    <row r="158" spans="1:48" x14ac:dyDescent="0.25">
      <c r="A158" s="354" t="s">
        <v>1701</v>
      </c>
      <c r="B158" t="s">
        <v>273</v>
      </c>
      <c r="C158" t="s">
        <v>1782</v>
      </c>
      <c r="D158">
        <f t="shared" si="171"/>
        <v>0</v>
      </c>
      <c r="E158">
        <f t="shared" si="171"/>
        <v>0</v>
      </c>
      <c r="F158">
        <f t="shared" si="171"/>
        <v>0</v>
      </c>
      <c r="G158">
        <f t="shared" si="171"/>
        <v>0</v>
      </c>
      <c r="H158">
        <f t="shared" si="171"/>
        <v>0</v>
      </c>
      <c r="I158">
        <f t="shared" si="171"/>
        <v>0</v>
      </c>
      <c r="J158">
        <f t="shared" si="171"/>
        <v>0</v>
      </c>
      <c r="K158">
        <f t="shared" si="171"/>
        <v>0</v>
      </c>
      <c r="L158">
        <f t="shared" si="171"/>
        <v>0</v>
      </c>
      <c r="M158">
        <f t="shared" si="171"/>
        <v>0</v>
      </c>
      <c r="N158" s="2">
        <f t="shared" ref="N158:AV158" si="175">IFERROR(IF($M158-$D158&gt;=0,($M158-$D158)/COUNT($E$1:$M$1)+M158,$F511*$E511^N$1),0)</f>
        <v>0</v>
      </c>
      <c r="O158" s="2">
        <f t="shared" si="175"/>
        <v>0</v>
      </c>
      <c r="P158" s="2">
        <f t="shared" si="175"/>
        <v>0</v>
      </c>
      <c r="Q158" s="2">
        <f t="shared" si="175"/>
        <v>0</v>
      </c>
      <c r="R158" s="2">
        <f t="shared" si="175"/>
        <v>0</v>
      </c>
      <c r="S158" s="2">
        <f t="shared" si="175"/>
        <v>0</v>
      </c>
      <c r="T158" s="2">
        <f t="shared" si="175"/>
        <v>0</v>
      </c>
      <c r="U158" s="2">
        <f t="shared" si="175"/>
        <v>0</v>
      </c>
      <c r="V158" s="2">
        <f t="shared" si="175"/>
        <v>0</v>
      </c>
      <c r="W158" s="2">
        <f t="shared" si="175"/>
        <v>0</v>
      </c>
      <c r="X158" s="2">
        <f t="shared" si="175"/>
        <v>0</v>
      </c>
      <c r="Y158" s="2">
        <f t="shared" si="175"/>
        <v>0</v>
      </c>
      <c r="Z158" s="2">
        <f t="shared" si="175"/>
        <v>0</v>
      </c>
      <c r="AA158" s="2">
        <f t="shared" si="175"/>
        <v>0</v>
      </c>
      <c r="AB158" s="2">
        <f t="shared" si="175"/>
        <v>0</v>
      </c>
      <c r="AC158" s="2">
        <f t="shared" si="175"/>
        <v>0</v>
      </c>
      <c r="AD158" s="2">
        <f t="shared" si="175"/>
        <v>0</v>
      </c>
      <c r="AE158" s="2">
        <f t="shared" si="175"/>
        <v>0</v>
      </c>
      <c r="AF158" s="2">
        <f t="shared" si="175"/>
        <v>0</v>
      </c>
      <c r="AG158" s="2">
        <f t="shared" si="175"/>
        <v>0</v>
      </c>
      <c r="AH158" s="2">
        <f t="shared" si="175"/>
        <v>0</v>
      </c>
      <c r="AI158" s="2">
        <f t="shared" si="175"/>
        <v>0</v>
      </c>
      <c r="AJ158" s="2">
        <f t="shared" si="175"/>
        <v>0</v>
      </c>
      <c r="AK158" s="2">
        <f t="shared" si="175"/>
        <v>0</v>
      </c>
      <c r="AL158" s="2">
        <f t="shared" si="175"/>
        <v>0</v>
      </c>
      <c r="AM158" s="2">
        <f t="shared" si="175"/>
        <v>0</v>
      </c>
      <c r="AN158" s="2">
        <f t="shared" si="175"/>
        <v>0</v>
      </c>
      <c r="AO158" s="2">
        <f t="shared" si="175"/>
        <v>0</v>
      </c>
      <c r="AP158" s="2">
        <f t="shared" si="175"/>
        <v>0</v>
      </c>
      <c r="AQ158" s="2">
        <f t="shared" si="175"/>
        <v>0</v>
      </c>
      <c r="AR158" s="2">
        <f t="shared" si="175"/>
        <v>0</v>
      </c>
      <c r="AS158" s="2">
        <f t="shared" si="175"/>
        <v>0</v>
      </c>
      <c r="AT158" s="2">
        <f t="shared" si="175"/>
        <v>0</v>
      </c>
      <c r="AU158" s="2">
        <f t="shared" si="175"/>
        <v>0</v>
      </c>
      <c r="AV158" s="2">
        <f t="shared" si="175"/>
        <v>0</v>
      </c>
    </row>
    <row r="159" spans="1:48" x14ac:dyDescent="0.25">
      <c r="A159" s="354" t="s">
        <v>1702</v>
      </c>
      <c r="B159" t="s">
        <v>469</v>
      </c>
      <c r="C159" t="s">
        <v>1782</v>
      </c>
      <c r="D159">
        <f t="shared" si="171"/>
        <v>0</v>
      </c>
      <c r="E159">
        <f t="shared" si="171"/>
        <v>0</v>
      </c>
      <c r="F159">
        <f t="shared" si="171"/>
        <v>0</v>
      </c>
      <c r="G159">
        <f t="shared" si="171"/>
        <v>0</v>
      </c>
      <c r="H159">
        <f t="shared" si="171"/>
        <v>0</v>
      </c>
      <c r="I159">
        <f t="shared" si="171"/>
        <v>0</v>
      </c>
      <c r="J159">
        <f t="shared" si="171"/>
        <v>0</v>
      </c>
      <c r="K159">
        <f t="shared" si="171"/>
        <v>0</v>
      </c>
      <c r="L159">
        <f t="shared" si="171"/>
        <v>0</v>
      </c>
      <c r="M159">
        <f t="shared" si="171"/>
        <v>0</v>
      </c>
      <c r="N159" s="2">
        <f t="shared" ref="N159:AV159" si="176">IFERROR(IF($M159-$D159&gt;=0,($M159-$D159)/COUNT($E$1:$M$1)+M159,$F512*$E512^N$1),0)</f>
        <v>0</v>
      </c>
      <c r="O159" s="2">
        <f t="shared" si="176"/>
        <v>0</v>
      </c>
      <c r="P159" s="2">
        <f t="shared" si="176"/>
        <v>0</v>
      </c>
      <c r="Q159" s="2">
        <f t="shared" si="176"/>
        <v>0</v>
      </c>
      <c r="R159" s="2">
        <f t="shared" si="176"/>
        <v>0</v>
      </c>
      <c r="S159" s="2">
        <f t="shared" si="176"/>
        <v>0</v>
      </c>
      <c r="T159" s="2">
        <f t="shared" si="176"/>
        <v>0</v>
      </c>
      <c r="U159" s="2">
        <f t="shared" si="176"/>
        <v>0</v>
      </c>
      <c r="V159" s="2">
        <f t="shared" si="176"/>
        <v>0</v>
      </c>
      <c r="W159" s="2">
        <f t="shared" si="176"/>
        <v>0</v>
      </c>
      <c r="X159" s="2">
        <f t="shared" si="176"/>
        <v>0</v>
      </c>
      <c r="Y159" s="2">
        <f t="shared" si="176"/>
        <v>0</v>
      </c>
      <c r="Z159" s="2">
        <f t="shared" si="176"/>
        <v>0</v>
      </c>
      <c r="AA159" s="2">
        <f t="shared" si="176"/>
        <v>0</v>
      </c>
      <c r="AB159" s="2">
        <f t="shared" si="176"/>
        <v>0</v>
      </c>
      <c r="AC159" s="2">
        <f t="shared" si="176"/>
        <v>0</v>
      </c>
      <c r="AD159" s="2">
        <f t="shared" si="176"/>
        <v>0</v>
      </c>
      <c r="AE159" s="2">
        <f t="shared" si="176"/>
        <v>0</v>
      </c>
      <c r="AF159" s="2">
        <f t="shared" si="176"/>
        <v>0</v>
      </c>
      <c r="AG159" s="2">
        <f t="shared" si="176"/>
        <v>0</v>
      </c>
      <c r="AH159" s="2">
        <f t="shared" si="176"/>
        <v>0</v>
      </c>
      <c r="AI159" s="2">
        <f t="shared" si="176"/>
        <v>0</v>
      </c>
      <c r="AJ159" s="2">
        <f t="shared" si="176"/>
        <v>0</v>
      </c>
      <c r="AK159" s="2">
        <f t="shared" si="176"/>
        <v>0</v>
      </c>
      <c r="AL159" s="2">
        <f t="shared" si="176"/>
        <v>0</v>
      </c>
      <c r="AM159" s="2">
        <f t="shared" si="176"/>
        <v>0</v>
      </c>
      <c r="AN159" s="2">
        <f t="shared" si="176"/>
        <v>0</v>
      </c>
      <c r="AO159" s="2">
        <f t="shared" si="176"/>
        <v>0</v>
      </c>
      <c r="AP159" s="2">
        <f t="shared" si="176"/>
        <v>0</v>
      </c>
      <c r="AQ159" s="2">
        <f t="shared" si="176"/>
        <v>0</v>
      </c>
      <c r="AR159" s="2">
        <f t="shared" si="176"/>
        <v>0</v>
      </c>
      <c r="AS159" s="2">
        <f t="shared" si="176"/>
        <v>0</v>
      </c>
      <c r="AT159" s="2">
        <f t="shared" si="176"/>
        <v>0</v>
      </c>
      <c r="AU159" s="2">
        <f t="shared" si="176"/>
        <v>0</v>
      </c>
      <c r="AV159" s="2">
        <f t="shared" si="176"/>
        <v>0</v>
      </c>
    </row>
    <row r="160" spans="1:48" x14ac:dyDescent="0.25">
      <c r="A160" s="354" t="s">
        <v>1703</v>
      </c>
      <c r="B160" t="s">
        <v>459</v>
      </c>
      <c r="C160" t="s">
        <v>1782</v>
      </c>
      <c r="D160">
        <f t="shared" si="171"/>
        <v>0</v>
      </c>
      <c r="E160">
        <f t="shared" si="171"/>
        <v>0</v>
      </c>
      <c r="F160">
        <f t="shared" si="171"/>
        <v>0</v>
      </c>
      <c r="G160">
        <f t="shared" si="171"/>
        <v>0</v>
      </c>
      <c r="H160">
        <f t="shared" si="171"/>
        <v>0</v>
      </c>
      <c r="I160">
        <f t="shared" si="171"/>
        <v>0</v>
      </c>
      <c r="J160">
        <f t="shared" si="171"/>
        <v>0</v>
      </c>
      <c r="K160">
        <f t="shared" si="171"/>
        <v>0</v>
      </c>
      <c r="L160">
        <f t="shared" si="171"/>
        <v>0</v>
      </c>
      <c r="M160">
        <f t="shared" si="171"/>
        <v>0</v>
      </c>
      <c r="N160" s="2">
        <f t="shared" ref="N160:AV160" si="177">IFERROR(IF($M160-$D160&gt;=0,($M160-$D160)/COUNT($E$1:$M$1)+M160,$F513*$E513^N$1),0)</f>
        <v>0</v>
      </c>
      <c r="O160" s="2">
        <f t="shared" si="177"/>
        <v>0</v>
      </c>
      <c r="P160" s="2">
        <f t="shared" si="177"/>
        <v>0</v>
      </c>
      <c r="Q160" s="2">
        <f t="shared" si="177"/>
        <v>0</v>
      </c>
      <c r="R160" s="2">
        <f t="shared" si="177"/>
        <v>0</v>
      </c>
      <c r="S160" s="2">
        <f t="shared" si="177"/>
        <v>0</v>
      </c>
      <c r="T160" s="2">
        <f t="shared" si="177"/>
        <v>0</v>
      </c>
      <c r="U160" s="2">
        <f t="shared" si="177"/>
        <v>0</v>
      </c>
      <c r="V160" s="2">
        <f t="shared" si="177"/>
        <v>0</v>
      </c>
      <c r="W160" s="2">
        <f t="shared" si="177"/>
        <v>0</v>
      </c>
      <c r="X160" s="2">
        <f t="shared" si="177"/>
        <v>0</v>
      </c>
      <c r="Y160" s="2">
        <f t="shared" si="177"/>
        <v>0</v>
      </c>
      <c r="Z160" s="2">
        <f t="shared" si="177"/>
        <v>0</v>
      </c>
      <c r="AA160" s="2">
        <f t="shared" si="177"/>
        <v>0</v>
      </c>
      <c r="AB160" s="2">
        <f t="shared" si="177"/>
        <v>0</v>
      </c>
      <c r="AC160" s="2">
        <f t="shared" si="177"/>
        <v>0</v>
      </c>
      <c r="AD160" s="2">
        <f t="shared" si="177"/>
        <v>0</v>
      </c>
      <c r="AE160" s="2">
        <f t="shared" si="177"/>
        <v>0</v>
      </c>
      <c r="AF160" s="2">
        <f t="shared" si="177"/>
        <v>0</v>
      </c>
      <c r="AG160" s="2">
        <f t="shared" si="177"/>
        <v>0</v>
      </c>
      <c r="AH160" s="2">
        <f t="shared" si="177"/>
        <v>0</v>
      </c>
      <c r="AI160" s="2">
        <f t="shared" si="177"/>
        <v>0</v>
      </c>
      <c r="AJ160" s="2">
        <f t="shared" si="177"/>
        <v>0</v>
      </c>
      <c r="AK160" s="2">
        <f t="shared" si="177"/>
        <v>0</v>
      </c>
      <c r="AL160" s="2">
        <f t="shared" si="177"/>
        <v>0</v>
      </c>
      <c r="AM160" s="2">
        <f t="shared" si="177"/>
        <v>0</v>
      </c>
      <c r="AN160" s="2">
        <f t="shared" si="177"/>
        <v>0</v>
      </c>
      <c r="AO160" s="2">
        <f t="shared" si="177"/>
        <v>0</v>
      </c>
      <c r="AP160" s="2">
        <f t="shared" si="177"/>
        <v>0</v>
      </c>
      <c r="AQ160" s="2">
        <f t="shared" si="177"/>
        <v>0</v>
      </c>
      <c r="AR160" s="2">
        <f t="shared" si="177"/>
        <v>0</v>
      </c>
      <c r="AS160" s="2">
        <f t="shared" si="177"/>
        <v>0</v>
      </c>
      <c r="AT160" s="2">
        <f t="shared" si="177"/>
        <v>0</v>
      </c>
      <c r="AU160" s="2">
        <f t="shared" si="177"/>
        <v>0</v>
      </c>
      <c r="AV160" s="2">
        <f t="shared" si="177"/>
        <v>0</v>
      </c>
    </row>
    <row r="161" spans="1:48" x14ac:dyDescent="0.25">
      <c r="A161" s="354" t="s">
        <v>1704</v>
      </c>
      <c r="B161" t="s">
        <v>463</v>
      </c>
      <c r="C161" t="s">
        <v>1782</v>
      </c>
      <c r="D161">
        <f t="shared" si="171"/>
        <v>0</v>
      </c>
      <c r="E161">
        <f t="shared" si="171"/>
        <v>0</v>
      </c>
      <c r="F161">
        <f t="shared" si="171"/>
        <v>0</v>
      </c>
      <c r="G161">
        <f t="shared" si="171"/>
        <v>0</v>
      </c>
      <c r="H161">
        <f t="shared" si="171"/>
        <v>0</v>
      </c>
      <c r="I161">
        <f t="shared" si="171"/>
        <v>0</v>
      </c>
      <c r="J161">
        <f t="shared" si="171"/>
        <v>0</v>
      </c>
      <c r="K161">
        <f t="shared" si="171"/>
        <v>0</v>
      </c>
      <c r="L161">
        <f t="shared" si="171"/>
        <v>0</v>
      </c>
      <c r="M161">
        <f t="shared" si="171"/>
        <v>0</v>
      </c>
      <c r="N161" s="2">
        <f t="shared" ref="N161:AV161" si="178">IFERROR(IF($M161-$D161&gt;=0,($M161-$D161)/COUNT($E$1:$M$1)+M161,$F514*$E514^N$1),0)</f>
        <v>0</v>
      </c>
      <c r="O161" s="2">
        <f t="shared" si="178"/>
        <v>0</v>
      </c>
      <c r="P161" s="2">
        <f t="shared" si="178"/>
        <v>0</v>
      </c>
      <c r="Q161" s="2">
        <f t="shared" si="178"/>
        <v>0</v>
      </c>
      <c r="R161" s="2">
        <f t="shared" si="178"/>
        <v>0</v>
      </c>
      <c r="S161" s="2">
        <f t="shared" si="178"/>
        <v>0</v>
      </c>
      <c r="T161" s="2">
        <f t="shared" si="178"/>
        <v>0</v>
      </c>
      <c r="U161" s="2">
        <f t="shared" si="178"/>
        <v>0</v>
      </c>
      <c r="V161" s="2">
        <f t="shared" si="178"/>
        <v>0</v>
      </c>
      <c r="W161" s="2">
        <f t="shared" si="178"/>
        <v>0</v>
      </c>
      <c r="X161" s="2">
        <f t="shared" si="178"/>
        <v>0</v>
      </c>
      <c r="Y161" s="2">
        <f t="shared" si="178"/>
        <v>0</v>
      </c>
      <c r="Z161" s="2">
        <f t="shared" si="178"/>
        <v>0</v>
      </c>
      <c r="AA161" s="2">
        <f t="shared" si="178"/>
        <v>0</v>
      </c>
      <c r="AB161" s="2">
        <f t="shared" si="178"/>
        <v>0</v>
      </c>
      <c r="AC161" s="2">
        <f t="shared" si="178"/>
        <v>0</v>
      </c>
      <c r="AD161" s="2">
        <f t="shared" si="178"/>
        <v>0</v>
      </c>
      <c r="AE161" s="2">
        <f t="shared" si="178"/>
        <v>0</v>
      </c>
      <c r="AF161" s="2">
        <f t="shared" si="178"/>
        <v>0</v>
      </c>
      <c r="AG161" s="2">
        <f t="shared" si="178"/>
        <v>0</v>
      </c>
      <c r="AH161" s="2">
        <f t="shared" si="178"/>
        <v>0</v>
      </c>
      <c r="AI161" s="2">
        <f t="shared" si="178"/>
        <v>0</v>
      </c>
      <c r="AJ161" s="2">
        <f t="shared" si="178"/>
        <v>0</v>
      </c>
      <c r="AK161" s="2">
        <f t="shared" si="178"/>
        <v>0</v>
      </c>
      <c r="AL161" s="2">
        <f t="shared" si="178"/>
        <v>0</v>
      </c>
      <c r="AM161" s="2">
        <f t="shared" si="178"/>
        <v>0</v>
      </c>
      <c r="AN161" s="2">
        <f t="shared" si="178"/>
        <v>0</v>
      </c>
      <c r="AO161" s="2">
        <f t="shared" si="178"/>
        <v>0</v>
      </c>
      <c r="AP161" s="2">
        <f t="shared" si="178"/>
        <v>0</v>
      </c>
      <c r="AQ161" s="2">
        <f t="shared" si="178"/>
        <v>0</v>
      </c>
      <c r="AR161" s="2">
        <f t="shared" si="178"/>
        <v>0</v>
      </c>
      <c r="AS161" s="2">
        <f t="shared" si="178"/>
        <v>0</v>
      </c>
      <c r="AT161" s="2">
        <f t="shared" si="178"/>
        <v>0</v>
      </c>
      <c r="AU161" s="2">
        <f t="shared" si="178"/>
        <v>0</v>
      </c>
      <c r="AV161" s="2">
        <f t="shared" si="178"/>
        <v>0</v>
      </c>
    </row>
    <row r="162" spans="1:48" x14ac:dyDescent="0.25">
      <c r="A162" s="354" t="s">
        <v>1705</v>
      </c>
      <c r="B162" t="s">
        <v>463</v>
      </c>
      <c r="C162" t="s">
        <v>1782</v>
      </c>
      <c r="D162">
        <f t="shared" si="171"/>
        <v>0</v>
      </c>
      <c r="E162">
        <f t="shared" si="171"/>
        <v>0</v>
      </c>
      <c r="F162">
        <f t="shared" si="171"/>
        <v>0</v>
      </c>
      <c r="G162">
        <f t="shared" si="171"/>
        <v>0</v>
      </c>
      <c r="H162">
        <f t="shared" si="171"/>
        <v>0</v>
      </c>
      <c r="I162">
        <f t="shared" si="171"/>
        <v>0</v>
      </c>
      <c r="J162">
        <f t="shared" si="171"/>
        <v>0</v>
      </c>
      <c r="K162">
        <f t="shared" si="171"/>
        <v>0</v>
      </c>
      <c r="L162">
        <f t="shared" si="171"/>
        <v>0</v>
      </c>
      <c r="M162">
        <f t="shared" si="171"/>
        <v>0</v>
      </c>
      <c r="N162" s="2">
        <f t="shared" ref="N162:AV162" si="179">IFERROR(IF($M162-$D162&gt;=0,($M162-$D162)/COUNT($E$1:$M$1)+M162,$F515*$E515^N$1),0)</f>
        <v>0</v>
      </c>
      <c r="O162" s="2">
        <f t="shared" si="179"/>
        <v>0</v>
      </c>
      <c r="P162" s="2">
        <f t="shared" si="179"/>
        <v>0</v>
      </c>
      <c r="Q162" s="2">
        <f t="shared" si="179"/>
        <v>0</v>
      </c>
      <c r="R162" s="2">
        <f t="shared" si="179"/>
        <v>0</v>
      </c>
      <c r="S162" s="2">
        <f t="shared" si="179"/>
        <v>0</v>
      </c>
      <c r="T162" s="2">
        <f t="shared" si="179"/>
        <v>0</v>
      </c>
      <c r="U162" s="2">
        <f t="shared" si="179"/>
        <v>0</v>
      </c>
      <c r="V162" s="2">
        <f t="shared" si="179"/>
        <v>0</v>
      </c>
      <c r="W162" s="2">
        <f t="shared" si="179"/>
        <v>0</v>
      </c>
      <c r="X162" s="2">
        <f t="shared" si="179"/>
        <v>0</v>
      </c>
      <c r="Y162" s="2">
        <f t="shared" si="179"/>
        <v>0</v>
      </c>
      <c r="Z162" s="2">
        <f t="shared" si="179"/>
        <v>0</v>
      </c>
      <c r="AA162" s="2">
        <f t="shared" si="179"/>
        <v>0</v>
      </c>
      <c r="AB162" s="2">
        <f t="shared" si="179"/>
        <v>0</v>
      </c>
      <c r="AC162" s="2">
        <f t="shared" si="179"/>
        <v>0</v>
      </c>
      <c r="AD162" s="2">
        <f t="shared" si="179"/>
        <v>0</v>
      </c>
      <c r="AE162" s="2">
        <f t="shared" si="179"/>
        <v>0</v>
      </c>
      <c r="AF162" s="2">
        <f t="shared" si="179"/>
        <v>0</v>
      </c>
      <c r="AG162" s="2">
        <f t="shared" si="179"/>
        <v>0</v>
      </c>
      <c r="AH162" s="2">
        <f t="shared" si="179"/>
        <v>0</v>
      </c>
      <c r="AI162" s="2">
        <f t="shared" si="179"/>
        <v>0</v>
      </c>
      <c r="AJ162" s="2">
        <f t="shared" si="179"/>
        <v>0</v>
      </c>
      <c r="AK162" s="2">
        <f t="shared" si="179"/>
        <v>0</v>
      </c>
      <c r="AL162" s="2">
        <f t="shared" si="179"/>
        <v>0</v>
      </c>
      <c r="AM162" s="2">
        <f t="shared" si="179"/>
        <v>0</v>
      </c>
      <c r="AN162" s="2">
        <f t="shared" si="179"/>
        <v>0</v>
      </c>
      <c r="AO162" s="2">
        <f t="shared" si="179"/>
        <v>0</v>
      </c>
      <c r="AP162" s="2">
        <f t="shared" si="179"/>
        <v>0</v>
      </c>
      <c r="AQ162" s="2">
        <f t="shared" si="179"/>
        <v>0</v>
      </c>
      <c r="AR162" s="2">
        <f t="shared" si="179"/>
        <v>0</v>
      </c>
      <c r="AS162" s="2">
        <f t="shared" si="179"/>
        <v>0</v>
      </c>
      <c r="AT162" s="2">
        <f t="shared" si="179"/>
        <v>0</v>
      </c>
      <c r="AU162" s="2">
        <f t="shared" si="179"/>
        <v>0</v>
      </c>
      <c r="AV162" s="2">
        <f t="shared" si="179"/>
        <v>0</v>
      </c>
    </row>
    <row r="163" spans="1:48" x14ac:dyDescent="0.25">
      <c r="A163" s="356" t="s">
        <v>1985</v>
      </c>
      <c r="B163" t="s">
        <v>469</v>
      </c>
      <c r="C163" t="s">
        <v>1782</v>
      </c>
      <c r="D163">
        <f t="shared" ref="D163:M167" si="180">IFERROR(INDEX($B$258:$AA$258,MATCH($A163,$A$258,0),MATCH(D$1,$B$175:$AA$175,0)),0)</f>
        <v>0</v>
      </c>
      <c r="E163">
        <f t="shared" si="180"/>
        <v>0</v>
      </c>
      <c r="F163">
        <f t="shared" si="180"/>
        <v>0</v>
      </c>
      <c r="G163">
        <f t="shared" si="180"/>
        <v>0</v>
      </c>
      <c r="H163">
        <f t="shared" si="180"/>
        <v>0</v>
      </c>
      <c r="I163">
        <f t="shared" si="180"/>
        <v>0</v>
      </c>
      <c r="J163">
        <f t="shared" si="180"/>
        <v>0</v>
      </c>
      <c r="K163">
        <f t="shared" si="180"/>
        <v>0</v>
      </c>
      <c r="L163">
        <f t="shared" si="180"/>
        <v>0</v>
      </c>
      <c r="M163">
        <f t="shared" si="180"/>
        <v>0</v>
      </c>
      <c r="N163" s="2">
        <f t="shared" ref="N163:AV163" si="181">IFERROR(IF($M163-$D163&gt;=0,($M163-$D163)/COUNT($E$1:$M$1)+M163,$F516*$E516^N$1),0)</f>
        <v>0</v>
      </c>
      <c r="O163" s="2">
        <f t="shared" si="181"/>
        <v>0</v>
      </c>
      <c r="P163" s="2">
        <f t="shared" si="181"/>
        <v>0</v>
      </c>
      <c r="Q163" s="2">
        <f t="shared" si="181"/>
        <v>0</v>
      </c>
      <c r="R163" s="2">
        <f t="shared" si="181"/>
        <v>0</v>
      </c>
      <c r="S163" s="2">
        <f t="shared" si="181"/>
        <v>0</v>
      </c>
      <c r="T163" s="2">
        <f t="shared" si="181"/>
        <v>0</v>
      </c>
      <c r="U163" s="2">
        <f t="shared" si="181"/>
        <v>0</v>
      </c>
      <c r="V163" s="2">
        <f t="shared" si="181"/>
        <v>0</v>
      </c>
      <c r="W163" s="2">
        <f t="shared" si="181"/>
        <v>0</v>
      </c>
      <c r="X163" s="2">
        <f t="shared" si="181"/>
        <v>0</v>
      </c>
      <c r="Y163" s="2">
        <f t="shared" si="181"/>
        <v>0</v>
      </c>
      <c r="Z163" s="2">
        <f t="shared" si="181"/>
        <v>0</v>
      </c>
      <c r="AA163" s="2">
        <f t="shared" si="181"/>
        <v>0</v>
      </c>
      <c r="AB163" s="2">
        <f t="shared" si="181"/>
        <v>0</v>
      </c>
      <c r="AC163" s="2">
        <f t="shared" si="181"/>
        <v>0</v>
      </c>
      <c r="AD163" s="2">
        <f t="shared" si="181"/>
        <v>0</v>
      </c>
      <c r="AE163" s="2">
        <f t="shared" si="181"/>
        <v>0</v>
      </c>
      <c r="AF163" s="2">
        <f t="shared" si="181"/>
        <v>0</v>
      </c>
      <c r="AG163" s="2">
        <f t="shared" si="181"/>
        <v>0</v>
      </c>
      <c r="AH163" s="2">
        <f t="shared" si="181"/>
        <v>0</v>
      </c>
      <c r="AI163" s="2">
        <f t="shared" si="181"/>
        <v>0</v>
      </c>
      <c r="AJ163" s="2">
        <f t="shared" si="181"/>
        <v>0</v>
      </c>
      <c r="AK163" s="2">
        <f t="shared" si="181"/>
        <v>0</v>
      </c>
      <c r="AL163" s="2">
        <f t="shared" si="181"/>
        <v>0</v>
      </c>
      <c r="AM163" s="2">
        <f t="shared" si="181"/>
        <v>0</v>
      </c>
      <c r="AN163" s="2">
        <f t="shared" si="181"/>
        <v>0</v>
      </c>
      <c r="AO163" s="2">
        <f t="shared" si="181"/>
        <v>0</v>
      </c>
      <c r="AP163" s="2">
        <f t="shared" si="181"/>
        <v>0</v>
      </c>
      <c r="AQ163" s="2">
        <f t="shared" si="181"/>
        <v>0</v>
      </c>
      <c r="AR163" s="2">
        <f t="shared" si="181"/>
        <v>0</v>
      </c>
      <c r="AS163" s="2">
        <f t="shared" si="181"/>
        <v>0</v>
      </c>
      <c r="AT163" s="2">
        <f t="shared" si="181"/>
        <v>0</v>
      </c>
      <c r="AU163" s="2">
        <f t="shared" si="181"/>
        <v>0</v>
      </c>
      <c r="AV163" s="2">
        <f t="shared" si="181"/>
        <v>0</v>
      </c>
    </row>
    <row r="164" spans="1:48" x14ac:dyDescent="0.25">
      <c r="A164" s="354" t="s">
        <v>1971</v>
      </c>
      <c r="B164" t="s">
        <v>1710</v>
      </c>
      <c r="C164" t="s">
        <v>1782</v>
      </c>
      <c r="D164">
        <f t="shared" si="180"/>
        <v>0</v>
      </c>
      <c r="E164">
        <f t="shared" si="180"/>
        <v>0</v>
      </c>
      <c r="F164">
        <f t="shared" si="180"/>
        <v>0</v>
      </c>
      <c r="G164">
        <f t="shared" si="180"/>
        <v>0</v>
      </c>
      <c r="H164">
        <f t="shared" si="180"/>
        <v>0</v>
      </c>
      <c r="I164">
        <f t="shared" si="180"/>
        <v>0</v>
      </c>
      <c r="J164">
        <f t="shared" si="180"/>
        <v>0</v>
      </c>
      <c r="K164">
        <f t="shared" si="180"/>
        <v>0</v>
      </c>
      <c r="L164">
        <f t="shared" si="180"/>
        <v>0</v>
      </c>
      <c r="M164">
        <f t="shared" si="180"/>
        <v>0</v>
      </c>
      <c r="N164" s="2">
        <f t="shared" ref="N164:AV164" si="182">IFERROR(IF($M164-$D164&gt;=0,($M164-$D164)/COUNT($E$1:$M$1)+M164,$F517*$E517^N$1),0)</f>
        <v>0</v>
      </c>
      <c r="O164" s="2">
        <f t="shared" si="182"/>
        <v>0</v>
      </c>
      <c r="P164" s="2">
        <f t="shared" si="182"/>
        <v>0</v>
      </c>
      <c r="Q164" s="2">
        <f t="shared" si="182"/>
        <v>0</v>
      </c>
      <c r="R164" s="2">
        <f t="shared" si="182"/>
        <v>0</v>
      </c>
      <c r="S164" s="2">
        <f t="shared" si="182"/>
        <v>0</v>
      </c>
      <c r="T164" s="2">
        <f t="shared" si="182"/>
        <v>0</v>
      </c>
      <c r="U164" s="2">
        <f t="shared" si="182"/>
        <v>0</v>
      </c>
      <c r="V164" s="2">
        <f t="shared" si="182"/>
        <v>0</v>
      </c>
      <c r="W164" s="2">
        <f t="shared" si="182"/>
        <v>0</v>
      </c>
      <c r="X164" s="2">
        <f t="shared" si="182"/>
        <v>0</v>
      </c>
      <c r="Y164" s="2">
        <f t="shared" si="182"/>
        <v>0</v>
      </c>
      <c r="Z164" s="2">
        <f t="shared" si="182"/>
        <v>0</v>
      </c>
      <c r="AA164" s="2">
        <f t="shared" si="182"/>
        <v>0</v>
      </c>
      <c r="AB164" s="2">
        <f t="shared" si="182"/>
        <v>0</v>
      </c>
      <c r="AC164" s="2">
        <f t="shared" si="182"/>
        <v>0</v>
      </c>
      <c r="AD164" s="2">
        <f t="shared" si="182"/>
        <v>0</v>
      </c>
      <c r="AE164" s="2">
        <f t="shared" si="182"/>
        <v>0</v>
      </c>
      <c r="AF164" s="2">
        <f t="shared" si="182"/>
        <v>0</v>
      </c>
      <c r="AG164" s="2">
        <f t="shared" si="182"/>
        <v>0</v>
      </c>
      <c r="AH164" s="2">
        <f t="shared" si="182"/>
        <v>0</v>
      </c>
      <c r="AI164" s="2">
        <f t="shared" si="182"/>
        <v>0</v>
      </c>
      <c r="AJ164" s="2">
        <f t="shared" si="182"/>
        <v>0</v>
      </c>
      <c r="AK164" s="2">
        <f t="shared" si="182"/>
        <v>0</v>
      </c>
      <c r="AL164" s="2">
        <f t="shared" si="182"/>
        <v>0</v>
      </c>
      <c r="AM164" s="2">
        <f t="shared" si="182"/>
        <v>0</v>
      </c>
      <c r="AN164" s="2">
        <f t="shared" si="182"/>
        <v>0</v>
      </c>
      <c r="AO164" s="2">
        <f t="shared" si="182"/>
        <v>0</v>
      </c>
      <c r="AP164" s="2">
        <f t="shared" si="182"/>
        <v>0</v>
      </c>
      <c r="AQ164" s="2">
        <f t="shared" si="182"/>
        <v>0</v>
      </c>
      <c r="AR164" s="2">
        <f t="shared" si="182"/>
        <v>0</v>
      </c>
      <c r="AS164" s="2">
        <f t="shared" si="182"/>
        <v>0</v>
      </c>
      <c r="AT164" s="2">
        <f t="shared" si="182"/>
        <v>0</v>
      </c>
      <c r="AU164" s="2">
        <f t="shared" si="182"/>
        <v>0</v>
      </c>
      <c r="AV164" s="2">
        <f t="shared" si="182"/>
        <v>0</v>
      </c>
    </row>
    <row r="165" spans="1:48" x14ac:dyDescent="0.25">
      <c r="A165" s="354" t="s">
        <v>1972</v>
      </c>
      <c r="B165" t="s">
        <v>469</v>
      </c>
      <c r="C165" t="s">
        <v>1782</v>
      </c>
      <c r="D165">
        <f t="shared" si="180"/>
        <v>0</v>
      </c>
      <c r="E165">
        <f t="shared" si="180"/>
        <v>0</v>
      </c>
      <c r="F165">
        <f t="shared" si="180"/>
        <v>0</v>
      </c>
      <c r="G165">
        <f t="shared" si="180"/>
        <v>0</v>
      </c>
      <c r="H165">
        <f t="shared" si="180"/>
        <v>0</v>
      </c>
      <c r="I165">
        <f t="shared" si="180"/>
        <v>0</v>
      </c>
      <c r="J165">
        <f t="shared" si="180"/>
        <v>0</v>
      </c>
      <c r="K165">
        <f t="shared" si="180"/>
        <v>0</v>
      </c>
      <c r="L165">
        <f t="shared" si="180"/>
        <v>0</v>
      </c>
      <c r="M165">
        <f t="shared" si="180"/>
        <v>0</v>
      </c>
      <c r="N165" s="2">
        <f t="shared" ref="N165:AV165" si="183">IFERROR(IF($M165-$D165&gt;=0,($M165-$D165)/COUNT($E$1:$M$1)+M165,$F518*$E518^N$1),0)</f>
        <v>0</v>
      </c>
      <c r="O165" s="2">
        <f t="shared" si="183"/>
        <v>0</v>
      </c>
      <c r="P165" s="2">
        <f t="shared" si="183"/>
        <v>0</v>
      </c>
      <c r="Q165" s="2">
        <f t="shared" si="183"/>
        <v>0</v>
      </c>
      <c r="R165" s="2">
        <f t="shared" si="183"/>
        <v>0</v>
      </c>
      <c r="S165" s="2">
        <f t="shared" si="183"/>
        <v>0</v>
      </c>
      <c r="T165" s="2">
        <f t="shared" si="183"/>
        <v>0</v>
      </c>
      <c r="U165" s="2">
        <f t="shared" si="183"/>
        <v>0</v>
      </c>
      <c r="V165" s="2">
        <f t="shared" si="183"/>
        <v>0</v>
      </c>
      <c r="W165" s="2">
        <f t="shared" si="183"/>
        <v>0</v>
      </c>
      <c r="X165" s="2">
        <f t="shared" si="183"/>
        <v>0</v>
      </c>
      <c r="Y165" s="2">
        <f t="shared" si="183"/>
        <v>0</v>
      </c>
      <c r="Z165" s="2">
        <f t="shared" si="183"/>
        <v>0</v>
      </c>
      <c r="AA165" s="2">
        <f t="shared" si="183"/>
        <v>0</v>
      </c>
      <c r="AB165" s="2">
        <f t="shared" si="183"/>
        <v>0</v>
      </c>
      <c r="AC165" s="2">
        <f t="shared" si="183"/>
        <v>0</v>
      </c>
      <c r="AD165" s="2">
        <f t="shared" si="183"/>
        <v>0</v>
      </c>
      <c r="AE165" s="2">
        <f t="shared" si="183"/>
        <v>0</v>
      </c>
      <c r="AF165" s="2">
        <f t="shared" si="183"/>
        <v>0</v>
      </c>
      <c r="AG165" s="2">
        <f t="shared" si="183"/>
        <v>0</v>
      </c>
      <c r="AH165" s="2">
        <f t="shared" si="183"/>
        <v>0</v>
      </c>
      <c r="AI165" s="2">
        <f t="shared" si="183"/>
        <v>0</v>
      </c>
      <c r="AJ165" s="2">
        <f t="shared" si="183"/>
        <v>0</v>
      </c>
      <c r="AK165" s="2">
        <f t="shared" si="183"/>
        <v>0</v>
      </c>
      <c r="AL165" s="2">
        <f t="shared" si="183"/>
        <v>0</v>
      </c>
      <c r="AM165" s="2">
        <f t="shared" si="183"/>
        <v>0</v>
      </c>
      <c r="AN165" s="2">
        <f t="shared" si="183"/>
        <v>0</v>
      </c>
      <c r="AO165" s="2">
        <f t="shared" si="183"/>
        <v>0</v>
      </c>
      <c r="AP165" s="2">
        <f t="shared" si="183"/>
        <v>0</v>
      </c>
      <c r="AQ165" s="2">
        <f t="shared" si="183"/>
        <v>0</v>
      </c>
      <c r="AR165" s="2">
        <f t="shared" si="183"/>
        <v>0</v>
      </c>
      <c r="AS165" s="2">
        <f t="shared" si="183"/>
        <v>0</v>
      </c>
      <c r="AT165" s="2">
        <f t="shared" si="183"/>
        <v>0</v>
      </c>
      <c r="AU165" s="2">
        <f t="shared" si="183"/>
        <v>0</v>
      </c>
      <c r="AV165" s="2">
        <f t="shared" si="183"/>
        <v>0</v>
      </c>
    </row>
    <row r="166" spans="1:48" s="105" customFormat="1" x14ac:dyDescent="0.25">
      <c r="A166" s="357" t="s">
        <v>1973</v>
      </c>
      <c r="B166" s="105" t="s">
        <v>1988</v>
      </c>
      <c r="C166" s="105" t="s">
        <v>1782</v>
      </c>
      <c r="D166" s="105">
        <f t="shared" si="180"/>
        <v>0</v>
      </c>
      <c r="E166" s="105">
        <f t="shared" si="180"/>
        <v>0</v>
      </c>
      <c r="F166" s="105">
        <f t="shared" si="180"/>
        <v>0</v>
      </c>
      <c r="G166" s="105">
        <f t="shared" si="180"/>
        <v>0</v>
      </c>
      <c r="H166" s="105">
        <f t="shared" si="180"/>
        <v>0</v>
      </c>
      <c r="I166" s="105">
        <f t="shared" si="180"/>
        <v>0</v>
      </c>
      <c r="J166" s="105">
        <f t="shared" si="180"/>
        <v>0</v>
      </c>
      <c r="K166" s="105">
        <f t="shared" si="180"/>
        <v>0</v>
      </c>
      <c r="L166" s="105">
        <f t="shared" si="180"/>
        <v>0</v>
      </c>
      <c r="M166" s="105">
        <f t="shared" si="180"/>
        <v>0</v>
      </c>
      <c r="N166" s="358">
        <f t="shared" ref="N166:AV166" si="184">IFERROR(IF($M166-$D166&gt;=0,($M166-$D166)/COUNT($E$1:$M$1)+M166,$F519*$E519^N$1),0)</f>
        <v>0</v>
      </c>
      <c r="O166" s="358">
        <f t="shared" si="184"/>
        <v>0</v>
      </c>
      <c r="P166" s="358">
        <f t="shared" si="184"/>
        <v>0</v>
      </c>
      <c r="Q166" s="358">
        <f t="shared" si="184"/>
        <v>0</v>
      </c>
      <c r="R166" s="358">
        <f t="shared" si="184"/>
        <v>0</v>
      </c>
      <c r="S166" s="358">
        <f t="shared" si="184"/>
        <v>0</v>
      </c>
      <c r="T166" s="358">
        <f t="shared" si="184"/>
        <v>0</v>
      </c>
      <c r="U166" s="358">
        <f t="shared" si="184"/>
        <v>0</v>
      </c>
      <c r="V166" s="358">
        <f t="shared" si="184"/>
        <v>0</v>
      </c>
      <c r="W166" s="358">
        <f t="shared" si="184"/>
        <v>0</v>
      </c>
      <c r="X166" s="358">
        <f t="shared" si="184"/>
        <v>0</v>
      </c>
      <c r="Y166" s="358">
        <f t="shared" si="184"/>
        <v>0</v>
      </c>
      <c r="Z166" s="358">
        <f t="shared" si="184"/>
        <v>0</v>
      </c>
      <c r="AA166" s="358">
        <f t="shared" si="184"/>
        <v>0</v>
      </c>
      <c r="AB166" s="358">
        <f t="shared" si="184"/>
        <v>0</v>
      </c>
      <c r="AC166" s="358">
        <f t="shared" si="184"/>
        <v>0</v>
      </c>
      <c r="AD166" s="358">
        <f t="shared" si="184"/>
        <v>0</v>
      </c>
      <c r="AE166" s="358">
        <f t="shared" si="184"/>
        <v>0</v>
      </c>
      <c r="AF166" s="358">
        <f t="shared" si="184"/>
        <v>0</v>
      </c>
      <c r="AG166" s="358">
        <f t="shared" si="184"/>
        <v>0</v>
      </c>
      <c r="AH166" s="358">
        <f t="shared" si="184"/>
        <v>0</v>
      </c>
      <c r="AI166" s="358">
        <f t="shared" si="184"/>
        <v>0</v>
      </c>
      <c r="AJ166" s="358">
        <f t="shared" si="184"/>
        <v>0</v>
      </c>
      <c r="AK166" s="358">
        <f t="shared" si="184"/>
        <v>0</v>
      </c>
      <c r="AL166" s="358">
        <f t="shared" si="184"/>
        <v>0</v>
      </c>
      <c r="AM166" s="358">
        <f t="shared" si="184"/>
        <v>0</v>
      </c>
      <c r="AN166" s="358">
        <f t="shared" si="184"/>
        <v>0</v>
      </c>
      <c r="AO166" s="358">
        <f t="shared" si="184"/>
        <v>0</v>
      </c>
      <c r="AP166" s="358">
        <f t="shared" si="184"/>
        <v>0</v>
      </c>
      <c r="AQ166" s="358">
        <f t="shared" si="184"/>
        <v>0</v>
      </c>
      <c r="AR166" s="358">
        <f t="shared" si="184"/>
        <v>0</v>
      </c>
      <c r="AS166" s="358">
        <f t="shared" si="184"/>
        <v>0</v>
      </c>
      <c r="AT166" s="358">
        <f t="shared" si="184"/>
        <v>0</v>
      </c>
      <c r="AU166" s="358">
        <f t="shared" si="184"/>
        <v>0</v>
      </c>
      <c r="AV166" s="358">
        <f t="shared" si="184"/>
        <v>0</v>
      </c>
    </row>
    <row r="167" spans="1:48" x14ac:dyDescent="0.25">
      <c r="A167" s="354" t="s">
        <v>1974</v>
      </c>
      <c r="B167" t="s">
        <v>469</v>
      </c>
      <c r="C167" t="s">
        <v>1782</v>
      </c>
      <c r="D167">
        <f t="shared" si="180"/>
        <v>0</v>
      </c>
      <c r="E167">
        <f t="shared" si="180"/>
        <v>0</v>
      </c>
      <c r="F167">
        <f t="shared" si="180"/>
        <v>0</v>
      </c>
      <c r="G167">
        <f t="shared" si="180"/>
        <v>0</v>
      </c>
      <c r="H167">
        <f t="shared" si="180"/>
        <v>0</v>
      </c>
      <c r="I167">
        <f t="shared" si="180"/>
        <v>0</v>
      </c>
      <c r="J167">
        <f t="shared" si="180"/>
        <v>0</v>
      </c>
      <c r="K167">
        <f t="shared" si="180"/>
        <v>0</v>
      </c>
      <c r="L167">
        <f t="shared" si="180"/>
        <v>0</v>
      </c>
      <c r="M167">
        <f t="shared" si="180"/>
        <v>0</v>
      </c>
      <c r="N167" s="2">
        <f t="shared" ref="N167:AV167" si="185">IFERROR(IF($M167-$D167&gt;=0,($M167-$D167)/COUNT($E$1:$M$1)+M167,$F520*$E520^N$1),0)</f>
        <v>0</v>
      </c>
      <c r="O167" s="2">
        <f t="shared" si="185"/>
        <v>0</v>
      </c>
      <c r="P167" s="2">
        <f t="shared" si="185"/>
        <v>0</v>
      </c>
      <c r="Q167" s="2">
        <f t="shared" si="185"/>
        <v>0</v>
      </c>
      <c r="R167" s="2">
        <f t="shared" si="185"/>
        <v>0</v>
      </c>
      <c r="S167" s="2">
        <f t="shared" si="185"/>
        <v>0</v>
      </c>
      <c r="T167" s="2">
        <f t="shared" si="185"/>
        <v>0</v>
      </c>
      <c r="U167" s="2">
        <f t="shared" si="185"/>
        <v>0</v>
      </c>
      <c r="V167" s="2">
        <f t="shared" si="185"/>
        <v>0</v>
      </c>
      <c r="W167" s="2">
        <f t="shared" si="185"/>
        <v>0</v>
      </c>
      <c r="X167" s="2">
        <f t="shared" si="185"/>
        <v>0</v>
      </c>
      <c r="Y167" s="2">
        <f t="shared" si="185"/>
        <v>0</v>
      </c>
      <c r="Z167" s="2">
        <f t="shared" si="185"/>
        <v>0</v>
      </c>
      <c r="AA167" s="2">
        <f t="shared" si="185"/>
        <v>0</v>
      </c>
      <c r="AB167" s="2">
        <f t="shared" si="185"/>
        <v>0</v>
      </c>
      <c r="AC167" s="2">
        <f t="shared" si="185"/>
        <v>0</v>
      </c>
      <c r="AD167" s="2">
        <f t="shared" si="185"/>
        <v>0</v>
      </c>
      <c r="AE167" s="2">
        <f t="shared" si="185"/>
        <v>0</v>
      </c>
      <c r="AF167" s="2">
        <f t="shared" si="185"/>
        <v>0</v>
      </c>
      <c r="AG167" s="2">
        <f t="shared" si="185"/>
        <v>0</v>
      </c>
      <c r="AH167" s="2">
        <f t="shared" si="185"/>
        <v>0</v>
      </c>
      <c r="AI167" s="2">
        <f t="shared" si="185"/>
        <v>0</v>
      </c>
      <c r="AJ167" s="2">
        <f t="shared" si="185"/>
        <v>0</v>
      </c>
      <c r="AK167" s="2">
        <f t="shared" si="185"/>
        <v>0</v>
      </c>
      <c r="AL167" s="2">
        <f t="shared" si="185"/>
        <v>0</v>
      </c>
      <c r="AM167" s="2">
        <f t="shared" si="185"/>
        <v>0</v>
      </c>
      <c r="AN167" s="2">
        <f t="shared" si="185"/>
        <v>0</v>
      </c>
      <c r="AO167" s="2">
        <f t="shared" si="185"/>
        <v>0</v>
      </c>
      <c r="AP167" s="2">
        <f t="shared" si="185"/>
        <v>0</v>
      </c>
      <c r="AQ167" s="2">
        <f t="shared" si="185"/>
        <v>0</v>
      </c>
      <c r="AR167" s="2">
        <f t="shared" si="185"/>
        <v>0</v>
      </c>
      <c r="AS167" s="2">
        <f t="shared" si="185"/>
        <v>0</v>
      </c>
      <c r="AT167" s="2">
        <f t="shared" si="185"/>
        <v>0</v>
      </c>
      <c r="AU167" s="2">
        <f t="shared" si="185"/>
        <v>0</v>
      </c>
      <c r="AV167" s="2">
        <f t="shared" si="185"/>
        <v>0</v>
      </c>
    </row>
    <row r="173" spans="1:48" x14ac:dyDescent="0.25">
      <c r="A173" s="56" t="s">
        <v>1784</v>
      </c>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row>
    <row r="174" spans="1:48" x14ac:dyDescent="0.25">
      <c r="A174" s="29" t="s">
        <v>1783</v>
      </c>
      <c r="B174" s="30"/>
      <c r="C174" s="30"/>
      <c r="D174" s="30"/>
      <c r="E174" s="30"/>
      <c r="F174" s="30"/>
      <c r="G174" s="30"/>
      <c r="H174" s="30"/>
      <c r="I174" s="30"/>
      <c r="J174" s="30"/>
    </row>
    <row r="175" spans="1:48" x14ac:dyDescent="0.25">
      <c r="A175" s="23" t="s">
        <v>1712</v>
      </c>
      <c r="B175">
        <v>1990</v>
      </c>
      <c r="C175">
        <v>1991</v>
      </c>
      <c r="D175">
        <v>1992</v>
      </c>
      <c r="E175">
        <v>1993</v>
      </c>
      <c r="F175">
        <v>1994</v>
      </c>
      <c r="G175">
        <v>1995</v>
      </c>
      <c r="H175">
        <v>1996</v>
      </c>
      <c r="I175">
        <v>1997</v>
      </c>
      <c r="J175">
        <v>1998</v>
      </c>
      <c r="K175">
        <v>1999</v>
      </c>
      <c r="L175">
        <v>2000</v>
      </c>
      <c r="M175">
        <v>2001</v>
      </c>
      <c r="N175">
        <v>2002</v>
      </c>
      <c r="O175">
        <v>2003</v>
      </c>
      <c r="P175">
        <v>2004</v>
      </c>
      <c r="Q175">
        <v>2005</v>
      </c>
      <c r="R175">
        <v>2006</v>
      </c>
      <c r="S175">
        <v>2007</v>
      </c>
      <c r="T175">
        <v>2008</v>
      </c>
      <c r="U175">
        <v>2009</v>
      </c>
      <c r="V175">
        <v>2010</v>
      </c>
      <c r="W175">
        <v>2011</v>
      </c>
      <c r="X175">
        <v>2012</v>
      </c>
      <c r="Y175">
        <v>2013</v>
      </c>
      <c r="Z175">
        <v>2014</v>
      </c>
      <c r="AA175">
        <v>2015</v>
      </c>
    </row>
    <row r="176" spans="1:48" x14ac:dyDescent="0.25">
      <c r="A176" s="100" t="s">
        <v>1713</v>
      </c>
      <c r="B176" s="63">
        <v>5123043</v>
      </c>
      <c r="C176" s="63">
        <v>5073493</v>
      </c>
      <c r="D176" s="63">
        <v>5178583</v>
      </c>
      <c r="E176" s="63">
        <v>5292610</v>
      </c>
      <c r="F176" s="63">
        <v>5385917</v>
      </c>
      <c r="G176" s="63">
        <v>5450306</v>
      </c>
      <c r="H176" s="63">
        <v>5636297</v>
      </c>
      <c r="I176" s="63">
        <v>5713363</v>
      </c>
      <c r="J176" s="63">
        <v>5753825</v>
      </c>
      <c r="K176" s="63">
        <v>5834225</v>
      </c>
      <c r="L176" s="63">
        <v>6001356</v>
      </c>
      <c r="M176" s="63">
        <v>5902705</v>
      </c>
      <c r="N176" s="63">
        <v>5943946</v>
      </c>
      <c r="O176" s="63">
        <v>5990730</v>
      </c>
      <c r="P176" s="63">
        <v>6105430</v>
      </c>
      <c r="Q176" s="63">
        <v>6131833</v>
      </c>
      <c r="R176" s="63">
        <v>6051496</v>
      </c>
      <c r="S176" s="63">
        <v>6130624</v>
      </c>
      <c r="T176" s="63">
        <v>5932978</v>
      </c>
      <c r="U176" s="63">
        <v>5495688</v>
      </c>
      <c r="V176" s="63">
        <v>5699930</v>
      </c>
      <c r="W176" s="63">
        <v>5569516</v>
      </c>
      <c r="X176" s="63">
        <v>5362095</v>
      </c>
      <c r="Y176" s="63">
        <v>5514018</v>
      </c>
      <c r="Z176" s="63">
        <v>5565495</v>
      </c>
      <c r="AA176" s="63">
        <v>5411409</v>
      </c>
    </row>
    <row r="177" spans="1:27" x14ac:dyDescent="0.25">
      <c r="A177" s="21" t="s">
        <v>1714</v>
      </c>
      <c r="B177" s="63">
        <v>4740343</v>
      </c>
      <c r="C177" s="63">
        <v>4690088</v>
      </c>
      <c r="D177" s="63">
        <v>4793073</v>
      </c>
      <c r="E177" s="63">
        <v>4915094</v>
      </c>
      <c r="F177" s="63">
        <v>4989973</v>
      </c>
      <c r="G177" s="63">
        <v>5040997</v>
      </c>
      <c r="H177" s="63">
        <v>5232351</v>
      </c>
      <c r="I177" s="63">
        <v>5296694</v>
      </c>
      <c r="J177" s="63">
        <v>5333484</v>
      </c>
      <c r="K177" s="63">
        <v>5400842</v>
      </c>
      <c r="L177" s="63">
        <v>5593706</v>
      </c>
      <c r="M177" s="63">
        <v>5524952</v>
      </c>
      <c r="N177" s="63">
        <v>5560586</v>
      </c>
      <c r="O177" s="63">
        <v>5619753</v>
      </c>
      <c r="P177" s="63">
        <v>5709058</v>
      </c>
      <c r="Q177" s="63">
        <v>5746942</v>
      </c>
      <c r="R177" s="63">
        <v>5660261</v>
      </c>
      <c r="S177" s="63">
        <v>5753016</v>
      </c>
      <c r="T177" s="63">
        <v>5566614</v>
      </c>
      <c r="U177" s="63">
        <v>5193156</v>
      </c>
      <c r="V177" s="63">
        <v>5359360</v>
      </c>
      <c r="W177" s="63">
        <v>5227061</v>
      </c>
      <c r="X177" s="63">
        <v>5024643</v>
      </c>
      <c r="Y177" s="63">
        <v>5156523</v>
      </c>
      <c r="Z177" s="63">
        <v>5202300</v>
      </c>
      <c r="AA177" s="63">
        <v>5049763</v>
      </c>
    </row>
    <row r="178" spans="1:27" x14ac:dyDescent="0.25">
      <c r="A178" s="333" t="s">
        <v>1715</v>
      </c>
      <c r="B178" s="63">
        <v>1820818</v>
      </c>
      <c r="C178" s="63">
        <v>1818193</v>
      </c>
      <c r="D178" s="63">
        <v>1831539</v>
      </c>
      <c r="E178" s="63">
        <v>1906905</v>
      </c>
      <c r="F178" s="63">
        <v>1931232</v>
      </c>
      <c r="G178" s="63">
        <v>1947918</v>
      </c>
      <c r="H178" s="63">
        <v>2020987</v>
      </c>
      <c r="I178" s="63">
        <v>2088393</v>
      </c>
      <c r="J178" s="63">
        <v>2177378</v>
      </c>
      <c r="K178" s="63">
        <v>2190513</v>
      </c>
      <c r="L178" s="63">
        <v>2296877</v>
      </c>
      <c r="M178" s="63">
        <v>2257913</v>
      </c>
      <c r="N178" s="63">
        <v>2272671</v>
      </c>
      <c r="O178" s="63">
        <v>2304158</v>
      </c>
      <c r="P178" s="63">
        <v>2335886</v>
      </c>
      <c r="Q178" s="63">
        <v>2400874</v>
      </c>
      <c r="R178" s="63">
        <v>2345281</v>
      </c>
      <c r="S178" s="63">
        <v>2411895</v>
      </c>
      <c r="T178" s="63">
        <v>2360081</v>
      </c>
      <c r="U178" s="63">
        <v>2145658</v>
      </c>
      <c r="V178" s="63">
        <v>2258399</v>
      </c>
      <c r="W178" s="63">
        <v>2157688</v>
      </c>
      <c r="X178" s="63">
        <v>2022181</v>
      </c>
      <c r="Y178" s="63">
        <v>2038122</v>
      </c>
      <c r="Z178" s="63">
        <v>2038018</v>
      </c>
      <c r="AA178" s="63">
        <v>1900673</v>
      </c>
    </row>
    <row r="179" spans="1:27" x14ac:dyDescent="0.25">
      <c r="A179" s="31" t="s">
        <v>1716</v>
      </c>
      <c r="B179" s="63">
        <v>1493758</v>
      </c>
      <c r="C179" s="63">
        <v>1447602</v>
      </c>
      <c r="D179" s="63">
        <v>1496852</v>
      </c>
      <c r="E179" s="63">
        <v>1532412</v>
      </c>
      <c r="F179" s="63">
        <v>1576980</v>
      </c>
      <c r="G179" s="63">
        <v>1609862</v>
      </c>
      <c r="H179" s="63">
        <v>1654302</v>
      </c>
      <c r="I179" s="63">
        <v>1670141</v>
      </c>
      <c r="J179" s="63">
        <v>1706636</v>
      </c>
      <c r="K179" s="63">
        <v>1761057</v>
      </c>
      <c r="L179" s="63">
        <v>1805460</v>
      </c>
      <c r="M179" s="63">
        <v>1789429</v>
      </c>
      <c r="N179" s="63">
        <v>1830641</v>
      </c>
      <c r="O179" s="63">
        <v>1822261</v>
      </c>
      <c r="P179" s="63">
        <v>1867141</v>
      </c>
      <c r="Q179" s="63">
        <v>1887033</v>
      </c>
      <c r="R179" s="63">
        <v>1882633</v>
      </c>
      <c r="S179" s="63">
        <v>1886065</v>
      </c>
      <c r="T179" s="63">
        <v>1791798</v>
      </c>
      <c r="U179" s="63">
        <v>1716966</v>
      </c>
      <c r="V179" s="63">
        <v>1728267</v>
      </c>
      <c r="W179" s="63">
        <v>1707631</v>
      </c>
      <c r="X179" s="63">
        <v>1696752</v>
      </c>
      <c r="Y179" s="63">
        <v>1713002</v>
      </c>
      <c r="Z179" s="63">
        <v>1742814</v>
      </c>
      <c r="AA179" s="63">
        <v>1736383</v>
      </c>
    </row>
    <row r="180" spans="1:27" x14ac:dyDescent="0.25">
      <c r="A180" s="31" t="s">
        <v>1717</v>
      </c>
      <c r="B180" s="63">
        <v>842473</v>
      </c>
      <c r="C180" s="63">
        <v>822469</v>
      </c>
      <c r="D180" s="63">
        <v>857427</v>
      </c>
      <c r="E180" s="63">
        <v>855684</v>
      </c>
      <c r="F180" s="63">
        <v>864810</v>
      </c>
      <c r="G180" s="63">
        <v>870508</v>
      </c>
      <c r="H180" s="63">
        <v>907398</v>
      </c>
      <c r="I180" s="63">
        <v>906829</v>
      </c>
      <c r="J180" s="63">
        <v>869070</v>
      </c>
      <c r="K180" s="63">
        <v>845933</v>
      </c>
      <c r="L180" s="63">
        <v>854092</v>
      </c>
      <c r="M180" s="63">
        <v>842953</v>
      </c>
      <c r="N180" s="63">
        <v>829811</v>
      </c>
      <c r="O180" s="63">
        <v>829611</v>
      </c>
      <c r="P180" s="63">
        <v>852323</v>
      </c>
      <c r="Q180" s="63">
        <v>827999</v>
      </c>
      <c r="R180" s="63">
        <v>852568</v>
      </c>
      <c r="S180" s="63">
        <v>847899</v>
      </c>
      <c r="T180" s="63">
        <v>802829</v>
      </c>
      <c r="U180" s="63">
        <v>727696</v>
      </c>
      <c r="V180" s="63">
        <v>775535</v>
      </c>
      <c r="W180" s="63">
        <v>774951</v>
      </c>
      <c r="X180" s="63">
        <v>782929</v>
      </c>
      <c r="Y180" s="63">
        <v>812228</v>
      </c>
      <c r="Z180" s="63">
        <v>806075</v>
      </c>
      <c r="AA180" s="63">
        <v>805496</v>
      </c>
    </row>
    <row r="181" spans="1:27" x14ac:dyDescent="0.25">
      <c r="A181" s="333" t="s">
        <v>1718</v>
      </c>
      <c r="B181" s="63">
        <v>338347</v>
      </c>
      <c r="C181" s="63">
        <v>347182</v>
      </c>
      <c r="D181" s="63">
        <v>353479</v>
      </c>
      <c r="E181" s="63">
        <v>365803</v>
      </c>
      <c r="F181" s="63">
        <v>356791</v>
      </c>
      <c r="G181" s="63">
        <v>352829</v>
      </c>
      <c r="H181" s="63">
        <v>383072</v>
      </c>
      <c r="I181" s="63">
        <v>364686</v>
      </c>
      <c r="J181" s="63">
        <v>331243</v>
      </c>
      <c r="K181" s="63">
        <v>350590</v>
      </c>
      <c r="L181" s="63">
        <v>370810</v>
      </c>
      <c r="M181" s="63">
        <v>362168</v>
      </c>
      <c r="N181" s="63">
        <v>359978</v>
      </c>
      <c r="O181" s="63">
        <v>378944</v>
      </c>
      <c r="P181" s="63">
        <v>367442</v>
      </c>
      <c r="Q181" s="63">
        <v>357834</v>
      </c>
      <c r="R181" s="63">
        <v>321320</v>
      </c>
      <c r="S181" s="63">
        <v>341286</v>
      </c>
      <c r="T181" s="63">
        <v>347621</v>
      </c>
      <c r="U181" s="63">
        <v>336272</v>
      </c>
      <c r="V181" s="63">
        <v>334587</v>
      </c>
      <c r="W181" s="63">
        <v>325537</v>
      </c>
      <c r="X181" s="63">
        <v>282540</v>
      </c>
      <c r="Y181" s="63">
        <v>329674</v>
      </c>
      <c r="Z181" s="63">
        <v>345362</v>
      </c>
      <c r="AA181" s="63">
        <v>319591</v>
      </c>
    </row>
    <row r="182" spans="1:27" x14ac:dyDescent="0.25">
      <c r="A182" s="31" t="s">
        <v>1719</v>
      </c>
      <c r="B182" s="63">
        <v>217393</v>
      </c>
      <c r="C182" s="63">
        <v>223255</v>
      </c>
      <c r="D182" s="63">
        <v>220641</v>
      </c>
      <c r="E182" s="63">
        <v>220059</v>
      </c>
      <c r="F182" s="63">
        <v>222393</v>
      </c>
      <c r="G182" s="63">
        <v>225565</v>
      </c>
      <c r="H182" s="63">
        <v>234509</v>
      </c>
      <c r="I182" s="63">
        <v>233646</v>
      </c>
      <c r="J182" s="63">
        <v>215932</v>
      </c>
      <c r="K182" s="63">
        <v>218752</v>
      </c>
      <c r="L182" s="63">
        <v>230906</v>
      </c>
      <c r="M182" s="63">
        <v>224995</v>
      </c>
      <c r="N182" s="63">
        <v>225032</v>
      </c>
      <c r="O182" s="63">
        <v>235196</v>
      </c>
      <c r="P182" s="63">
        <v>234241</v>
      </c>
      <c r="Q182" s="63">
        <v>223480</v>
      </c>
      <c r="R182" s="63">
        <v>208565</v>
      </c>
      <c r="S182" s="63">
        <v>218803</v>
      </c>
      <c r="T182" s="63">
        <v>223633</v>
      </c>
      <c r="U182" s="63">
        <v>223457</v>
      </c>
      <c r="V182" s="63">
        <v>220125</v>
      </c>
      <c r="W182" s="63">
        <v>220381</v>
      </c>
      <c r="X182" s="63">
        <v>196714</v>
      </c>
      <c r="Y182" s="63">
        <v>221030</v>
      </c>
      <c r="Z182" s="63">
        <v>228666</v>
      </c>
      <c r="AA182" s="63">
        <v>246241</v>
      </c>
    </row>
    <row r="183" spans="1:27" x14ac:dyDescent="0.25">
      <c r="A183" s="333" t="s">
        <v>1720</v>
      </c>
      <c r="B183" s="63">
        <v>27555</v>
      </c>
      <c r="C183" s="63">
        <v>31388</v>
      </c>
      <c r="D183" s="63">
        <v>33135</v>
      </c>
      <c r="E183" s="63">
        <v>34232</v>
      </c>
      <c r="F183" s="63">
        <v>37766</v>
      </c>
      <c r="G183" s="63">
        <v>34314</v>
      </c>
      <c r="H183" s="63">
        <v>32083</v>
      </c>
      <c r="I183" s="63">
        <v>33000</v>
      </c>
      <c r="J183" s="63">
        <v>33226</v>
      </c>
      <c r="K183" s="63">
        <v>33996</v>
      </c>
      <c r="L183" s="63">
        <v>35560</v>
      </c>
      <c r="M183" s="63">
        <v>47495</v>
      </c>
      <c r="N183" s="63">
        <v>42454</v>
      </c>
      <c r="O183" s="63">
        <v>49584</v>
      </c>
      <c r="P183" s="63">
        <v>52024</v>
      </c>
      <c r="Q183" s="63">
        <v>49723</v>
      </c>
      <c r="R183" s="63">
        <v>49894</v>
      </c>
      <c r="S183" s="63">
        <v>47067</v>
      </c>
      <c r="T183" s="63">
        <v>40652</v>
      </c>
      <c r="U183" s="63">
        <v>43106</v>
      </c>
      <c r="V183" s="63">
        <v>42446</v>
      </c>
      <c r="W183" s="63">
        <v>40874</v>
      </c>
      <c r="X183" s="63">
        <v>43527</v>
      </c>
      <c r="Y183" s="63">
        <v>42467</v>
      </c>
      <c r="Z183" s="63">
        <v>41365</v>
      </c>
      <c r="AA183" s="63">
        <v>41380</v>
      </c>
    </row>
    <row r="184" spans="1:27" x14ac:dyDescent="0.25">
      <c r="A184" s="21" t="s">
        <v>1721</v>
      </c>
      <c r="B184" s="63">
        <v>117585</v>
      </c>
      <c r="C184" s="63">
        <v>127690</v>
      </c>
      <c r="D184" s="63">
        <v>125811</v>
      </c>
      <c r="E184" s="63">
        <v>116326</v>
      </c>
      <c r="F184" s="63">
        <v>125472</v>
      </c>
      <c r="G184" s="63">
        <v>128274</v>
      </c>
      <c r="H184" s="63">
        <v>123777</v>
      </c>
      <c r="I184" s="63">
        <v>132362</v>
      </c>
      <c r="J184" s="63">
        <v>149699</v>
      </c>
      <c r="K184" s="63">
        <v>163012</v>
      </c>
      <c r="L184" s="63">
        <v>140272</v>
      </c>
      <c r="M184" s="63">
        <v>131703</v>
      </c>
      <c r="N184" s="63">
        <v>135216</v>
      </c>
      <c r="O184" s="63">
        <v>128989</v>
      </c>
      <c r="P184" s="63">
        <v>147297</v>
      </c>
      <c r="Q184" s="63">
        <v>138913</v>
      </c>
      <c r="R184" s="63">
        <v>140274</v>
      </c>
      <c r="S184" s="63">
        <v>122852</v>
      </c>
      <c r="T184" s="63">
        <v>125362</v>
      </c>
      <c r="U184" s="63">
        <v>106169</v>
      </c>
      <c r="V184" s="63">
        <v>114294</v>
      </c>
      <c r="W184" s="63">
        <v>109756</v>
      </c>
      <c r="X184" s="63">
        <v>106750</v>
      </c>
      <c r="Y184" s="63">
        <v>123645</v>
      </c>
      <c r="Z184" s="63">
        <v>118995</v>
      </c>
      <c r="AA184" s="63">
        <v>125526</v>
      </c>
    </row>
    <row r="185" spans="1:27" ht="24" x14ac:dyDescent="0.25">
      <c r="A185" s="21" t="s">
        <v>1722</v>
      </c>
      <c r="B185" s="63">
        <v>101487</v>
      </c>
      <c r="C185" s="63">
        <v>92075</v>
      </c>
      <c r="D185" s="63">
        <v>92938</v>
      </c>
      <c r="E185" s="63">
        <v>88944</v>
      </c>
      <c r="F185" s="63">
        <v>91781</v>
      </c>
      <c r="G185" s="63">
        <v>95502</v>
      </c>
      <c r="H185" s="63">
        <v>93599</v>
      </c>
      <c r="I185" s="63">
        <v>94950</v>
      </c>
      <c r="J185" s="63">
        <v>88643</v>
      </c>
      <c r="K185" s="63">
        <v>86440</v>
      </c>
      <c r="L185" s="63">
        <v>88080</v>
      </c>
      <c r="M185" s="63">
        <v>77593</v>
      </c>
      <c r="N185" s="63">
        <v>73726</v>
      </c>
      <c r="O185" s="63">
        <v>70587</v>
      </c>
      <c r="P185" s="63">
        <v>70186</v>
      </c>
      <c r="Q185" s="63">
        <v>68047</v>
      </c>
      <c r="R185" s="63">
        <v>70774</v>
      </c>
      <c r="S185" s="63">
        <v>72541</v>
      </c>
      <c r="T185" s="63">
        <v>68040</v>
      </c>
      <c r="U185" s="63">
        <v>43755</v>
      </c>
      <c r="V185" s="63">
        <v>56753</v>
      </c>
      <c r="W185" s="63">
        <v>61108</v>
      </c>
      <c r="X185" s="63">
        <v>55449</v>
      </c>
      <c r="Y185" s="63">
        <v>53348</v>
      </c>
      <c r="Z185" s="63">
        <v>58629</v>
      </c>
      <c r="AA185" s="63">
        <v>48876</v>
      </c>
    </row>
    <row r="186" spans="1:27" x14ac:dyDescent="0.25">
      <c r="A186" s="21" t="s">
        <v>1723</v>
      </c>
      <c r="B186" s="63">
        <v>37732</v>
      </c>
      <c r="C186" s="63">
        <v>37951</v>
      </c>
      <c r="D186" s="63">
        <v>37677</v>
      </c>
      <c r="E186" s="63">
        <v>41027</v>
      </c>
      <c r="F186" s="63">
        <v>41089</v>
      </c>
      <c r="G186" s="63">
        <v>42643</v>
      </c>
      <c r="H186" s="63">
        <v>40148</v>
      </c>
      <c r="I186" s="63">
        <v>39700</v>
      </c>
      <c r="J186" s="63">
        <v>29719</v>
      </c>
      <c r="K186" s="63">
        <v>30763</v>
      </c>
      <c r="L186" s="63">
        <v>29870</v>
      </c>
      <c r="M186" s="63">
        <v>29339</v>
      </c>
      <c r="N186" s="63">
        <v>30115</v>
      </c>
      <c r="O186" s="63">
        <v>28950</v>
      </c>
      <c r="P186" s="63">
        <v>28676</v>
      </c>
      <c r="Q186" s="63">
        <v>30076</v>
      </c>
      <c r="R186" s="63">
        <v>30174</v>
      </c>
      <c r="S186" s="63">
        <v>30983</v>
      </c>
      <c r="T186" s="63">
        <v>32774</v>
      </c>
      <c r="U186" s="63">
        <v>32302</v>
      </c>
      <c r="V186" s="63">
        <v>32439</v>
      </c>
      <c r="W186" s="63">
        <v>35662</v>
      </c>
      <c r="X186" s="63">
        <v>35203</v>
      </c>
      <c r="Y186" s="63">
        <v>38457</v>
      </c>
      <c r="Z186" s="63">
        <v>42351</v>
      </c>
      <c r="AA186" s="63">
        <v>42351</v>
      </c>
    </row>
    <row r="187" spans="1:27" x14ac:dyDescent="0.25">
      <c r="A187" s="21" t="s">
        <v>1724</v>
      </c>
      <c r="B187" s="63">
        <v>33484</v>
      </c>
      <c r="C187" s="63">
        <v>32736</v>
      </c>
      <c r="D187" s="63">
        <v>32993</v>
      </c>
      <c r="E187" s="63">
        <v>34838</v>
      </c>
      <c r="F187" s="63">
        <v>36310</v>
      </c>
      <c r="G187" s="63">
        <v>37075</v>
      </c>
      <c r="H187" s="63">
        <v>37309</v>
      </c>
      <c r="I187" s="63">
        <v>38561</v>
      </c>
      <c r="J187" s="63">
        <v>39461</v>
      </c>
      <c r="K187" s="63">
        <v>40239</v>
      </c>
      <c r="L187" s="63">
        <v>41445</v>
      </c>
      <c r="M187" s="63">
        <v>41613</v>
      </c>
      <c r="N187" s="63">
        <v>43164</v>
      </c>
      <c r="O187" s="63">
        <v>43349</v>
      </c>
      <c r="P187" s="63">
        <v>45886</v>
      </c>
      <c r="Q187" s="63">
        <v>46194</v>
      </c>
      <c r="R187" s="63">
        <v>46851</v>
      </c>
      <c r="S187" s="63">
        <v>45509</v>
      </c>
      <c r="T187" s="63">
        <v>41416</v>
      </c>
      <c r="U187" s="63">
        <v>29615</v>
      </c>
      <c r="V187" s="63">
        <v>31449</v>
      </c>
      <c r="W187" s="63">
        <v>32208</v>
      </c>
      <c r="X187" s="63">
        <v>35270</v>
      </c>
      <c r="Y187" s="63">
        <v>36369</v>
      </c>
      <c r="Z187" s="63">
        <v>39439</v>
      </c>
      <c r="AA187" s="63">
        <v>39907</v>
      </c>
    </row>
    <row r="188" spans="1:27" x14ac:dyDescent="0.25">
      <c r="A188" s="21" t="s">
        <v>1725</v>
      </c>
      <c r="B188" s="63">
        <v>21326</v>
      </c>
      <c r="C188" s="63">
        <v>22744</v>
      </c>
      <c r="D188" s="63">
        <v>23341</v>
      </c>
      <c r="E188" s="63">
        <v>24290</v>
      </c>
      <c r="F188" s="63">
        <v>26224</v>
      </c>
      <c r="G188" s="63">
        <v>27573</v>
      </c>
      <c r="H188" s="63">
        <v>28710</v>
      </c>
      <c r="I188" s="63">
        <v>30084</v>
      </c>
      <c r="J188" s="63">
        <v>30439</v>
      </c>
      <c r="K188" s="63">
        <v>31851</v>
      </c>
      <c r="L188" s="63">
        <v>31128</v>
      </c>
      <c r="M188" s="63">
        <v>27239</v>
      </c>
      <c r="N188" s="63">
        <v>28264</v>
      </c>
      <c r="O188" s="63">
        <v>28040</v>
      </c>
      <c r="P188" s="63">
        <v>30214</v>
      </c>
      <c r="Q188" s="63">
        <v>26972</v>
      </c>
      <c r="R188" s="63">
        <v>27187</v>
      </c>
      <c r="S188" s="63">
        <v>27627</v>
      </c>
      <c r="T188" s="63">
        <v>24352</v>
      </c>
      <c r="U188" s="63">
        <v>23403</v>
      </c>
      <c r="V188" s="63">
        <v>27262</v>
      </c>
      <c r="W188" s="63">
        <v>26338</v>
      </c>
      <c r="X188" s="63">
        <v>26501</v>
      </c>
      <c r="Y188" s="63">
        <v>26395</v>
      </c>
      <c r="Z188" s="63">
        <v>26496</v>
      </c>
      <c r="AA188" s="63">
        <v>28062</v>
      </c>
    </row>
    <row r="189" spans="1:27" x14ac:dyDescent="0.25">
      <c r="A189" s="21" t="s">
        <v>1726</v>
      </c>
      <c r="B189" s="63">
        <v>11700</v>
      </c>
      <c r="C189" s="63">
        <v>11539</v>
      </c>
      <c r="D189" s="63">
        <v>11927</v>
      </c>
      <c r="E189" s="63">
        <v>12279</v>
      </c>
      <c r="F189" s="63">
        <v>12736</v>
      </c>
      <c r="G189" s="63">
        <v>13538</v>
      </c>
      <c r="H189" s="63">
        <v>14242</v>
      </c>
      <c r="I189" s="63">
        <v>14498</v>
      </c>
      <c r="J189" s="63">
        <v>14792</v>
      </c>
      <c r="K189" s="63">
        <v>14425</v>
      </c>
      <c r="L189" s="63">
        <v>14282</v>
      </c>
      <c r="M189" s="63">
        <v>13722</v>
      </c>
      <c r="N189" s="63">
        <v>13169</v>
      </c>
      <c r="O189" s="63">
        <v>13907</v>
      </c>
      <c r="P189" s="63">
        <v>14613</v>
      </c>
      <c r="Q189" s="63">
        <v>14552</v>
      </c>
      <c r="R189" s="63">
        <v>15243</v>
      </c>
      <c r="S189" s="63">
        <v>14721</v>
      </c>
      <c r="T189" s="63">
        <v>14505</v>
      </c>
      <c r="U189" s="63">
        <v>11411</v>
      </c>
      <c r="V189" s="63">
        <v>13381</v>
      </c>
      <c r="W189" s="63">
        <v>13982</v>
      </c>
      <c r="X189" s="63">
        <v>13785</v>
      </c>
      <c r="Y189" s="63">
        <v>14028</v>
      </c>
      <c r="Z189" s="63">
        <v>14210</v>
      </c>
      <c r="AA189" s="63">
        <v>13342</v>
      </c>
    </row>
    <row r="190" spans="1:27" x14ac:dyDescent="0.25">
      <c r="A190" s="21" t="s">
        <v>1727</v>
      </c>
      <c r="B190" s="63">
        <v>4907</v>
      </c>
      <c r="C190" s="63">
        <v>4313</v>
      </c>
      <c r="D190" s="63">
        <v>4301</v>
      </c>
      <c r="E190" s="63">
        <v>3909</v>
      </c>
      <c r="F190" s="63">
        <v>4346</v>
      </c>
      <c r="G190" s="63">
        <v>6155</v>
      </c>
      <c r="H190" s="63">
        <v>6781</v>
      </c>
      <c r="I190" s="63">
        <v>6373</v>
      </c>
      <c r="J190" s="63">
        <v>6701</v>
      </c>
      <c r="K190" s="63">
        <v>7576</v>
      </c>
      <c r="L190" s="63">
        <v>4670</v>
      </c>
      <c r="M190" s="63">
        <v>4660</v>
      </c>
      <c r="N190" s="63">
        <v>5137</v>
      </c>
      <c r="O190" s="63">
        <v>3739</v>
      </c>
      <c r="P190" s="63">
        <v>5598</v>
      </c>
      <c r="Q190" s="63">
        <v>6339</v>
      </c>
      <c r="R190" s="63">
        <v>7284</v>
      </c>
      <c r="S190" s="63">
        <v>7365</v>
      </c>
      <c r="T190" s="63">
        <v>5885</v>
      </c>
      <c r="U190" s="63">
        <v>7583</v>
      </c>
      <c r="V190" s="63">
        <v>9560</v>
      </c>
      <c r="W190" s="63">
        <v>9335</v>
      </c>
      <c r="X190" s="63">
        <v>8022</v>
      </c>
      <c r="Y190" s="63">
        <v>10414</v>
      </c>
      <c r="Z190" s="63">
        <v>11811</v>
      </c>
      <c r="AA190" s="63">
        <v>11236</v>
      </c>
    </row>
    <row r="191" spans="1:27" x14ac:dyDescent="0.25">
      <c r="A191" s="21" t="s">
        <v>1728</v>
      </c>
      <c r="B191" s="63">
        <v>13047</v>
      </c>
      <c r="C191" s="63">
        <v>13279</v>
      </c>
      <c r="D191" s="63">
        <v>13683</v>
      </c>
      <c r="E191" s="63">
        <v>13205</v>
      </c>
      <c r="F191" s="63">
        <v>14151</v>
      </c>
      <c r="G191" s="63">
        <v>13541</v>
      </c>
      <c r="H191" s="63">
        <v>13836</v>
      </c>
      <c r="I191" s="63">
        <v>14028</v>
      </c>
      <c r="J191" s="63">
        <v>14143</v>
      </c>
      <c r="K191" s="63">
        <v>12948</v>
      </c>
      <c r="L191" s="63">
        <v>12172</v>
      </c>
      <c r="M191" s="63">
        <v>9233</v>
      </c>
      <c r="N191" s="63">
        <v>10499</v>
      </c>
      <c r="O191" s="63">
        <v>8817</v>
      </c>
      <c r="P191" s="63">
        <v>9568</v>
      </c>
      <c r="Q191" s="63">
        <v>9196</v>
      </c>
      <c r="R191" s="63">
        <v>8781</v>
      </c>
      <c r="S191" s="63">
        <v>9074</v>
      </c>
      <c r="T191" s="63">
        <v>8414</v>
      </c>
      <c r="U191" s="63">
        <v>8454</v>
      </c>
      <c r="V191" s="63">
        <v>9188</v>
      </c>
      <c r="W191" s="63">
        <v>9292</v>
      </c>
      <c r="X191" s="63">
        <v>9377</v>
      </c>
      <c r="Y191" s="63">
        <v>9962</v>
      </c>
      <c r="Z191" s="63">
        <v>9619</v>
      </c>
      <c r="AA191" s="63">
        <v>10799</v>
      </c>
    </row>
    <row r="192" spans="1:27" x14ac:dyDescent="0.25">
      <c r="A192" s="21" t="s">
        <v>1729</v>
      </c>
      <c r="B192" s="63">
        <v>7950</v>
      </c>
      <c r="C192" s="63">
        <v>7959</v>
      </c>
      <c r="D192" s="63">
        <v>9483</v>
      </c>
      <c r="E192" s="63">
        <v>9751</v>
      </c>
      <c r="F192" s="63">
        <v>10833</v>
      </c>
      <c r="G192" s="63">
        <v>11261</v>
      </c>
      <c r="H192" s="63">
        <v>11861</v>
      </c>
      <c r="I192" s="63">
        <v>11848</v>
      </c>
      <c r="J192" s="63">
        <v>10822</v>
      </c>
      <c r="K192" s="63">
        <v>11001</v>
      </c>
      <c r="L192" s="63">
        <v>11106</v>
      </c>
      <c r="M192" s="63">
        <v>11391</v>
      </c>
      <c r="N192" s="63">
        <v>11828</v>
      </c>
      <c r="O192" s="63">
        <v>12099</v>
      </c>
      <c r="P192" s="63">
        <v>12375</v>
      </c>
      <c r="Q192" s="63">
        <v>12469</v>
      </c>
      <c r="R192" s="63">
        <v>12528</v>
      </c>
      <c r="S192" s="63">
        <v>12733</v>
      </c>
      <c r="T192" s="63">
        <v>11892</v>
      </c>
      <c r="U192" s="63">
        <v>11318</v>
      </c>
      <c r="V192" s="63">
        <v>11047</v>
      </c>
      <c r="W192" s="63">
        <v>10564</v>
      </c>
      <c r="X192" s="63">
        <v>10379</v>
      </c>
      <c r="Y192" s="63">
        <v>10398</v>
      </c>
      <c r="Z192" s="63">
        <v>10608</v>
      </c>
      <c r="AA192" s="63">
        <v>10676</v>
      </c>
    </row>
    <row r="193" spans="1:27" x14ac:dyDescent="0.25">
      <c r="A193" s="21" t="s">
        <v>1730</v>
      </c>
      <c r="B193" s="63">
        <v>2417</v>
      </c>
      <c r="C193" s="63">
        <v>2313</v>
      </c>
      <c r="D193" s="63">
        <v>2448</v>
      </c>
      <c r="E193" s="63">
        <v>2637</v>
      </c>
      <c r="F193" s="63">
        <v>2683</v>
      </c>
      <c r="G193" s="63">
        <v>2657</v>
      </c>
      <c r="H193" s="63">
        <v>2587</v>
      </c>
      <c r="I193" s="63">
        <v>2691</v>
      </c>
      <c r="J193" s="63">
        <v>2947</v>
      </c>
      <c r="K193" s="63">
        <v>3016</v>
      </c>
      <c r="L193" s="63">
        <v>3214</v>
      </c>
      <c r="M193" s="63">
        <v>3414</v>
      </c>
      <c r="N193" s="63">
        <v>3572</v>
      </c>
      <c r="O193" s="63">
        <v>3685</v>
      </c>
      <c r="P193" s="63">
        <v>3653</v>
      </c>
      <c r="Q193" s="63">
        <v>3504</v>
      </c>
      <c r="R193" s="63">
        <v>3656</v>
      </c>
      <c r="S193" s="63">
        <v>3757</v>
      </c>
      <c r="T193" s="63">
        <v>3613</v>
      </c>
      <c r="U193" s="63">
        <v>3555</v>
      </c>
      <c r="V193" s="63">
        <v>3778</v>
      </c>
      <c r="W193" s="63">
        <v>4097</v>
      </c>
      <c r="X193" s="63">
        <v>4267</v>
      </c>
      <c r="Y193" s="63">
        <v>4504</v>
      </c>
      <c r="Z193" s="63">
        <v>4781</v>
      </c>
      <c r="AA193" s="63">
        <v>5032</v>
      </c>
    </row>
    <row r="194" spans="1:27" x14ac:dyDescent="0.25">
      <c r="A194" s="21" t="s">
        <v>1731</v>
      </c>
      <c r="B194" s="63">
        <v>1472</v>
      </c>
      <c r="C194" s="63">
        <v>1469</v>
      </c>
      <c r="D194" s="63">
        <v>1463</v>
      </c>
      <c r="E194" s="63">
        <v>1470</v>
      </c>
      <c r="F194" s="63">
        <v>1476</v>
      </c>
      <c r="G194" s="63">
        <v>1477</v>
      </c>
      <c r="H194" s="63">
        <v>1486</v>
      </c>
      <c r="I194" s="63">
        <v>1484</v>
      </c>
      <c r="J194" s="63">
        <v>1481</v>
      </c>
      <c r="K194" s="63">
        <v>1479</v>
      </c>
      <c r="L194" s="63">
        <v>1478</v>
      </c>
      <c r="M194">
        <v>894</v>
      </c>
      <c r="N194" s="63">
        <v>1047</v>
      </c>
      <c r="O194" s="63">
        <v>1365</v>
      </c>
      <c r="P194" s="63">
        <v>1259</v>
      </c>
      <c r="Q194" s="63">
        <v>1375</v>
      </c>
      <c r="R194" s="63">
        <v>1758</v>
      </c>
      <c r="S194" s="63">
        <v>1922</v>
      </c>
      <c r="T194" s="63">
        <v>1834</v>
      </c>
      <c r="U194" s="63">
        <v>1795</v>
      </c>
      <c r="V194" s="63">
        <v>4425</v>
      </c>
      <c r="W194" s="63">
        <v>4083</v>
      </c>
      <c r="X194" s="63">
        <v>4019</v>
      </c>
      <c r="Y194" s="63">
        <v>4188</v>
      </c>
      <c r="Z194" s="63">
        <v>4471</v>
      </c>
      <c r="AA194" s="63">
        <v>4296</v>
      </c>
    </row>
    <row r="195" spans="1:27" x14ac:dyDescent="0.25">
      <c r="A195" s="21" t="s">
        <v>1732</v>
      </c>
      <c r="B195" s="63">
        <v>4667</v>
      </c>
      <c r="C195" s="63">
        <v>5009</v>
      </c>
      <c r="D195" s="63">
        <v>4415</v>
      </c>
      <c r="E195" s="63">
        <v>3785</v>
      </c>
      <c r="F195" s="63">
        <v>4141</v>
      </c>
      <c r="G195" s="63">
        <v>4392</v>
      </c>
      <c r="H195" s="63">
        <v>4368</v>
      </c>
      <c r="I195" s="63">
        <v>4280</v>
      </c>
      <c r="J195" s="63">
        <v>4721</v>
      </c>
      <c r="K195" s="63">
        <v>4458</v>
      </c>
      <c r="L195" s="63">
        <v>4328</v>
      </c>
      <c r="M195" s="63">
        <v>4411</v>
      </c>
      <c r="N195" s="63">
        <v>4976</v>
      </c>
      <c r="O195" s="63">
        <v>4575</v>
      </c>
      <c r="P195" s="63">
        <v>3902</v>
      </c>
      <c r="Q195" s="63">
        <v>4349</v>
      </c>
      <c r="R195" s="63">
        <v>4220</v>
      </c>
      <c r="S195" s="63">
        <v>4464</v>
      </c>
      <c r="T195" s="63">
        <v>5025</v>
      </c>
      <c r="U195" s="63">
        <v>3669</v>
      </c>
      <c r="V195" s="63">
        <v>4784</v>
      </c>
      <c r="W195" s="63">
        <v>3873</v>
      </c>
      <c r="X195" s="63">
        <v>5978</v>
      </c>
      <c r="Y195" s="63">
        <v>3907</v>
      </c>
      <c r="Z195" s="63">
        <v>3609</v>
      </c>
      <c r="AA195" s="63">
        <v>3810</v>
      </c>
    </row>
    <row r="196" spans="1:27" x14ac:dyDescent="0.25">
      <c r="A196" s="21" t="s">
        <v>1733</v>
      </c>
      <c r="B196" s="63">
        <v>3553</v>
      </c>
      <c r="C196" s="63">
        <v>3528</v>
      </c>
      <c r="D196" s="63">
        <v>3551</v>
      </c>
      <c r="E196" s="63">
        <v>3574</v>
      </c>
      <c r="F196" s="63">
        <v>3629</v>
      </c>
      <c r="G196" s="63">
        <v>3657</v>
      </c>
      <c r="H196" s="63">
        <v>3722</v>
      </c>
      <c r="I196" s="63">
        <v>3832</v>
      </c>
      <c r="J196" s="63">
        <v>3884</v>
      </c>
      <c r="K196" s="63">
        <v>3849</v>
      </c>
      <c r="L196" s="63">
        <v>3923</v>
      </c>
      <c r="M196" s="63">
        <v>3933</v>
      </c>
      <c r="N196" s="63">
        <v>3884</v>
      </c>
      <c r="O196" s="63">
        <v>3967</v>
      </c>
      <c r="P196" s="63">
        <v>4011</v>
      </c>
      <c r="Q196" s="63">
        <v>3927</v>
      </c>
      <c r="R196" s="63">
        <v>3934</v>
      </c>
      <c r="S196" s="63">
        <v>3924</v>
      </c>
      <c r="T196" s="63">
        <v>3806</v>
      </c>
      <c r="U196" s="63">
        <v>3745</v>
      </c>
      <c r="V196" s="63">
        <v>4154</v>
      </c>
      <c r="W196" s="63">
        <v>4192</v>
      </c>
      <c r="X196" s="63">
        <v>3876</v>
      </c>
      <c r="Y196" s="63">
        <v>3693</v>
      </c>
      <c r="Z196" s="63">
        <v>3567</v>
      </c>
      <c r="AA196" s="63">
        <v>3567</v>
      </c>
    </row>
    <row r="197" spans="1:27" x14ac:dyDescent="0.25">
      <c r="A197" s="21" t="s">
        <v>1734</v>
      </c>
      <c r="B197" s="63">
        <v>2822</v>
      </c>
      <c r="C197" s="63">
        <v>2793</v>
      </c>
      <c r="D197" s="63">
        <v>2769</v>
      </c>
      <c r="E197" s="63">
        <v>2736</v>
      </c>
      <c r="F197" s="63">
        <v>2712</v>
      </c>
      <c r="G197" s="63">
        <v>3003</v>
      </c>
      <c r="H197" s="63">
        <v>2979</v>
      </c>
      <c r="I197" s="63">
        <v>3057</v>
      </c>
      <c r="J197" s="63">
        <v>2990</v>
      </c>
      <c r="K197" s="63">
        <v>2859</v>
      </c>
      <c r="L197" s="63">
        <v>2866</v>
      </c>
      <c r="M197" s="63">
        <v>2872</v>
      </c>
      <c r="N197" s="63">
        <v>2822</v>
      </c>
      <c r="O197" s="63">
        <v>2824</v>
      </c>
      <c r="P197" s="63">
        <v>2908</v>
      </c>
      <c r="Q197" s="63">
        <v>2960</v>
      </c>
      <c r="R197" s="63">
        <v>2902</v>
      </c>
      <c r="S197" s="63">
        <v>2937</v>
      </c>
      <c r="T197" s="63">
        <v>2960</v>
      </c>
      <c r="U197" s="63">
        <v>2569</v>
      </c>
      <c r="V197" s="63">
        <v>2697</v>
      </c>
      <c r="W197" s="63">
        <v>2712</v>
      </c>
      <c r="X197" s="63">
        <v>2763</v>
      </c>
      <c r="Y197" s="63">
        <v>2804</v>
      </c>
      <c r="Z197" s="63">
        <v>2827</v>
      </c>
      <c r="AA197" s="63">
        <v>2789</v>
      </c>
    </row>
    <row r="198" spans="1:27" x14ac:dyDescent="0.25">
      <c r="A198" s="21" t="s">
        <v>1735</v>
      </c>
      <c r="B198" s="63">
        <v>6831</v>
      </c>
      <c r="C198" s="63">
        <v>6945</v>
      </c>
      <c r="D198" s="63">
        <v>6804</v>
      </c>
      <c r="E198" s="63">
        <v>6211</v>
      </c>
      <c r="F198" s="63">
        <v>5539</v>
      </c>
      <c r="G198" s="63">
        <v>5659</v>
      </c>
      <c r="H198" s="63">
        <v>5987</v>
      </c>
      <c r="I198" s="63">
        <v>6019</v>
      </c>
      <c r="J198" s="63">
        <v>6191</v>
      </c>
      <c r="K198" s="63">
        <v>6286</v>
      </c>
      <c r="L198" s="63">
        <v>6086</v>
      </c>
      <c r="M198" s="63">
        <v>4382</v>
      </c>
      <c r="N198" s="63">
        <v>4491</v>
      </c>
      <c r="O198" s="63">
        <v>4502</v>
      </c>
      <c r="P198" s="63">
        <v>4231</v>
      </c>
      <c r="Q198" s="63">
        <v>4142</v>
      </c>
      <c r="R198" s="63">
        <v>3801</v>
      </c>
      <c r="S198" s="63">
        <v>4251</v>
      </c>
      <c r="T198" s="63">
        <v>4477</v>
      </c>
      <c r="U198" s="63">
        <v>3009</v>
      </c>
      <c r="V198" s="63">
        <v>2722</v>
      </c>
      <c r="W198" s="63">
        <v>3292</v>
      </c>
      <c r="X198" s="63">
        <v>3439</v>
      </c>
      <c r="Y198" s="63">
        <v>3255</v>
      </c>
      <c r="Z198" s="63">
        <v>2833</v>
      </c>
      <c r="AA198" s="63">
        <v>2767</v>
      </c>
    </row>
    <row r="199" spans="1:27" x14ac:dyDescent="0.25">
      <c r="A199" s="21" t="s">
        <v>1736</v>
      </c>
      <c r="B199" s="63">
        <v>2152</v>
      </c>
      <c r="C199" s="63">
        <v>1929</v>
      </c>
      <c r="D199" s="63">
        <v>1957</v>
      </c>
      <c r="E199" s="63">
        <v>1904</v>
      </c>
      <c r="F199" s="63">
        <v>2021</v>
      </c>
      <c r="G199" s="63">
        <v>2036</v>
      </c>
      <c r="H199" s="63">
        <v>2133</v>
      </c>
      <c r="I199" s="63">
        <v>2226</v>
      </c>
      <c r="J199" s="63">
        <v>2218</v>
      </c>
      <c r="K199" s="63">
        <v>2185</v>
      </c>
      <c r="L199" s="63">
        <v>1893</v>
      </c>
      <c r="M199" s="63">
        <v>1459</v>
      </c>
      <c r="N199" s="63">
        <v>1349</v>
      </c>
      <c r="O199" s="63">
        <v>1305</v>
      </c>
      <c r="P199" s="63">
        <v>1419</v>
      </c>
      <c r="Q199" s="63">
        <v>1392</v>
      </c>
      <c r="R199" s="63">
        <v>1505</v>
      </c>
      <c r="S199" s="63">
        <v>1552</v>
      </c>
      <c r="T199" s="63">
        <v>1599</v>
      </c>
      <c r="U199" s="63">
        <v>1469</v>
      </c>
      <c r="V199" s="63">
        <v>1663</v>
      </c>
      <c r="W199" s="63">
        <v>1735</v>
      </c>
      <c r="X199" s="63">
        <v>1903</v>
      </c>
      <c r="Y199" s="63">
        <v>1785</v>
      </c>
      <c r="Z199" s="63">
        <v>1914</v>
      </c>
      <c r="AA199" s="63">
        <v>1960</v>
      </c>
    </row>
    <row r="200" spans="1:27" x14ac:dyDescent="0.25">
      <c r="A200" s="21" t="s">
        <v>1737</v>
      </c>
      <c r="B200" s="63">
        <v>1195</v>
      </c>
      <c r="C200" s="63">
        <v>1211</v>
      </c>
      <c r="D200" s="63">
        <v>1392</v>
      </c>
      <c r="E200" s="63">
        <v>1416</v>
      </c>
      <c r="F200" s="63">
        <v>1526</v>
      </c>
      <c r="G200" s="63">
        <v>1526</v>
      </c>
      <c r="H200" s="63">
        <v>1514</v>
      </c>
      <c r="I200" s="63">
        <v>1677</v>
      </c>
      <c r="J200" s="63">
        <v>1662</v>
      </c>
      <c r="K200" s="63">
        <v>1693</v>
      </c>
      <c r="L200" s="63">
        <v>1752</v>
      </c>
      <c r="M200" s="63">
        <v>1697</v>
      </c>
      <c r="N200" s="63">
        <v>1824</v>
      </c>
      <c r="O200" s="63">
        <v>1839</v>
      </c>
      <c r="P200" s="63">
        <v>2064</v>
      </c>
      <c r="Q200" s="63">
        <v>1755</v>
      </c>
      <c r="R200" s="63">
        <v>1836</v>
      </c>
      <c r="S200" s="63">
        <v>1930</v>
      </c>
      <c r="T200" s="63">
        <v>1809</v>
      </c>
      <c r="U200" s="63">
        <v>1648</v>
      </c>
      <c r="V200" s="63">
        <v>1769</v>
      </c>
      <c r="W200" s="63">
        <v>1729</v>
      </c>
      <c r="X200" s="63">
        <v>1528</v>
      </c>
      <c r="Y200" s="63">
        <v>1715</v>
      </c>
      <c r="Z200" s="63">
        <v>1688</v>
      </c>
      <c r="AA200" s="63">
        <v>1635</v>
      </c>
    </row>
    <row r="201" spans="1:27" x14ac:dyDescent="0.25">
      <c r="A201" s="21" t="s">
        <v>1738</v>
      </c>
      <c r="B201" s="63">
        <v>1535</v>
      </c>
      <c r="C201" s="63">
        <v>1439</v>
      </c>
      <c r="D201" s="63">
        <v>1540</v>
      </c>
      <c r="E201" s="63">
        <v>1626</v>
      </c>
      <c r="F201" s="63">
        <v>1735</v>
      </c>
      <c r="G201" s="63">
        <v>1823</v>
      </c>
      <c r="H201" s="63">
        <v>1677</v>
      </c>
      <c r="I201" s="63">
        <v>1618</v>
      </c>
      <c r="J201" s="63">
        <v>1543</v>
      </c>
      <c r="K201" s="63">
        <v>1357</v>
      </c>
      <c r="L201" s="63">
        <v>1686</v>
      </c>
      <c r="M201" s="63">
        <v>1386</v>
      </c>
      <c r="N201" s="63">
        <v>1741</v>
      </c>
      <c r="O201" s="63">
        <v>1623</v>
      </c>
      <c r="P201" s="63">
        <v>1642</v>
      </c>
      <c r="Q201" s="63">
        <v>1928</v>
      </c>
      <c r="R201" s="63">
        <v>2050</v>
      </c>
      <c r="S201" s="63">
        <v>1536</v>
      </c>
      <c r="T201" s="63">
        <v>1523</v>
      </c>
      <c r="U201" s="63">
        <v>1045</v>
      </c>
      <c r="V201" s="63">
        <v>1481</v>
      </c>
      <c r="W201" s="63">
        <v>1299</v>
      </c>
      <c r="X201" s="63">
        <v>1248</v>
      </c>
      <c r="Y201" s="63">
        <v>1317</v>
      </c>
      <c r="Z201" s="63">
        <v>1336</v>
      </c>
      <c r="AA201" s="63">
        <v>1299</v>
      </c>
    </row>
    <row r="202" spans="1:27" ht="24" x14ac:dyDescent="0.25">
      <c r="A202" s="21" t="s">
        <v>1739</v>
      </c>
      <c r="B202" s="63">
        <v>3784</v>
      </c>
      <c r="C202" s="63">
        <v>3501</v>
      </c>
      <c r="D202" s="63">
        <v>3863</v>
      </c>
      <c r="E202" s="63">
        <v>4568</v>
      </c>
      <c r="F202" s="63">
        <v>4268</v>
      </c>
      <c r="G202" s="63">
        <v>4255</v>
      </c>
      <c r="H202" s="63">
        <v>3859</v>
      </c>
      <c r="I202" s="63">
        <v>3931</v>
      </c>
      <c r="J202" s="63">
        <v>4844</v>
      </c>
      <c r="K202" s="63">
        <v>4650</v>
      </c>
      <c r="L202" s="63">
        <v>4231</v>
      </c>
      <c r="M202" s="63">
        <v>4072</v>
      </c>
      <c r="N202" s="63">
        <v>3700</v>
      </c>
      <c r="O202" s="63">
        <v>3558</v>
      </c>
      <c r="P202" s="63">
        <v>3673</v>
      </c>
      <c r="Q202" s="63">
        <v>3653</v>
      </c>
      <c r="R202" s="63">
        <v>3519</v>
      </c>
      <c r="S202" s="63">
        <v>4944</v>
      </c>
      <c r="T202" s="63">
        <v>4065</v>
      </c>
      <c r="U202" s="63">
        <v>3427</v>
      </c>
      <c r="V202" s="63">
        <v>4730</v>
      </c>
      <c r="W202" s="63">
        <v>4030</v>
      </c>
      <c r="X202" s="63">
        <v>4407</v>
      </c>
      <c r="Y202" s="63">
        <v>4014</v>
      </c>
      <c r="Z202" s="63">
        <v>1380</v>
      </c>
      <c r="AA202" s="63">
        <v>1128</v>
      </c>
    </row>
    <row r="203" spans="1:27" x14ac:dyDescent="0.25">
      <c r="A203" s="21" t="s">
        <v>1740</v>
      </c>
      <c r="B203" s="63">
        <v>1529</v>
      </c>
      <c r="C203" s="63">
        <v>1398</v>
      </c>
      <c r="D203" s="63">
        <v>1509</v>
      </c>
      <c r="E203" s="63">
        <v>1304</v>
      </c>
      <c r="F203" s="63">
        <v>1519</v>
      </c>
      <c r="G203" s="63">
        <v>1513</v>
      </c>
      <c r="H203" s="63">
        <v>1551</v>
      </c>
      <c r="I203" s="63">
        <v>1544</v>
      </c>
      <c r="J203" s="63">
        <v>1593</v>
      </c>
      <c r="K203" s="63">
        <v>1539</v>
      </c>
      <c r="L203" s="63">
        <v>1382</v>
      </c>
      <c r="M203" s="63">
        <v>1264</v>
      </c>
      <c r="N203" s="63">
        <v>1338</v>
      </c>
      <c r="O203" s="63">
        <v>1382</v>
      </c>
      <c r="P203" s="63">
        <v>1395</v>
      </c>
      <c r="Q203" s="63">
        <v>1342</v>
      </c>
      <c r="R203" s="63">
        <v>1160</v>
      </c>
      <c r="S203" s="63">
        <v>1203</v>
      </c>
      <c r="T203" s="63">
        <v>1132</v>
      </c>
      <c r="U203">
        <v>977</v>
      </c>
      <c r="V203" s="63">
        <v>1087</v>
      </c>
      <c r="W203" s="63">
        <v>1171</v>
      </c>
      <c r="X203" s="63">
        <v>1118</v>
      </c>
      <c r="Y203" s="63">
        <v>1149</v>
      </c>
      <c r="Z203" s="63">
        <v>1038</v>
      </c>
      <c r="AA203">
        <v>999</v>
      </c>
    </row>
    <row r="204" spans="1:27" x14ac:dyDescent="0.25">
      <c r="A204" s="21" t="s">
        <v>1741</v>
      </c>
      <c r="B204">
        <v>632</v>
      </c>
      <c r="C204">
        <v>809</v>
      </c>
      <c r="D204">
        <v>843</v>
      </c>
      <c r="E204">
        <v>931</v>
      </c>
      <c r="F204">
        <v>918</v>
      </c>
      <c r="G204">
        <v>865</v>
      </c>
      <c r="H204">
        <v>925</v>
      </c>
      <c r="I204">
        <v>971</v>
      </c>
      <c r="J204">
        <v>885</v>
      </c>
      <c r="K204">
        <v>865</v>
      </c>
      <c r="L204">
        <v>944</v>
      </c>
      <c r="M204">
        <v>713</v>
      </c>
      <c r="N204">
        <v>746</v>
      </c>
      <c r="O204" s="63">
        <v>1096</v>
      </c>
      <c r="P204" s="63">
        <v>1030</v>
      </c>
      <c r="Q204" s="63">
        <v>1030</v>
      </c>
      <c r="R204" s="63">
        <v>1030</v>
      </c>
      <c r="S204" s="63">
        <v>1025</v>
      </c>
      <c r="T204" s="63">
        <v>1159</v>
      </c>
      <c r="U204">
        <v>943</v>
      </c>
      <c r="V204" s="63">
        <v>1182</v>
      </c>
      <c r="W204" s="63">
        <v>1286</v>
      </c>
      <c r="X204" s="63">
        <v>1486</v>
      </c>
      <c r="Y204" s="63">
        <v>1429</v>
      </c>
      <c r="Z204">
        <v>956</v>
      </c>
      <c r="AA204">
        <v>933</v>
      </c>
    </row>
    <row r="205" spans="1:27" x14ac:dyDescent="0.25">
      <c r="A205" s="21" t="s">
        <v>1742</v>
      </c>
      <c r="B205">
        <v>516</v>
      </c>
      <c r="C205">
        <v>485</v>
      </c>
      <c r="D205">
        <v>488</v>
      </c>
      <c r="E205">
        <v>486</v>
      </c>
      <c r="F205">
        <v>507</v>
      </c>
      <c r="G205">
        <v>553</v>
      </c>
      <c r="H205">
        <v>563</v>
      </c>
      <c r="I205">
        <v>585</v>
      </c>
      <c r="J205">
        <v>588</v>
      </c>
      <c r="K205">
        <v>587</v>
      </c>
      <c r="L205">
        <v>594</v>
      </c>
      <c r="M205">
        <v>563</v>
      </c>
      <c r="N205">
        <v>561</v>
      </c>
      <c r="O205">
        <v>574</v>
      </c>
      <c r="P205">
        <v>546</v>
      </c>
      <c r="Q205">
        <v>553</v>
      </c>
      <c r="R205">
        <v>560</v>
      </c>
      <c r="S205">
        <v>562</v>
      </c>
      <c r="T205">
        <v>547</v>
      </c>
      <c r="U205">
        <v>525</v>
      </c>
      <c r="V205">
        <v>542</v>
      </c>
      <c r="W205">
        <v>538</v>
      </c>
      <c r="X205">
        <v>527</v>
      </c>
      <c r="Y205">
        <v>546</v>
      </c>
      <c r="Z205">
        <v>459</v>
      </c>
      <c r="AA205">
        <v>473</v>
      </c>
    </row>
    <row r="206" spans="1:27" x14ac:dyDescent="0.25">
      <c r="A206" s="21" t="s">
        <v>1743</v>
      </c>
      <c r="B206">
        <v>375</v>
      </c>
      <c r="C206">
        <v>287</v>
      </c>
      <c r="D206">
        <v>313</v>
      </c>
      <c r="E206">
        <v>297</v>
      </c>
      <c r="F206">
        <v>325</v>
      </c>
      <c r="G206">
        <v>329</v>
      </c>
      <c r="H206">
        <v>332</v>
      </c>
      <c r="I206">
        <v>347</v>
      </c>
      <c r="J206">
        <v>373</v>
      </c>
      <c r="K206">
        <v>301</v>
      </c>
      <c r="L206">
        <v>248</v>
      </c>
      <c r="M206">
        <v>199</v>
      </c>
      <c r="N206">
        <v>183</v>
      </c>
      <c r="O206">
        <v>202</v>
      </c>
      <c r="P206">
        <v>224</v>
      </c>
      <c r="Q206">
        <v>219</v>
      </c>
      <c r="R206">
        <v>207</v>
      </c>
      <c r="S206">
        <v>196</v>
      </c>
      <c r="T206">
        <v>175</v>
      </c>
      <c r="U206">
        <v>145</v>
      </c>
      <c r="V206">
        <v>181</v>
      </c>
      <c r="W206">
        <v>170</v>
      </c>
      <c r="X206">
        <v>158</v>
      </c>
      <c r="Y206">
        <v>169</v>
      </c>
      <c r="Z206">
        <v>173</v>
      </c>
      <c r="AA206">
        <v>180</v>
      </c>
    </row>
    <row r="207" spans="1:27" x14ac:dyDescent="0.25">
      <c r="A207" s="21" t="s">
        <v>1744</v>
      </c>
      <c r="B207">
        <v>1</v>
      </c>
      <c r="C207">
        <v>1</v>
      </c>
      <c r="D207">
        <v>1</v>
      </c>
      <c r="E207">
        <v>1</v>
      </c>
      <c r="F207">
        <v>1</v>
      </c>
      <c r="G207">
        <v>1</v>
      </c>
      <c r="H207">
        <v>2</v>
      </c>
      <c r="I207">
        <v>2</v>
      </c>
      <c r="J207">
        <v>2</v>
      </c>
      <c r="K207">
        <v>2</v>
      </c>
      <c r="L207">
        <v>2</v>
      </c>
      <c r="M207">
        <v>3</v>
      </c>
      <c r="N207">
        <v>3</v>
      </c>
      <c r="O207">
        <v>3</v>
      </c>
      <c r="P207">
        <v>2</v>
      </c>
      <c r="Q207">
        <v>3</v>
      </c>
      <c r="R207">
        <v>3</v>
      </c>
      <c r="S207">
        <v>3</v>
      </c>
      <c r="T207">
        <v>2</v>
      </c>
      <c r="U207">
        <v>1</v>
      </c>
      <c r="V207">
        <v>1</v>
      </c>
      <c r="W207">
        <v>3</v>
      </c>
      <c r="X207">
        <v>2</v>
      </c>
      <c r="Y207">
        <v>2</v>
      </c>
      <c r="Z207">
        <v>2</v>
      </c>
      <c r="AA207">
        <v>3</v>
      </c>
    </row>
    <row r="208" spans="1:27" ht="24" x14ac:dyDescent="0.25">
      <c r="A208" s="31" t="s">
        <v>1745</v>
      </c>
      <c r="B208" s="63">
        <v>219413</v>
      </c>
      <c r="C208" s="63">
        <v>220165</v>
      </c>
      <c r="D208" s="63">
        <v>230609</v>
      </c>
      <c r="E208" s="63">
        <v>225797</v>
      </c>
      <c r="F208" s="63">
        <v>232298</v>
      </c>
      <c r="G208" s="63">
        <v>236907</v>
      </c>
      <c r="H208" s="63">
        <v>241332</v>
      </c>
      <c r="I208" s="63">
        <v>235579</v>
      </c>
      <c r="J208" s="63">
        <v>218236</v>
      </c>
      <c r="K208" s="63">
        <v>221493</v>
      </c>
      <c r="L208" s="63">
        <v>227435</v>
      </c>
      <c r="M208" s="63">
        <v>203427</v>
      </c>
      <c r="N208" s="63">
        <v>204703</v>
      </c>
      <c r="O208" s="63">
        <v>209935</v>
      </c>
      <c r="P208" s="63">
        <v>225419</v>
      </c>
      <c r="Q208" s="63">
        <v>230700</v>
      </c>
      <c r="R208" s="63">
        <v>236298</v>
      </c>
      <c r="S208" s="63">
        <v>244574</v>
      </c>
      <c r="T208" s="63">
        <v>257532</v>
      </c>
      <c r="U208" s="63">
        <v>253524</v>
      </c>
      <c r="V208" s="63">
        <v>267560</v>
      </c>
      <c r="W208" s="63">
        <v>276413</v>
      </c>
      <c r="X208" s="63">
        <v>276201</v>
      </c>
      <c r="Y208" s="63">
        <v>299785</v>
      </c>
      <c r="Z208" s="63">
        <v>307079</v>
      </c>
      <c r="AA208" s="63">
        <v>291735</v>
      </c>
    </row>
    <row r="209" spans="1:27" x14ac:dyDescent="0.25">
      <c r="A209" s="31" t="s">
        <v>1746</v>
      </c>
      <c r="B209" s="63">
        <v>103463</v>
      </c>
      <c r="C209" s="63">
        <v>117569</v>
      </c>
      <c r="D209" s="63">
        <v>107863</v>
      </c>
      <c r="E209" s="63">
        <v>97829</v>
      </c>
      <c r="F209" s="63">
        <v>96689</v>
      </c>
      <c r="G209" s="63">
        <v>98492</v>
      </c>
      <c r="H209" s="63">
        <v>99750</v>
      </c>
      <c r="I209" s="63">
        <v>106961</v>
      </c>
      <c r="J209" s="63">
        <v>110491</v>
      </c>
      <c r="K209" s="63">
        <v>102733</v>
      </c>
      <c r="L209" s="63">
        <v>101726</v>
      </c>
      <c r="M209" s="63">
        <v>93731</v>
      </c>
      <c r="N209" s="63">
        <v>94443</v>
      </c>
      <c r="O209" s="63">
        <v>98310</v>
      </c>
      <c r="P209" s="63">
        <v>108391</v>
      </c>
      <c r="Q209" s="63">
        <v>113139</v>
      </c>
      <c r="R209" s="63">
        <v>114116</v>
      </c>
      <c r="S209" s="63">
        <v>115345</v>
      </c>
      <c r="T209" s="63">
        <v>114342</v>
      </c>
      <c r="U209" s="63">
        <v>106410</v>
      </c>
      <c r="V209" s="63">
        <v>116992</v>
      </c>
      <c r="W209" s="63">
        <v>111660</v>
      </c>
      <c r="X209" s="63">
        <v>105805</v>
      </c>
      <c r="Y209" s="63">
        <v>99763</v>
      </c>
      <c r="Z209" s="63">
        <v>103201</v>
      </c>
      <c r="AA209" s="63">
        <v>110751</v>
      </c>
    </row>
    <row r="210" spans="1:27" x14ac:dyDescent="0.25">
      <c r="A210" s="31" t="s">
        <v>1747</v>
      </c>
      <c r="B210" s="63">
        <v>31232</v>
      </c>
      <c r="C210" s="63">
        <v>31413</v>
      </c>
      <c r="D210" s="63">
        <v>31370</v>
      </c>
      <c r="E210" s="63">
        <v>30764</v>
      </c>
      <c r="F210" s="63">
        <v>30917</v>
      </c>
      <c r="G210" s="63">
        <v>30605</v>
      </c>
      <c r="H210" s="63">
        <v>30259</v>
      </c>
      <c r="I210" s="63">
        <v>29619</v>
      </c>
      <c r="J210" s="63">
        <v>29031</v>
      </c>
      <c r="K210" s="63">
        <v>28557</v>
      </c>
      <c r="L210" s="63">
        <v>28169</v>
      </c>
      <c r="M210" s="63">
        <v>27831</v>
      </c>
      <c r="N210" s="63">
        <v>27369</v>
      </c>
      <c r="O210" s="63">
        <v>27376</v>
      </c>
      <c r="P210" s="63">
        <v>27032</v>
      </c>
      <c r="Q210" s="63">
        <v>27238</v>
      </c>
      <c r="R210" s="63">
        <v>27283</v>
      </c>
      <c r="S210" s="63">
        <v>27439</v>
      </c>
      <c r="T210" s="63">
        <v>27804</v>
      </c>
      <c r="U210" s="63">
        <v>27616</v>
      </c>
      <c r="V210" s="63">
        <v>27685</v>
      </c>
      <c r="W210" s="63">
        <v>26884</v>
      </c>
      <c r="X210" s="63">
        <v>26643</v>
      </c>
      <c r="Y210" s="63">
        <v>26351</v>
      </c>
      <c r="Z210" s="63">
        <v>26366</v>
      </c>
      <c r="AA210" s="63">
        <v>26229</v>
      </c>
    </row>
    <row r="211" spans="1:27" x14ac:dyDescent="0.25">
      <c r="A211" s="21" t="s">
        <v>1748</v>
      </c>
      <c r="B211" s="63">
        <v>6566</v>
      </c>
      <c r="C211" s="63">
        <v>6576</v>
      </c>
      <c r="D211" s="63">
        <v>6767</v>
      </c>
      <c r="E211" s="63">
        <v>6864</v>
      </c>
      <c r="F211" s="63">
        <v>6989</v>
      </c>
      <c r="G211" s="63">
        <v>7146</v>
      </c>
      <c r="H211" s="63">
        <v>7100</v>
      </c>
      <c r="I211" s="63">
        <v>6965</v>
      </c>
      <c r="J211" s="63">
        <v>6891</v>
      </c>
      <c r="K211" s="63">
        <v>6897</v>
      </c>
      <c r="L211" s="63">
        <v>6824</v>
      </c>
      <c r="M211" s="63">
        <v>6784</v>
      </c>
      <c r="N211" s="63">
        <v>6794</v>
      </c>
      <c r="O211" s="63">
        <v>6801</v>
      </c>
      <c r="P211" s="63">
        <v>6674</v>
      </c>
      <c r="Q211" s="63">
        <v>6755</v>
      </c>
      <c r="R211" s="63">
        <v>6863</v>
      </c>
      <c r="S211" s="63">
        <v>6979</v>
      </c>
      <c r="T211" s="63">
        <v>6954</v>
      </c>
      <c r="U211" s="63">
        <v>6920</v>
      </c>
      <c r="V211" s="63">
        <v>6853</v>
      </c>
      <c r="W211" s="63">
        <v>6757</v>
      </c>
      <c r="X211" s="63">
        <v>6670</v>
      </c>
      <c r="Y211" s="63">
        <v>6619</v>
      </c>
      <c r="Z211" s="63">
        <v>6567</v>
      </c>
      <c r="AA211" s="63">
        <v>6661</v>
      </c>
    </row>
    <row r="212" spans="1:27" x14ac:dyDescent="0.25">
      <c r="A212" s="21" t="s">
        <v>1723</v>
      </c>
      <c r="B212" s="63">
        <v>7762</v>
      </c>
      <c r="C212" s="63">
        <v>7860</v>
      </c>
      <c r="D212" s="63">
        <v>7812</v>
      </c>
      <c r="E212" s="63">
        <v>7713</v>
      </c>
      <c r="F212" s="63">
        <v>7691</v>
      </c>
      <c r="G212" s="63">
        <v>7398</v>
      </c>
      <c r="H212" s="63">
        <v>7274</v>
      </c>
      <c r="I212" s="63">
        <v>7168</v>
      </c>
      <c r="J212" s="63">
        <v>6978</v>
      </c>
      <c r="K212" s="63">
        <v>6915</v>
      </c>
      <c r="L212" s="63">
        <v>6788</v>
      </c>
      <c r="M212" s="63">
        <v>6793</v>
      </c>
      <c r="N212" s="63">
        <v>6535</v>
      </c>
      <c r="O212" s="63">
        <v>6492</v>
      </c>
      <c r="P212" s="63">
        <v>6407</v>
      </c>
      <c r="Q212" s="63">
        <v>6387</v>
      </c>
      <c r="R212" s="63">
        <v>6488</v>
      </c>
      <c r="S212" s="63">
        <v>6392</v>
      </c>
      <c r="T212" s="63">
        <v>6510</v>
      </c>
      <c r="U212" s="63">
        <v>6243</v>
      </c>
      <c r="V212" s="63">
        <v>6092</v>
      </c>
      <c r="W212" s="63">
        <v>6180</v>
      </c>
      <c r="X212" s="63">
        <v>6247</v>
      </c>
      <c r="Y212" s="63">
        <v>6368</v>
      </c>
      <c r="Z212" s="63">
        <v>6501</v>
      </c>
      <c r="AA212" s="63">
        <v>6497</v>
      </c>
    </row>
    <row r="213" spans="1:27" x14ac:dyDescent="0.25">
      <c r="A213" s="21" t="s">
        <v>1749</v>
      </c>
      <c r="B213" s="63">
        <v>7182</v>
      </c>
      <c r="C213" s="63">
        <v>7267</v>
      </c>
      <c r="D213" s="63">
        <v>7255</v>
      </c>
      <c r="E213" s="63">
        <v>7169</v>
      </c>
      <c r="F213" s="63">
        <v>7159</v>
      </c>
      <c r="G213" s="63">
        <v>6967</v>
      </c>
      <c r="H213" s="63">
        <v>6822</v>
      </c>
      <c r="I213" s="63">
        <v>6444</v>
      </c>
      <c r="J213" s="63">
        <v>6054</v>
      </c>
      <c r="K213" s="63">
        <v>5786</v>
      </c>
      <c r="L213" s="63">
        <v>5656</v>
      </c>
      <c r="M213" s="63">
        <v>5472</v>
      </c>
      <c r="N213" s="63">
        <v>5394</v>
      </c>
      <c r="O213" s="63">
        <v>5496</v>
      </c>
      <c r="P213" s="63">
        <v>5395</v>
      </c>
      <c r="Q213" s="63">
        <v>5372</v>
      </c>
      <c r="R213" s="63">
        <v>5292</v>
      </c>
      <c r="S213" s="63">
        <v>5213</v>
      </c>
      <c r="T213" s="63">
        <v>5136</v>
      </c>
      <c r="U213" s="63">
        <v>5058</v>
      </c>
      <c r="V213" s="63">
        <v>5103</v>
      </c>
      <c r="W213" s="63">
        <v>4760</v>
      </c>
      <c r="X213" s="63">
        <v>4834</v>
      </c>
      <c r="Y213" s="63">
        <v>4669</v>
      </c>
      <c r="Z213" s="63">
        <v>4663</v>
      </c>
      <c r="AA213" s="63">
        <v>4628</v>
      </c>
    </row>
    <row r="214" spans="1:27" x14ac:dyDescent="0.25">
      <c r="A214" s="21" t="s">
        <v>1750</v>
      </c>
      <c r="B214" s="63">
        <v>1486</v>
      </c>
      <c r="C214" s="63">
        <v>1555</v>
      </c>
      <c r="D214" s="63">
        <v>1500</v>
      </c>
      <c r="E214" s="63">
        <v>1569</v>
      </c>
      <c r="F214" s="63">
        <v>1679</v>
      </c>
      <c r="G214" s="63">
        <v>1731</v>
      </c>
      <c r="H214" s="63">
        <v>1704</v>
      </c>
      <c r="I214" s="63">
        <v>1786</v>
      </c>
      <c r="J214" s="63">
        <v>1949</v>
      </c>
      <c r="K214" s="63">
        <v>1972</v>
      </c>
      <c r="L214" s="63">
        <v>2001</v>
      </c>
      <c r="M214" s="63">
        <v>2088</v>
      </c>
      <c r="N214" s="63">
        <v>2141</v>
      </c>
      <c r="O214" s="63">
        <v>2175</v>
      </c>
      <c r="P214" s="63">
        <v>2122</v>
      </c>
      <c r="Q214" s="63">
        <v>2254</v>
      </c>
      <c r="R214" s="63">
        <v>2278</v>
      </c>
      <c r="S214" s="63">
        <v>2480</v>
      </c>
      <c r="T214" s="63">
        <v>2455</v>
      </c>
      <c r="U214" s="63">
        <v>2414</v>
      </c>
      <c r="V214" s="63">
        <v>2482</v>
      </c>
      <c r="W214" s="63">
        <v>2519</v>
      </c>
      <c r="X214" s="63">
        <v>2625</v>
      </c>
      <c r="Y214" s="63">
        <v>2530</v>
      </c>
      <c r="Z214" s="63">
        <v>2514</v>
      </c>
      <c r="AA214" s="63">
        <v>2651</v>
      </c>
    </row>
    <row r="215" spans="1:27" x14ac:dyDescent="0.25">
      <c r="A215" s="21" t="s">
        <v>1751</v>
      </c>
      <c r="B215" s="63">
        <v>3860</v>
      </c>
      <c r="C215" s="63">
        <v>3727</v>
      </c>
      <c r="D215" s="63">
        <v>3626</v>
      </c>
      <c r="E215" s="63">
        <v>3091</v>
      </c>
      <c r="F215" s="63">
        <v>3104</v>
      </c>
      <c r="G215" s="63">
        <v>3056</v>
      </c>
      <c r="H215" s="63">
        <v>3038</v>
      </c>
      <c r="I215" s="63">
        <v>3017</v>
      </c>
      <c r="J215" s="63">
        <v>3029</v>
      </c>
      <c r="K215" s="63">
        <v>2848</v>
      </c>
      <c r="L215" s="63">
        <v>2730</v>
      </c>
      <c r="M215" s="63">
        <v>2720</v>
      </c>
      <c r="N215" s="63">
        <v>2552</v>
      </c>
      <c r="O215" s="63">
        <v>2559</v>
      </c>
      <c r="P215" s="63">
        <v>2611</v>
      </c>
      <c r="Q215" s="63">
        <v>2565</v>
      </c>
      <c r="R215" s="63">
        <v>2622</v>
      </c>
      <c r="S215" s="63">
        <v>2591</v>
      </c>
      <c r="T215" s="63">
        <v>3026</v>
      </c>
      <c r="U215" s="63">
        <v>3194</v>
      </c>
      <c r="V215" s="63">
        <v>3293</v>
      </c>
      <c r="W215" s="63">
        <v>2849</v>
      </c>
      <c r="X215" s="63">
        <v>2658</v>
      </c>
      <c r="Y215" s="63">
        <v>2584</v>
      </c>
      <c r="Z215" s="63">
        <v>2593</v>
      </c>
      <c r="AA215" s="63">
        <v>2436</v>
      </c>
    </row>
    <row r="216" spans="1:27" x14ac:dyDescent="0.25">
      <c r="A216" s="21" t="s">
        <v>1733</v>
      </c>
      <c r="B216" s="63">
        <v>2218</v>
      </c>
      <c r="C216" s="63">
        <v>2221</v>
      </c>
      <c r="D216" s="63">
        <v>2152</v>
      </c>
      <c r="E216" s="63">
        <v>2105</v>
      </c>
      <c r="F216" s="63">
        <v>2067</v>
      </c>
      <c r="G216" s="63">
        <v>2035</v>
      </c>
      <c r="H216" s="63">
        <v>2021</v>
      </c>
      <c r="I216" s="63">
        <v>2017</v>
      </c>
      <c r="J216" s="63">
        <v>1959</v>
      </c>
      <c r="K216" s="63">
        <v>1893</v>
      </c>
      <c r="L216" s="63">
        <v>1892</v>
      </c>
      <c r="M216" s="63">
        <v>1885</v>
      </c>
      <c r="N216" s="63">
        <v>1861</v>
      </c>
      <c r="O216" s="63">
        <v>1852</v>
      </c>
      <c r="P216" s="63">
        <v>1841</v>
      </c>
      <c r="Q216" s="63">
        <v>1840</v>
      </c>
      <c r="R216" s="63">
        <v>1852</v>
      </c>
      <c r="S216" s="63">
        <v>1849</v>
      </c>
      <c r="T216" s="63">
        <v>1882</v>
      </c>
      <c r="U216" s="63">
        <v>1848</v>
      </c>
      <c r="V216" s="63">
        <v>1878</v>
      </c>
      <c r="W216" s="63">
        <v>1922</v>
      </c>
      <c r="X216" s="63">
        <v>1858</v>
      </c>
      <c r="Y216" s="63">
        <v>1778</v>
      </c>
      <c r="Z216" s="63">
        <v>1721</v>
      </c>
      <c r="AA216" s="63">
        <v>1595</v>
      </c>
    </row>
    <row r="217" spans="1:27" x14ac:dyDescent="0.25">
      <c r="A217" s="21" t="s">
        <v>1752</v>
      </c>
      <c r="B217">
        <v>627</v>
      </c>
      <c r="C217">
        <v>637</v>
      </c>
      <c r="D217">
        <v>649</v>
      </c>
      <c r="E217">
        <v>648</v>
      </c>
      <c r="F217">
        <v>655</v>
      </c>
      <c r="G217">
        <v>657</v>
      </c>
      <c r="H217">
        <v>656</v>
      </c>
      <c r="I217">
        <v>661</v>
      </c>
      <c r="J217">
        <v>662</v>
      </c>
      <c r="K217">
        <v>665</v>
      </c>
      <c r="L217">
        <v>663</v>
      </c>
      <c r="M217">
        <v>651</v>
      </c>
      <c r="N217">
        <v>651</v>
      </c>
      <c r="O217">
        <v>643</v>
      </c>
      <c r="P217">
        <v>637</v>
      </c>
      <c r="Q217">
        <v>639</v>
      </c>
      <c r="R217">
        <v>639</v>
      </c>
      <c r="S217">
        <v>639</v>
      </c>
      <c r="T217">
        <v>639</v>
      </c>
      <c r="U217">
        <v>626</v>
      </c>
      <c r="V217">
        <v>622</v>
      </c>
      <c r="W217">
        <v>613</v>
      </c>
      <c r="X217">
        <v>604</v>
      </c>
      <c r="Y217">
        <v>597</v>
      </c>
      <c r="Z217">
        <v>592</v>
      </c>
      <c r="AA217">
        <v>591</v>
      </c>
    </row>
    <row r="218" spans="1:27" x14ac:dyDescent="0.25">
      <c r="A218" s="21" t="s">
        <v>1753</v>
      </c>
      <c r="B218">
        <v>641</v>
      </c>
      <c r="C218">
        <v>673</v>
      </c>
      <c r="D218">
        <v>675</v>
      </c>
      <c r="E218">
        <v>678</v>
      </c>
      <c r="F218">
        <v>594</v>
      </c>
      <c r="G218">
        <v>631</v>
      </c>
      <c r="H218">
        <v>639</v>
      </c>
      <c r="I218">
        <v>632</v>
      </c>
      <c r="J218">
        <v>644</v>
      </c>
      <c r="K218">
        <v>723</v>
      </c>
      <c r="L218">
        <v>731</v>
      </c>
      <c r="M218">
        <v>622</v>
      </c>
      <c r="N218">
        <v>659</v>
      </c>
      <c r="O218">
        <v>572</v>
      </c>
      <c r="P218">
        <v>565</v>
      </c>
      <c r="Q218">
        <v>667</v>
      </c>
      <c r="R218">
        <v>515</v>
      </c>
      <c r="S218">
        <v>558</v>
      </c>
      <c r="T218">
        <v>460</v>
      </c>
      <c r="U218">
        <v>578</v>
      </c>
      <c r="V218">
        <v>635</v>
      </c>
      <c r="W218">
        <v>564</v>
      </c>
      <c r="X218">
        <v>453</v>
      </c>
      <c r="Y218">
        <v>454</v>
      </c>
      <c r="Z218">
        <v>456</v>
      </c>
      <c r="AA218">
        <v>449</v>
      </c>
    </row>
    <row r="219" spans="1:27" x14ac:dyDescent="0.25">
      <c r="A219" s="21" t="s">
        <v>1754</v>
      </c>
      <c r="B219">
        <v>339</v>
      </c>
      <c r="C219">
        <v>346</v>
      </c>
      <c r="D219">
        <v>358</v>
      </c>
      <c r="E219">
        <v>336</v>
      </c>
      <c r="F219">
        <v>328</v>
      </c>
      <c r="G219">
        <v>327</v>
      </c>
      <c r="H219">
        <v>340</v>
      </c>
      <c r="I219">
        <v>307</v>
      </c>
      <c r="J219">
        <v>280</v>
      </c>
      <c r="K219">
        <v>286</v>
      </c>
      <c r="L219">
        <v>300</v>
      </c>
      <c r="M219">
        <v>279</v>
      </c>
      <c r="N219">
        <v>279</v>
      </c>
      <c r="O219">
        <v>288</v>
      </c>
      <c r="P219">
        <v>294</v>
      </c>
      <c r="Q219">
        <v>296</v>
      </c>
      <c r="R219">
        <v>275</v>
      </c>
      <c r="S219">
        <v>289</v>
      </c>
      <c r="T219">
        <v>298</v>
      </c>
      <c r="U219">
        <v>296</v>
      </c>
      <c r="V219">
        <v>283</v>
      </c>
      <c r="W219">
        <v>283</v>
      </c>
      <c r="X219">
        <v>265</v>
      </c>
      <c r="Y219">
        <v>320</v>
      </c>
      <c r="Z219">
        <v>323</v>
      </c>
      <c r="AA219">
        <v>280</v>
      </c>
    </row>
    <row r="220" spans="1:27" x14ac:dyDescent="0.25">
      <c r="A220" s="21" t="s">
        <v>1755</v>
      </c>
      <c r="B220">
        <v>288</v>
      </c>
      <c r="C220">
        <v>294</v>
      </c>
      <c r="D220">
        <v>317</v>
      </c>
      <c r="E220">
        <v>328</v>
      </c>
      <c r="F220">
        <v>387</v>
      </c>
      <c r="G220">
        <v>392</v>
      </c>
      <c r="H220">
        <v>403</v>
      </c>
      <c r="I220">
        <v>360</v>
      </c>
      <c r="J220">
        <v>329</v>
      </c>
      <c r="K220">
        <v>332</v>
      </c>
      <c r="L220">
        <v>350</v>
      </c>
      <c r="M220">
        <v>319</v>
      </c>
      <c r="N220">
        <v>293</v>
      </c>
      <c r="O220">
        <v>286</v>
      </c>
      <c r="P220">
        <v>276</v>
      </c>
      <c r="Q220">
        <v>264</v>
      </c>
      <c r="R220">
        <v>261</v>
      </c>
      <c r="S220">
        <v>254</v>
      </c>
      <c r="T220">
        <v>253</v>
      </c>
      <c r="U220">
        <v>254</v>
      </c>
      <c r="V220">
        <v>263</v>
      </c>
      <c r="W220">
        <v>257</v>
      </c>
      <c r="X220">
        <v>249</v>
      </c>
      <c r="Y220">
        <v>249</v>
      </c>
      <c r="Z220">
        <v>253</v>
      </c>
      <c r="AA220">
        <v>256</v>
      </c>
    </row>
    <row r="221" spans="1:27" x14ac:dyDescent="0.25">
      <c r="A221" s="21" t="s">
        <v>1756</v>
      </c>
      <c r="B221">
        <v>15</v>
      </c>
      <c r="C221">
        <v>17</v>
      </c>
      <c r="D221">
        <v>20</v>
      </c>
      <c r="E221">
        <v>25</v>
      </c>
      <c r="F221">
        <v>31</v>
      </c>
      <c r="G221">
        <v>35</v>
      </c>
      <c r="H221">
        <v>40</v>
      </c>
      <c r="I221">
        <v>44</v>
      </c>
      <c r="J221">
        <v>48</v>
      </c>
      <c r="K221">
        <v>53</v>
      </c>
      <c r="L221">
        <v>60</v>
      </c>
      <c r="M221">
        <v>60</v>
      </c>
      <c r="N221">
        <v>61</v>
      </c>
      <c r="O221">
        <v>69</v>
      </c>
      <c r="P221">
        <v>74</v>
      </c>
      <c r="Q221">
        <v>75</v>
      </c>
      <c r="R221">
        <v>75</v>
      </c>
      <c r="S221">
        <v>79</v>
      </c>
      <c r="T221">
        <v>80</v>
      </c>
      <c r="U221">
        <v>75</v>
      </c>
      <c r="V221">
        <v>73</v>
      </c>
      <c r="W221">
        <v>75</v>
      </c>
      <c r="X221">
        <v>77</v>
      </c>
      <c r="Y221">
        <v>81</v>
      </c>
      <c r="Z221">
        <v>84</v>
      </c>
      <c r="AA221">
        <v>84</v>
      </c>
    </row>
    <row r="222" spans="1:27" x14ac:dyDescent="0.25">
      <c r="A222" s="31" t="s">
        <v>1757</v>
      </c>
      <c r="B222">
        <v>226</v>
      </c>
      <c r="C222">
        <v>220</v>
      </c>
      <c r="D222">
        <v>219</v>
      </c>
      <c r="E222">
        <v>216</v>
      </c>
      <c r="F222">
        <v>212</v>
      </c>
      <c r="G222">
        <v>206</v>
      </c>
      <c r="H222">
        <v>198</v>
      </c>
      <c r="I222">
        <v>191</v>
      </c>
      <c r="J222">
        <v>183</v>
      </c>
      <c r="K222">
        <v>159</v>
      </c>
      <c r="L222">
        <v>149</v>
      </c>
      <c r="M222">
        <v>139</v>
      </c>
      <c r="N222">
        <v>130</v>
      </c>
      <c r="O222">
        <v>122</v>
      </c>
      <c r="P222">
        <v>118</v>
      </c>
      <c r="Q222">
        <v>113</v>
      </c>
      <c r="R222">
        <v>109</v>
      </c>
      <c r="S222">
        <v>102</v>
      </c>
      <c r="T222">
        <v>96</v>
      </c>
      <c r="U222">
        <v>94</v>
      </c>
      <c r="V222">
        <v>93</v>
      </c>
      <c r="W222">
        <v>91</v>
      </c>
      <c r="X222">
        <v>87</v>
      </c>
      <c r="Y222">
        <v>85</v>
      </c>
      <c r="Z222">
        <v>82</v>
      </c>
      <c r="AA222">
        <v>80</v>
      </c>
    </row>
    <row r="223" spans="1:27" x14ac:dyDescent="0.25">
      <c r="A223" s="21" t="s">
        <v>1758</v>
      </c>
      <c r="B223">
        <v>9</v>
      </c>
      <c r="C223">
        <v>8</v>
      </c>
      <c r="D223">
        <v>9</v>
      </c>
      <c r="E223">
        <v>9</v>
      </c>
      <c r="F223">
        <v>9</v>
      </c>
      <c r="G223">
        <v>9</v>
      </c>
      <c r="H223">
        <v>9</v>
      </c>
      <c r="I223">
        <v>9</v>
      </c>
      <c r="J223">
        <v>9</v>
      </c>
      <c r="K223">
        <v>10</v>
      </c>
      <c r="L223">
        <v>11</v>
      </c>
      <c r="M223">
        <v>10</v>
      </c>
      <c r="N223">
        <v>10</v>
      </c>
      <c r="O223">
        <v>11</v>
      </c>
      <c r="P223">
        <v>10</v>
      </c>
      <c r="Q223">
        <v>8</v>
      </c>
      <c r="R223">
        <v>11</v>
      </c>
      <c r="S223">
        <v>11</v>
      </c>
      <c r="T223">
        <v>12</v>
      </c>
      <c r="U223">
        <v>11</v>
      </c>
      <c r="V223">
        <v>11</v>
      </c>
      <c r="W223">
        <v>11</v>
      </c>
      <c r="X223">
        <v>11</v>
      </c>
      <c r="Y223">
        <v>11</v>
      </c>
      <c r="Z223">
        <v>11</v>
      </c>
      <c r="AA223">
        <v>11</v>
      </c>
    </row>
    <row r="224" spans="1:27" x14ac:dyDescent="0.25">
      <c r="A224" s="21" t="s">
        <v>1725</v>
      </c>
      <c r="B224">
        <v>9</v>
      </c>
      <c r="C224">
        <v>9</v>
      </c>
      <c r="D224">
        <v>9</v>
      </c>
      <c r="E224">
        <v>11</v>
      </c>
      <c r="F224">
        <v>12</v>
      </c>
      <c r="G224">
        <v>12</v>
      </c>
      <c r="H224">
        <v>13</v>
      </c>
      <c r="I224">
        <v>14</v>
      </c>
      <c r="J224">
        <v>14</v>
      </c>
      <c r="K224">
        <v>13</v>
      </c>
      <c r="L224">
        <v>12</v>
      </c>
      <c r="M224">
        <v>8</v>
      </c>
      <c r="N224">
        <v>8</v>
      </c>
      <c r="O224">
        <v>8</v>
      </c>
      <c r="P224">
        <v>7</v>
      </c>
      <c r="Q224">
        <v>3</v>
      </c>
      <c r="R224">
        <v>2</v>
      </c>
      <c r="S224">
        <v>2</v>
      </c>
      <c r="T224">
        <v>2</v>
      </c>
      <c r="U224">
        <v>2</v>
      </c>
      <c r="V224">
        <v>2</v>
      </c>
      <c r="W224">
        <v>2</v>
      </c>
      <c r="X224">
        <v>3</v>
      </c>
      <c r="Y224">
        <v>3</v>
      </c>
      <c r="Z224">
        <v>5</v>
      </c>
      <c r="AA224">
        <v>7</v>
      </c>
    </row>
    <row r="225" spans="1:27" x14ac:dyDescent="0.25">
      <c r="A225" s="21" t="s">
        <v>1736</v>
      </c>
      <c r="B225">
        <v>1</v>
      </c>
      <c r="C225">
        <v>1</v>
      </c>
      <c r="D225">
        <v>1</v>
      </c>
      <c r="E225">
        <v>1</v>
      </c>
      <c r="F225">
        <v>1</v>
      </c>
      <c r="G225">
        <v>1</v>
      </c>
      <c r="H225">
        <v>1</v>
      </c>
      <c r="I225">
        <v>1</v>
      </c>
      <c r="J225">
        <v>1</v>
      </c>
      <c r="K225">
        <v>1</v>
      </c>
      <c r="L225">
        <v>1</v>
      </c>
      <c r="M225">
        <v>0</v>
      </c>
      <c r="N225">
        <v>0</v>
      </c>
      <c r="O225">
        <v>0</v>
      </c>
      <c r="P225">
        <v>0</v>
      </c>
      <c r="Q225">
        <v>0</v>
      </c>
      <c r="R225">
        <v>0</v>
      </c>
      <c r="S225">
        <v>0</v>
      </c>
      <c r="T225">
        <v>0</v>
      </c>
      <c r="U225">
        <v>0</v>
      </c>
      <c r="V225">
        <v>0</v>
      </c>
      <c r="W225">
        <v>0</v>
      </c>
      <c r="X225">
        <v>1</v>
      </c>
      <c r="Y225">
        <v>0</v>
      </c>
      <c r="Z225">
        <v>1</v>
      </c>
      <c r="AA225">
        <v>1</v>
      </c>
    </row>
    <row r="226" spans="1:27" x14ac:dyDescent="0.25">
      <c r="A226" s="21" t="s">
        <v>1743</v>
      </c>
      <c r="B226">
        <v>1</v>
      </c>
      <c r="C226">
        <v>1</v>
      </c>
      <c r="D226">
        <v>1</v>
      </c>
      <c r="E226">
        <v>1</v>
      </c>
      <c r="F226">
        <v>1</v>
      </c>
      <c r="G226">
        <v>1</v>
      </c>
      <c r="H226">
        <v>1</v>
      </c>
      <c r="I226">
        <v>1</v>
      </c>
      <c r="J226">
        <v>1</v>
      </c>
      <c r="K226">
        <v>1</v>
      </c>
      <c r="L226">
        <v>1</v>
      </c>
      <c r="M226">
        <v>0</v>
      </c>
      <c r="N226">
        <v>0</v>
      </c>
      <c r="O226">
        <v>0</v>
      </c>
      <c r="P226">
        <v>0</v>
      </c>
      <c r="Q226">
        <v>0</v>
      </c>
      <c r="R226">
        <v>0</v>
      </c>
      <c r="S226">
        <v>0</v>
      </c>
      <c r="T226">
        <v>0</v>
      </c>
      <c r="U226">
        <v>0</v>
      </c>
      <c r="V226">
        <v>0</v>
      </c>
      <c r="W226">
        <v>0</v>
      </c>
      <c r="X226">
        <v>0</v>
      </c>
      <c r="Y226">
        <v>0</v>
      </c>
      <c r="Z226">
        <v>0</v>
      </c>
      <c r="AA226">
        <v>0</v>
      </c>
    </row>
    <row r="227" spans="1:27" ht="24" x14ac:dyDescent="0.25">
      <c r="A227" s="21" t="s">
        <v>1722</v>
      </c>
      <c r="B227">
        <v>1</v>
      </c>
      <c r="C227">
        <v>1</v>
      </c>
      <c r="D227">
        <v>1</v>
      </c>
      <c r="E227">
        <v>1</v>
      </c>
      <c r="F227">
        <v>1</v>
      </c>
      <c r="G227">
        <v>1</v>
      </c>
      <c r="H227">
        <v>1</v>
      </c>
      <c r="I227">
        <v>1</v>
      </c>
      <c r="J227">
        <v>1</v>
      </c>
      <c r="K227">
        <v>1</v>
      </c>
      <c r="L227">
        <v>1</v>
      </c>
      <c r="M227">
        <v>1</v>
      </c>
      <c r="N227">
        <v>1</v>
      </c>
      <c r="O227">
        <v>1</v>
      </c>
      <c r="P227">
        <v>1</v>
      </c>
      <c r="Q227">
        <v>1</v>
      </c>
      <c r="R227">
        <v>0</v>
      </c>
      <c r="S227">
        <v>0</v>
      </c>
      <c r="T227">
        <v>0</v>
      </c>
      <c r="U227">
        <v>0</v>
      </c>
      <c r="V227">
        <v>0</v>
      </c>
      <c r="W227">
        <v>0</v>
      </c>
      <c r="X227">
        <v>0</v>
      </c>
      <c r="Y227">
        <v>0</v>
      </c>
      <c r="Z227">
        <v>0</v>
      </c>
      <c r="AA227">
        <v>0</v>
      </c>
    </row>
    <row r="228" spans="1:27" x14ac:dyDescent="0.25">
      <c r="A228" s="21" t="s">
        <v>1729</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row>
    <row r="229" spans="1:27" x14ac:dyDescent="0.25">
      <c r="A229" s="31" t="s">
        <v>1746</v>
      </c>
      <c r="B229">
        <v>7</v>
      </c>
      <c r="C229">
        <v>7</v>
      </c>
      <c r="D229">
        <v>6</v>
      </c>
      <c r="E229">
        <v>5</v>
      </c>
      <c r="F229">
        <v>5</v>
      </c>
      <c r="G229">
        <v>5</v>
      </c>
      <c r="H229">
        <v>5</v>
      </c>
      <c r="I229">
        <v>5</v>
      </c>
      <c r="J229">
        <v>6</v>
      </c>
      <c r="K229">
        <v>5</v>
      </c>
      <c r="L229">
        <v>4</v>
      </c>
      <c r="M229">
        <v>4</v>
      </c>
      <c r="N229">
        <v>4</v>
      </c>
      <c r="O229">
        <v>4</v>
      </c>
      <c r="P229">
        <v>5</v>
      </c>
      <c r="Q229">
        <v>5</v>
      </c>
      <c r="R229">
        <v>5</v>
      </c>
      <c r="S229">
        <v>5</v>
      </c>
      <c r="T229">
        <v>6</v>
      </c>
      <c r="U229">
        <v>5</v>
      </c>
      <c r="V229">
        <v>6</v>
      </c>
      <c r="W229">
        <v>5</v>
      </c>
      <c r="X229">
        <v>4</v>
      </c>
      <c r="Y229">
        <v>3</v>
      </c>
      <c r="Z229">
        <v>3</v>
      </c>
      <c r="AA229">
        <v>3</v>
      </c>
    </row>
    <row r="230" spans="1:27" x14ac:dyDescent="0.25">
      <c r="A230" s="31" t="s">
        <v>1759</v>
      </c>
      <c r="B230" s="63">
        <v>1207</v>
      </c>
      <c r="C230" s="63">
        <v>1204</v>
      </c>
      <c r="D230" s="63">
        <v>1214</v>
      </c>
      <c r="E230" s="63">
        <v>1255</v>
      </c>
      <c r="F230" s="63">
        <v>1224</v>
      </c>
      <c r="G230" s="63">
        <v>1265</v>
      </c>
      <c r="H230" s="63">
        <v>1287</v>
      </c>
      <c r="I230" s="63">
        <v>1256</v>
      </c>
      <c r="J230" s="63">
        <v>1304</v>
      </c>
      <c r="K230" s="63">
        <v>1218</v>
      </c>
      <c r="L230" s="63">
        <v>1215</v>
      </c>
      <c r="M230" s="63">
        <v>1221</v>
      </c>
      <c r="N230" s="63">
        <v>1215</v>
      </c>
      <c r="O230" s="63">
        <v>1228</v>
      </c>
      <c r="P230" s="63">
        <v>1295</v>
      </c>
      <c r="Q230" s="63">
        <v>1214</v>
      </c>
      <c r="R230" s="63">
        <v>1245</v>
      </c>
      <c r="S230" s="63">
        <v>1271</v>
      </c>
      <c r="T230" s="63">
        <v>1213</v>
      </c>
      <c r="U230" s="63">
        <v>1216</v>
      </c>
      <c r="V230" s="63">
        <v>1243</v>
      </c>
      <c r="W230" s="63">
        <v>1222</v>
      </c>
      <c r="X230" s="63">
        <v>1143</v>
      </c>
      <c r="Y230" s="63">
        <v>1126</v>
      </c>
      <c r="Z230" s="63">
        <v>1126</v>
      </c>
      <c r="AA230" s="63">
        <v>1124</v>
      </c>
    </row>
    <row r="231" spans="1:27" x14ac:dyDescent="0.25">
      <c r="A231" s="21" t="s">
        <v>1760</v>
      </c>
      <c r="B231">
        <v>861</v>
      </c>
      <c r="C231">
        <v>853</v>
      </c>
      <c r="D231">
        <v>858</v>
      </c>
      <c r="E231">
        <v>885</v>
      </c>
      <c r="F231">
        <v>844</v>
      </c>
      <c r="G231">
        <v>866</v>
      </c>
      <c r="H231">
        <v>882</v>
      </c>
      <c r="I231">
        <v>870</v>
      </c>
      <c r="J231">
        <v>931</v>
      </c>
      <c r="K231">
        <v>854</v>
      </c>
      <c r="L231">
        <v>848</v>
      </c>
      <c r="M231">
        <v>876</v>
      </c>
      <c r="N231">
        <v>869</v>
      </c>
      <c r="O231">
        <v>885</v>
      </c>
      <c r="P231">
        <v>962</v>
      </c>
      <c r="Q231">
        <v>872</v>
      </c>
      <c r="R231">
        <v>904</v>
      </c>
      <c r="S231">
        <v>930</v>
      </c>
      <c r="T231">
        <v>913</v>
      </c>
      <c r="U231">
        <v>928</v>
      </c>
      <c r="V231">
        <v>941</v>
      </c>
      <c r="W231">
        <v>906</v>
      </c>
      <c r="X231">
        <v>853</v>
      </c>
      <c r="Y231">
        <v>841</v>
      </c>
      <c r="Z231">
        <v>839</v>
      </c>
      <c r="AA231">
        <v>843</v>
      </c>
    </row>
    <row r="232" spans="1:27" x14ac:dyDescent="0.25">
      <c r="A232" s="21" t="s">
        <v>1754</v>
      </c>
      <c r="B232">
        <v>40</v>
      </c>
      <c r="C232">
        <v>40</v>
      </c>
      <c r="D232">
        <v>40</v>
      </c>
      <c r="E232">
        <v>41</v>
      </c>
      <c r="F232">
        <v>42</v>
      </c>
      <c r="G232">
        <v>42</v>
      </c>
      <c r="H232">
        <v>43</v>
      </c>
      <c r="I232">
        <v>44</v>
      </c>
      <c r="J232">
        <v>44</v>
      </c>
      <c r="K232">
        <v>44</v>
      </c>
      <c r="L232">
        <v>47</v>
      </c>
      <c r="M232">
        <v>48</v>
      </c>
      <c r="N232">
        <v>54</v>
      </c>
      <c r="O232">
        <v>58</v>
      </c>
      <c r="P232">
        <v>64</v>
      </c>
      <c r="Q232">
        <v>68</v>
      </c>
      <c r="R232">
        <v>68</v>
      </c>
      <c r="S232">
        <v>70</v>
      </c>
      <c r="T232">
        <v>70</v>
      </c>
      <c r="U232">
        <v>69</v>
      </c>
      <c r="V232">
        <v>74</v>
      </c>
      <c r="W232">
        <v>71</v>
      </c>
      <c r="X232">
        <v>72</v>
      </c>
      <c r="Y232">
        <v>77</v>
      </c>
      <c r="Z232">
        <v>78</v>
      </c>
      <c r="AA232">
        <v>78</v>
      </c>
    </row>
    <row r="233" spans="1:27" x14ac:dyDescent="0.25">
      <c r="A233" s="21" t="s">
        <v>1750</v>
      </c>
      <c r="B233">
        <v>47</v>
      </c>
      <c r="C233">
        <v>48</v>
      </c>
      <c r="D233">
        <v>48</v>
      </c>
      <c r="E233">
        <v>47</v>
      </c>
      <c r="F233">
        <v>50</v>
      </c>
      <c r="G233">
        <v>51</v>
      </c>
      <c r="H233">
        <v>51</v>
      </c>
      <c r="I233">
        <v>51</v>
      </c>
      <c r="J233">
        <v>52</v>
      </c>
      <c r="K233">
        <v>54</v>
      </c>
      <c r="L233">
        <v>55</v>
      </c>
      <c r="M233">
        <v>55</v>
      </c>
      <c r="N233">
        <v>56</v>
      </c>
      <c r="O233">
        <v>57</v>
      </c>
      <c r="P233">
        <v>54</v>
      </c>
      <c r="Q233">
        <v>55</v>
      </c>
      <c r="R233">
        <v>58</v>
      </c>
      <c r="S233">
        <v>58</v>
      </c>
      <c r="T233">
        <v>58</v>
      </c>
      <c r="U233">
        <v>57</v>
      </c>
      <c r="V233">
        <v>58</v>
      </c>
      <c r="W233">
        <v>58</v>
      </c>
      <c r="X233">
        <v>59</v>
      </c>
      <c r="Y233">
        <v>59</v>
      </c>
      <c r="Z233">
        <v>59</v>
      </c>
      <c r="AA233">
        <v>59</v>
      </c>
    </row>
    <row r="234" spans="1:27" x14ac:dyDescent="0.25">
      <c r="A234" s="31" t="s">
        <v>1757</v>
      </c>
      <c r="B234">
        <v>138</v>
      </c>
      <c r="C234">
        <v>145</v>
      </c>
      <c r="D234">
        <v>155</v>
      </c>
      <c r="E234">
        <v>161</v>
      </c>
      <c r="F234">
        <v>167</v>
      </c>
      <c r="G234">
        <v>172</v>
      </c>
      <c r="H234">
        <v>175</v>
      </c>
      <c r="I234">
        <v>178</v>
      </c>
      <c r="J234">
        <v>178</v>
      </c>
      <c r="K234">
        <v>169</v>
      </c>
      <c r="L234">
        <v>165</v>
      </c>
      <c r="M234">
        <v>154</v>
      </c>
      <c r="N234">
        <v>146</v>
      </c>
      <c r="O234">
        <v>138</v>
      </c>
      <c r="P234">
        <v>129</v>
      </c>
      <c r="Q234">
        <v>120</v>
      </c>
      <c r="R234">
        <v>112</v>
      </c>
      <c r="S234">
        <v>97</v>
      </c>
      <c r="T234">
        <v>89</v>
      </c>
      <c r="U234">
        <v>84</v>
      </c>
      <c r="V234">
        <v>81</v>
      </c>
      <c r="W234">
        <v>77</v>
      </c>
      <c r="X234">
        <v>68</v>
      </c>
      <c r="Y234">
        <v>62</v>
      </c>
      <c r="Z234">
        <v>56</v>
      </c>
      <c r="AA234">
        <v>51</v>
      </c>
    </row>
    <row r="235" spans="1:27" x14ac:dyDescent="0.25">
      <c r="A235" s="21" t="s">
        <v>1761</v>
      </c>
      <c r="B235">
        <v>41</v>
      </c>
      <c r="C235">
        <v>41</v>
      </c>
      <c r="D235">
        <v>42</v>
      </c>
      <c r="E235">
        <v>42</v>
      </c>
      <c r="F235">
        <v>45</v>
      </c>
      <c r="G235">
        <v>45</v>
      </c>
      <c r="H235">
        <v>47</v>
      </c>
      <c r="I235">
        <v>48</v>
      </c>
      <c r="J235">
        <v>48</v>
      </c>
      <c r="K235">
        <v>46</v>
      </c>
      <c r="L235">
        <v>45</v>
      </c>
      <c r="M235">
        <v>36</v>
      </c>
      <c r="N235">
        <v>39</v>
      </c>
      <c r="O235">
        <v>37</v>
      </c>
      <c r="P235">
        <v>37</v>
      </c>
      <c r="Q235">
        <v>38</v>
      </c>
      <c r="R235">
        <v>37</v>
      </c>
      <c r="S235">
        <v>44</v>
      </c>
      <c r="T235">
        <v>38</v>
      </c>
      <c r="U235">
        <v>32</v>
      </c>
      <c r="V235">
        <v>39</v>
      </c>
      <c r="W235">
        <v>37</v>
      </c>
      <c r="X235">
        <v>35</v>
      </c>
      <c r="Y235">
        <v>36</v>
      </c>
      <c r="Z235">
        <v>37</v>
      </c>
      <c r="AA235">
        <v>39</v>
      </c>
    </row>
    <row r="236" spans="1:27" x14ac:dyDescent="0.25">
      <c r="A236" s="21" t="s">
        <v>1752</v>
      </c>
      <c r="B236">
        <v>11</v>
      </c>
      <c r="C236">
        <v>12</v>
      </c>
      <c r="D236">
        <v>12</v>
      </c>
      <c r="E236">
        <v>12</v>
      </c>
      <c r="F236">
        <v>12</v>
      </c>
      <c r="G236">
        <v>13</v>
      </c>
      <c r="H236">
        <v>13</v>
      </c>
      <c r="I236">
        <v>13</v>
      </c>
      <c r="J236">
        <v>13</v>
      </c>
      <c r="K236">
        <v>14</v>
      </c>
      <c r="L236">
        <v>14</v>
      </c>
      <c r="M236">
        <v>14</v>
      </c>
      <c r="N236">
        <v>14</v>
      </c>
      <c r="O236">
        <v>14</v>
      </c>
      <c r="P236">
        <v>15</v>
      </c>
      <c r="Q236">
        <v>15</v>
      </c>
      <c r="R236">
        <v>15</v>
      </c>
      <c r="S236">
        <v>15</v>
      </c>
      <c r="T236">
        <v>15</v>
      </c>
      <c r="U236">
        <v>15</v>
      </c>
      <c r="V236">
        <v>15</v>
      </c>
      <c r="W236">
        <v>16</v>
      </c>
      <c r="X236">
        <v>16</v>
      </c>
      <c r="Y236">
        <v>16</v>
      </c>
      <c r="Z236">
        <v>16</v>
      </c>
      <c r="AA236">
        <v>17</v>
      </c>
    </row>
    <row r="237" spans="1:27" x14ac:dyDescent="0.25">
      <c r="A237" s="21" t="s">
        <v>1762</v>
      </c>
      <c r="B237">
        <v>51</v>
      </c>
      <c r="C237">
        <v>50</v>
      </c>
      <c r="D237">
        <v>44</v>
      </c>
      <c r="E237">
        <v>47</v>
      </c>
      <c r="F237">
        <v>45</v>
      </c>
      <c r="G237">
        <v>57</v>
      </c>
      <c r="H237">
        <v>56</v>
      </c>
      <c r="I237">
        <v>32</v>
      </c>
      <c r="J237">
        <v>17</v>
      </c>
      <c r="K237">
        <v>16</v>
      </c>
      <c r="L237">
        <v>18</v>
      </c>
      <c r="M237">
        <v>15</v>
      </c>
      <c r="N237">
        <v>17</v>
      </c>
      <c r="O237">
        <v>18</v>
      </c>
      <c r="P237">
        <v>12</v>
      </c>
      <c r="Q237">
        <v>24</v>
      </c>
      <c r="R237">
        <v>29</v>
      </c>
      <c r="S237">
        <v>34</v>
      </c>
      <c r="T237">
        <v>8</v>
      </c>
      <c r="U237">
        <v>9</v>
      </c>
      <c r="V237">
        <v>14</v>
      </c>
      <c r="W237">
        <v>34</v>
      </c>
      <c r="X237">
        <v>19</v>
      </c>
      <c r="Y237">
        <v>13</v>
      </c>
      <c r="Z237">
        <v>18</v>
      </c>
      <c r="AA237">
        <v>14</v>
      </c>
    </row>
    <row r="238" spans="1:27" x14ac:dyDescent="0.25">
      <c r="A238" s="31" t="s">
        <v>1763</v>
      </c>
      <c r="B238">
        <v>14</v>
      </c>
      <c r="C238">
        <v>14</v>
      </c>
      <c r="D238">
        <v>13</v>
      </c>
      <c r="E238">
        <v>15</v>
      </c>
      <c r="F238">
        <v>15</v>
      </c>
      <c r="G238">
        <v>15</v>
      </c>
      <c r="H238">
        <v>15</v>
      </c>
      <c r="I238">
        <v>16</v>
      </c>
      <c r="J238">
        <v>16</v>
      </c>
      <c r="K238">
        <v>16</v>
      </c>
      <c r="L238">
        <v>16</v>
      </c>
      <c r="M238">
        <v>16</v>
      </c>
      <c r="N238">
        <v>14</v>
      </c>
      <c r="O238">
        <v>14</v>
      </c>
      <c r="P238">
        <v>14</v>
      </c>
      <c r="Q238">
        <v>14</v>
      </c>
      <c r="R238">
        <v>14</v>
      </c>
      <c r="S238">
        <v>14</v>
      </c>
      <c r="T238">
        <v>14</v>
      </c>
      <c r="U238">
        <v>14</v>
      </c>
      <c r="V238">
        <v>14</v>
      </c>
      <c r="W238">
        <v>14</v>
      </c>
      <c r="X238">
        <v>14</v>
      </c>
      <c r="Y238">
        <v>14</v>
      </c>
      <c r="Z238">
        <v>14</v>
      </c>
      <c r="AA238">
        <v>14</v>
      </c>
    </row>
    <row r="239" spans="1:27" x14ac:dyDescent="0.25">
      <c r="A239" s="21" t="s">
        <v>1756</v>
      </c>
      <c r="B239">
        <v>1</v>
      </c>
      <c r="C239">
        <v>1</v>
      </c>
      <c r="D239">
        <v>1</v>
      </c>
      <c r="E239">
        <v>2</v>
      </c>
      <c r="F239">
        <v>2</v>
      </c>
      <c r="G239">
        <v>3</v>
      </c>
      <c r="H239">
        <v>3</v>
      </c>
      <c r="I239">
        <v>3</v>
      </c>
      <c r="J239">
        <v>4</v>
      </c>
      <c r="K239">
        <v>4</v>
      </c>
      <c r="L239">
        <v>4</v>
      </c>
      <c r="M239">
        <v>5</v>
      </c>
      <c r="N239">
        <v>5</v>
      </c>
      <c r="O239">
        <v>5</v>
      </c>
      <c r="P239">
        <v>6</v>
      </c>
      <c r="Q239">
        <v>6</v>
      </c>
      <c r="R239">
        <v>6</v>
      </c>
      <c r="S239">
        <v>6</v>
      </c>
      <c r="T239">
        <v>6</v>
      </c>
      <c r="U239">
        <v>6</v>
      </c>
      <c r="V239">
        <v>5</v>
      </c>
      <c r="W239">
        <v>6</v>
      </c>
      <c r="X239">
        <v>6</v>
      </c>
      <c r="Y239">
        <v>6</v>
      </c>
      <c r="Z239">
        <v>6</v>
      </c>
      <c r="AA239">
        <v>6</v>
      </c>
    </row>
    <row r="240" spans="1:27" x14ac:dyDescent="0.25">
      <c r="A240" s="21" t="s">
        <v>1729</v>
      </c>
      <c r="B240">
        <v>2</v>
      </c>
      <c r="C240">
        <v>1</v>
      </c>
      <c r="D240">
        <v>1</v>
      </c>
      <c r="E240">
        <v>1</v>
      </c>
      <c r="F240">
        <v>1</v>
      </c>
      <c r="G240">
        <v>1</v>
      </c>
      <c r="H240">
        <v>1</v>
      </c>
      <c r="I240">
        <v>1</v>
      </c>
      <c r="J240">
        <v>1</v>
      </c>
      <c r="K240">
        <v>1</v>
      </c>
      <c r="L240">
        <v>1</v>
      </c>
      <c r="M240">
        <v>1</v>
      </c>
      <c r="N240">
        <v>1</v>
      </c>
      <c r="O240">
        <v>1</v>
      </c>
      <c r="P240">
        <v>1</v>
      </c>
      <c r="Q240">
        <v>1</v>
      </c>
      <c r="R240">
        <v>1</v>
      </c>
      <c r="S240">
        <v>1</v>
      </c>
      <c r="T240">
        <v>1</v>
      </c>
      <c r="U240">
        <v>1</v>
      </c>
      <c r="V240">
        <v>1</v>
      </c>
      <c r="W240">
        <v>1</v>
      </c>
      <c r="X240">
        <v>1</v>
      </c>
      <c r="Y240">
        <v>1</v>
      </c>
      <c r="Z240">
        <v>1</v>
      </c>
      <c r="AA240">
        <v>1</v>
      </c>
    </row>
    <row r="241" spans="1:27" x14ac:dyDescent="0.25">
      <c r="A241" s="21" t="s">
        <v>1764</v>
      </c>
      <c r="B241">
        <v>0</v>
      </c>
      <c r="C241">
        <v>0</v>
      </c>
      <c r="D241">
        <v>0</v>
      </c>
      <c r="E241">
        <v>0</v>
      </c>
      <c r="F241">
        <v>0</v>
      </c>
      <c r="G241">
        <v>0</v>
      </c>
      <c r="H241">
        <v>0</v>
      </c>
      <c r="I241">
        <v>0</v>
      </c>
      <c r="J241">
        <v>0</v>
      </c>
      <c r="K241">
        <v>0</v>
      </c>
      <c r="L241">
        <v>0</v>
      </c>
      <c r="M241">
        <v>0</v>
      </c>
      <c r="N241">
        <v>0</v>
      </c>
      <c r="O241">
        <v>0</v>
      </c>
      <c r="P241">
        <v>0</v>
      </c>
      <c r="Q241">
        <v>0</v>
      </c>
      <c r="R241">
        <v>1</v>
      </c>
      <c r="S241">
        <v>1</v>
      </c>
      <c r="T241">
        <v>1</v>
      </c>
      <c r="U241">
        <v>0</v>
      </c>
      <c r="V241">
        <v>0</v>
      </c>
      <c r="W241">
        <v>1</v>
      </c>
      <c r="X241">
        <v>1</v>
      </c>
      <c r="Y241">
        <v>1</v>
      </c>
      <c r="Z241">
        <v>1</v>
      </c>
      <c r="AA241">
        <v>1</v>
      </c>
    </row>
    <row r="242" spans="1:27" x14ac:dyDescent="0.25">
      <c r="A242" s="21" t="s">
        <v>1758</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row>
    <row r="243" spans="1:27" x14ac:dyDescent="0.25">
      <c r="A243" s="31" t="s">
        <v>1746</v>
      </c>
      <c r="B243">
        <v>3</v>
      </c>
      <c r="C243">
        <v>3</v>
      </c>
      <c r="D243">
        <v>3</v>
      </c>
      <c r="E243">
        <v>3</v>
      </c>
      <c r="F243">
        <v>3</v>
      </c>
      <c r="G243">
        <v>3</v>
      </c>
      <c r="H243">
        <v>3</v>
      </c>
      <c r="I243">
        <v>3</v>
      </c>
      <c r="J243">
        <v>3</v>
      </c>
      <c r="K243">
        <v>3</v>
      </c>
      <c r="L243">
        <v>3</v>
      </c>
      <c r="M243">
        <v>3</v>
      </c>
      <c r="N243">
        <v>3</v>
      </c>
      <c r="O243">
        <v>3</v>
      </c>
      <c r="P243">
        <v>3</v>
      </c>
      <c r="Q243">
        <v>3</v>
      </c>
      <c r="R243">
        <v>3</v>
      </c>
      <c r="S243">
        <v>3</v>
      </c>
      <c r="T243">
        <v>3</v>
      </c>
      <c r="U243">
        <v>3</v>
      </c>
      <c r="V243">
        <v>3</v>
      </c>
      <c r="W243">
        <v>3</v>
      </c>
      <c r="X243">
        <v>3</v>
      </c>
      <c r="Y243">
        <v>3</v>
      </c>
      <c r="Z243">
        <v>3</v>
      </c>
      <c r="AA243">
        <v>3</v>
      </c>
    </row>
    <row r="244" spans="1:27" x14ac:dyDescent="0.25">
      <c r="A244" s="334" t="s">
        <v>1765</v>
      </c>
      <c r="B244" t="s">
        <v>1787</v>
      </c>
      <c r="C244" t="s">
        <v>1787</v>
      </c>
      <c r="D244" t="s">
        <v>1787</v>
      </c>
      <c r="E244" t="s">
        <v>1787</v>
      </c>
      <c r="F244" t="s">
        <v>1787</v>
      </c>
      <c r="G244" t="s">
        <v>1787</v>
      </c>
      <c r="H244" t="s">
        <v>1787</v>
      </c>
      <c r="I244" t="s">
        <v>1787</v>
      </c>
      <c r="J244" t="s">
        <v>1787</v>
      </c>
      <c r="K244" t="s">
        <v>1787</v>
      </c>
      <c r="L244" t="s">
        <v>1787</v>
      </c>
      <c r="M244" t="s">
        <v>1787</v>
      </c>
      <c r="N244" t="s">
        <v>1787</v>
      </c>
      <c r="O244" t="s">
        <v>1787</v>
      </c>
      <c r="P244" t="s">
        <v>1787</v>
      </c>
      <c r="Q244" t="s">
        <v>1787</v>
      </c>
      <c r="R244" t="s">
        <v>1787</v>
      </c>
      <c r="S244" t="s">
        <v>1787</v>
      </c>
      <c r="T244" t="s">
        <v>1787</v>
      </c>
      <c r="U244" t="s">
        <v>1787</v>
      </c>
      <c r="V244" t="s">
        <v>1787</v>
      </c>
      <c r="W244" t="s">
        <v>1787</v>
      </c>
      <c r="X244" t="s">
        <v>1787</v>
      </c>
      <c r="Y244" t="s">
        <v>1787</v>
      </c>
      <c r="Z244" t="s">
        <v>1787</v>
      </c>
      <c r="AA244" t="s">
        <v>1787</v>
      </c>
    </row>
    <row r="245" spans="1:27" x14ac:dyDescent="0.25">
      <c r="A245" s="31" t="s">
        <v>1766</v>
      </c>
      <c r="B245" t="s">
        <v>1787</v>
      </c>
      <c r="C245" t="s">
        <v>1787</v>
      </c>
      <c r="D245" t="s">
        <v>1787</v>
      </c>
      <c r="E245" t="s">
        <v>1787</v>
      </c>
      <c r="F245" t="s">
        <v>1787</v>
      </c>
      <c r="G245" t="s">
        <v>1787</v>
      </c>
      <c r="H245" t="s">
        <v>1787</v>
      </c>
      <c r="I245" t="s">
        <v>1787</v>
      </c>
      <c r="J245" t="s">
        <v>1787</v>
      </c>
      <c r="K245" t="s">
        <v>1787</v>
      </c>
      <c r="L245" t="s">
        <v>1787</v>
      </c>
      <c r="M245" t="s">
        <v>1787</v>
      </c>
      <c r="N245" t="s">
        <v>1787</v>
      </c>
      <c r="O245" t="s">
        <v>1787</v>
      </c>
      <c r="P245" t="s">
        <v>1787</v>
      </c>
      <c r="Q245" t="s">
        <v>1787</v>
      </c>
      <c r="R245" t="s">
        <v>1787</v>
      </c>
      <c r="S245" t="s">
        <v>1787</v>
      </c>
      <c r="T245" t="s">
        <v>1787</v>
      </c>
      <c r="U245" t="s">
        <v>1787</v>
      </c>
      <c r="V245" t="s">
        <v>1787</v>
      </c>
      <c r="W245" t="s">
        <v>1787</v>
      </c>
      <c r="X245" t="s">
        <v>1787</v>
      </c>
      <c r="Y245" t="s">
        <v>1787</v>
      </c>
      <c r="Z245" t="s">
        <v>1787</v>
      </c>
      <c r="AA245" t="s">
        <v>1787</v>
      </c>
    </row>
    <row r="246" spans="1:27" x14ac:dyDescent="0.25">
      <c r="A246" s="21" t="s">
        <v>1767</v>
      </c>
      <c r="B246">
        <v>3</v>
      </c>
      <c r="C246">
        <v>3</v>
      </c>
      <c r="D246">
        <v>3</v>
      </c>
      <c r="E246">
        <v>3</v>
      </c>
      <c r="F246">
        <v>3</v>
      </c>
      <c r="G246">
        <v>3</v>
      </c>
      <c r="H246">
        <v>3</v>
      </c>
      <c r="I246">
        <v>3</v>
      </c>
      <c r="J246">
        <v>3</v>
      </c>
      <c r="K246">
        <v>3</v>
      </c>
      <c r="L246">
        <v>2</v>
      </c>
      <c r="M246">
        <v>2</v>
      </c>
      <c r="N246">
        <v>2</v>
      </c>
      <c r="O246">
        <v>1</v>
      </c>
      <c r="P246">
        <v>1</v>
      </c>
      <c r="Q246">
        <v>1</v>
      </c>
      <c r="R246">
        <v>1</v>
      </c>
      <c r="S246">
        <v>1</v>
      </c>
      <c r="T246">
        <v>1</v>
      </c>
      <c r="U246">
        <v>0</v>
      </c>
      <c r="V246">
        <v>1</v>
      </c>
      <c r="W246">
        <v>1</v>
      </c>
      <c r="X246">
        <v>0</v>
      </c>
      <c r="Y246">
        <v>0</v>
      </c>
      <c r="Z246">
        <v>0</v>
      </c>
      <c r="AA246">
        <v>0</v>
      </c>
    </row>
    <row r="247" spans="1:27" x14ac:dyDescent="0.25">
      <c r="A247" s="21" t="s">
        <v>1764</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row>
    <row r="248" spans="1:27" x14ac:dyDescent="0.25">
      <c r="A248" s="21" t="s">
        <v>1744</v>
      </c>
      <c r="B248">
        <v>0</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row>
    <row r="249" spans="1:27" x14ac:dyDescent="0.25">
      <c r="A249" s="334" t="s">
        <v>1768</v>
      </c>
      <c r="B249" t="s">
        <v>1787</v>
      </c>
      <c r="C249" t="s">
        <v>1787</v>
      </c>
      <c r="D249" t="s">
        <v>1787</v>
      </c>
      <c r="E249" t="s">
        <v>1787</v>
      </c>
      <c r="F249" t="s">
        <v>1787</v>
      </c>
      <c r="G249" t="s">
        <v>1787</v>
      </c>
      <c r="H249" t="s">
        <v>1787</v>
      </c>
      <c r="I249" t="s">
        <v>1787</v>
      </c>
      <c r="J249" t="s">
        <v>1787</v>
      </c>
      <c r="K249" t="s">
        <v>1787</v>
      </c>
      <c r="L249" t="s">
        <v>1787</v>
      </c>
      <c r="M249" t="s">
        <v>1787</v>
      </c>
      <c r="N249" t="s">
        <v>1787</v>
      </c>
      <c r="O249" t="s">
        <v>1787</v>
      </c>
      <c r="P249" t="s">
        <v>1787</v>
      </c>
      <c r="Q249" t="s">
        <v>1787</v>
      </c>
      <c r="R249" t="s">
        <v>1787</v>
      </c>
      <c r="S249" t="s">
        <v>1787</v>
      </c>
      <c r="T249" t="s">
        <v>1787</v>
      </c>
      <c r="U249" t="s">
        <v>1787</v>
      </c>
      <c r="V249" t="s">
        <v>1787</v>
      </c>
      <c r="W249" t="s">
        <v>1787</v>
      </c>
      <c r="X249" t="s">
        <v>1787</v>
      </c>
      <c r="Y249" t="s">
        <v>1787</v>
      </c>
      <c r="Z249" t="s">
        <v>1787</v>
      </c>
      <c r="AA249" t="s">
        <v>1787</v>
      </c>
    </row>
    <row r="250" spans="1:27" x14ac:dyDescent="0.25">
      <c r="A250" s="21" t="s">
        <v>1764</v>
      </c>
      <c r="B250" t="s">
        <v>1787</v>
      </c>
      <c r="C250" t="s">
        <v>1787</v>
      </c>
      <c r="D250" t="s">
        <v>1787</v>
      </c>
      <c r="E250" t="s">
        <v>1787</v>
      </c>
      <c r="F250" t="s">
        <v>1787</v>
      </c>
      <c r="G250" t="s">
        <v>1787</v>
      </c>
      <c r="H250" t="s">
        <v>1787</v>
      </c>
      <c r="I250" t="s">
        <v>1787</v>
      </c>
      <c r="J250" t="s">
        <v>1787</v>
      </c>
      <c r="K250" t="s">
        <v>1787</v>
      </c>
      <c r="L250" t="s">
        <v>1787</v>
      </c>
      <c r="M250" t="s">
        <v>1787</v>
      </c>
      <c r="N250" t="s">
        <v>1787</v>
      </c>
      <c r="O250" t="s">
        <v>1787</v>
      </c>
      <c r="P250" t="s">
        <v>1787</v>
      </c>
      <c r="Q250" t="s">
        <v>1787</v>
      </c>
      <c r="R250" t="s">
        <v>1787</v>
      </c>
      <c r="S250" t="s">
        <v>1787</v>
      </c>
      <c r="T250" t="s">
        <v>1787</v>
      </c>
      <c r="U250" t="s">
        <v>1787</v>
      </c>
      <c r="V250" t="s">
        <v>1787</v>
      </c>
      <c r="W250" t="s">
        <v>1787</v>
      </c>
      <c r="X250" t="s">
        <v>1787</v>
      </c>
      <c r="Y250" t="s">
        <v>1787</v>
      </c>
      <c r="Z250" t="s">
        <v>1787</v>
      </c>
      <c r="AA250" t="s">
        <v>1787</v>
      </c>
    </row>
    <row r="251" spans="1:27" x14ac:dyDescent="0.25">
      <c r="A251" s="21" t="s">
        <v>1735</v>
      </c>
      <c r="B251" t="s">
        <v>1787</v>
      </c>
      <c r="C251" t="s">
        <v>1787</v>
      </c>
      <c r="D251" t="s">
        <v>1787</v>
      </c>
      <c r="E251" t="s">
        <v>1787</v>
      </c>
      <c r="F251" t="s">
        <v>1787</v>
      </c>
      <c r="G251" t="s">
        <v>1787</v>
      </c>
      <c r="H251" t="s">
        <v>1787</v>
      </c>
      <c r="I251" t="s">
        <v>1787</v>
      </c>
      <c r="J251" t="s">
        <v>1787</v>
      </c>
      <c r="K251" t="s">
        <v>1787</v>
      </c>
      <c r="L251" t="s">
        <v>1787</v>
      </c>
      <c r="M251" t="s">
        <v>1787</v>
      </c>
      <c r="N251" t="s">
        <v>1787</v>
      </c>
      <c r="O251" t="s">
        <v>1787</v>
      </c>
      <c r="P251" t="s">
        <v>1787</v>
      </c>
      <c r="Q251" t="s">
        <v>1787</v>
      </c>
      <c r="R251" t="s">
        <v>1787</v>
      </c>
      <c r="S251" t="s">
        <v>1787</v>
      </c>
      <c r="T251" t="s">
        <v>1787</v>
      </c>
      <c r="U251" t="s">
        <v>1787</v>
      </c>
      <c r="V251" t="s">
        <v>1787</v>
      </c>
      <c r="W251" t="s">
        <v>1787</v>
      </c>
      <c r="X251" t="s">
        <v>1787</v>
      </c>
      <c r="Y251" t="s">
        <v>1787</v>
      </c>
      <c r="Z251" t="s">
        <v>1787</v>
      </c>
      <c r="AA251" t="s">
        <v>1787</v>
      </c>
    </row>
    <row r="252" spans="1:27" x14ac:dyDescent="0.25">
      <c r="A252" s="21" t="s">
        <v>1769</v>
      </c>
      <c r="B252">
        <v>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row>
    <row r="253" spans="1:27" x14ac:dyDescent="0.25">
      <c r="A253" s="31" t="s">
        <v>1770</v>
      </c>
      <c r="B253">
        <v>1</v>
      </c>
      <c r="C253">
        <v>1</v>
      </c>
      <c r="D253">
        <v>1</v>
      </c>
      <c r="E253">
        <v>1</v>
      </c>
      <c r="F253">
        <v>1</v>
      </c>
      <c r="G253">
        <v>1</v>
      </c>
      <c r="H253">
        <v>1</v>
      </c>
      <c r="I253">
        <v>1</v>
      </c>
      <c r="J253">
        <v>1</v>
      </c>
      <c r="K253">
        <v>1</v>
      </c>
      <c r="L253">
        <v>1</v>
      </c>
      <c r="M253">
        <v>1</v>
      </c>
      <c r="N253">
        <v>1</v>
      </c>
      <c r="O253">
        <v>1</v>
      </c>
      <c r="P253">
        <v>1</v>
      </c>
      <c r="Q253">
        <v>1</v>
      </c>
      <c r="R253">
        <v>0</v>
      </c>
      <c r="S253">
        <v>0</v>
      </c>
      <c r="T253">
        <v>0</v>
      </c>
      <c r="U253">
        <v>0</v>
      </c>
      <c r="V253">
        <v>0</v>
      </c>
      <c r="W253">
        <v>0</v>
      </c>
      <c r="X253">
        <v>0</v>
      </c>
      <c r="Y253">
        <v>0</v>
      </c>
      <c r="Z253">
        <v>0</v>
      </c>
      <c r="AA253">
        <v>0</v>
      </c>
    </row>
    <row r="254" spans="1:27" x14ac:dyDescent="0.25">
      <c r="A254" s="21" t="s">
        <v>1771</v>
      </c>
      <c r="B254">
        <v>1</v>
      </c>
      <c r="C254">
        <v>1</v>
      </c>
      <c r="D254">
        <v>1</v>
      </c>
      <c r="E254">
        <v>1</v>
      </c>
      <c r="F254">
        <v>1</v>
      </c>
      <c r="G254">
        <v>1</v>
      </c>
      <c r="H254">
        <v>1</v>
      </c>
      <c r="I254">
        <v>1</v>
      </c>
      <c r="J254">
        <v>1</v>
      </c>
      <c r="K254">
        <v>1</v>
      </c>
      <c r="L254">
        <v>1</v>
      </c>
      <c r="M254">
        <v>1</v>
      </c>
      <c r="N254">
        <v>0</v>
      </c>
      <c r="O254">
        <v>0</v>
      </c>
      <c r="P254">
        <v>0</v>
      </c>
      <c r="Q254">
        <v>0</v>
      </c>
      <c r="R254">
        <v>0</v>
      </c>
      <c r="S254">
        <v>0</v>
      </c>
      <c r="T254">
        <v>0</v>
      </c>
      <c r="U254">
        <v>0</v>
      </c>
      <c r="V254">
        <v>0</v>
      </c>
      <c r="W254">
        <v>0</v>
      </c>
      <c r="X254">
        <v>0</v>
      </c>
      <c r="Y254">
        <v>0</v>
      </c>
      <c r="Z254">
        <v>0</v>
      </c>
      <c r="AA254">
        <v>0</v>
      </c>
    </row>
    <row r="255" spans="1:27" x14ac:dyDescent="0.25">
      <c r="A255" s="21" t="s">
        <v>1744</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row>
    <row r="256" spans="1:27" x14ac:dyDescent="0.25">
      <c r="A256" s="21" t="s">
        <v>1764</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row>
    <row r="257" spans="1:27" x14ac:dyDescent="0.25">
      <c r="A257" s="31" t="s">
        <v>1772</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row>
    <row r="258" spans="1:27" x14ac:dyDescent="0.25">
      <c r="A258" s="22" t="s">
        <v>1764</v>
      </c>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row>
    <row r="260" spans="1:27" x14ac:dyDescent="0.25">
      <c r="A260" s="56" t="s">
        <v>1785</v>
      </c>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row>
    <row r="261" spans="1:27" x14ac:dyDescent="0.25">
      <c r="A261" s="30" t="s">
        <v>1711</v>
      </c>
      <c r="B261" s="30"/>
      <c r="C261" s="30"/>
      <c r="D261" s="30"/>
      <c r="E261" s="30"/>
      <c r="F261" s="30"/>
      <c r="G261" s="30"/>
      <c r="H261" s="30"/>
      <c r="I261" s="30"/>
      <c r="J261" s="30"/>
    </row>
    <row r="262" spans="1:27" x14ac:dyDescent="0.25">
      <c r="A262" s="23" t="s">
        <v>1712</v>
      </c>
      <c r="B262">
        <v>1990</v>
      </c>
      <c r="C262">
        <v>1991</v>
      </c>
      <c r="D262">
        <v>1992</v>
      </c>
      <c r="E262">
        <v>1993</v>
      </c>
      <c r="F262">
        <v>1994</v>
      </c>
      <c r="G262">
        <v>1995</v>
      </c>
      <c r="H262">
        <v>1996</v>
      </c>
      <c r="I262">
        <v>1997</v>
      </c>
      <c r="J262">
        <v>1998</v>
      </c>
      <c r="K262">
        <v>1999</v>
      </c>
      <c r="L262">
        <v>2000</v>
      </c>
      <c r="M262">
        <v>2001</v>
      </c>
      <c r="N262">
        <v>2002</v>
      </c>
      <c r="O262">
        <v>2003</v>
      </c>
      <c r="P262">
        <v>2004</v>
      </c>
      <c r="Q262">
        <v>2005</v>
      </c>
      <c r="R262">
        <v>2006</v>
      </c>
      <c r="S262">
        <v>2007</v>
      </c>
      <c r="T262">
        <v>2008</v>
      </c>
      <c r="U262">
        <v>2009</v>
      </c>
      <c r="V262">
        <v>2010</v>
      </c>
      <c r="W262">
        <v>2011</v>
      </c>
      <c r="X262">
        <v>2012</v>
      </c>
      <c r="Y262">
        <v>2013</v>
      </c>
      <c r="Z262">
        <v>2014</v>
      </c>
      <c r="AA262">
        <v>2015</v>
      </c>
    </row>
    <row r="263" spans="1:27" x14ac:dyDescent="0.25">
      <c r="A263" s="100" t="s">
        <v>1713</v>
      </c>
      <c r="B263">
        <v>5123</v>
      </c>
      <c r="C263">
        <v>5073.5</v>
      </c>
      <c r="D263">
        <v>5178.6000000000004</v>
      </c>
      <c r="E263">
        <v>5292.6</v>
      </c>
      <c r="F263">
        <v>5385.9</v>
      </c>
      <c r="G263">
        <v>5450.3</v>
      </c>
      <c r="H263">
        <v>5636.3</v>
      </c>
      <c r="I263">
        <v>5713.4</v>
      </c>
      <c r="J263">
        <v>5753.8</v>
      </c>
      <c r="K263">
        <v>5834.2</v>
      </c>
      <c r="L263">
        <v>6001.4</v>
      </c>
      <c r="M263">
        <v>5902.7</v>
      </c>
      <c r="N263">
        <v>5943.9</v>
      </c>
      <c r="O263">
        <v>5990.7</v>
      </c>
      <c r="P263">
        <v>6105.4</v>
      </c>
      <c r="Q263">
        <v>6131.8</v>
      </c>
      <c r="R263">
        <v>6051.5</v>
      </c>
      <c r="S263">
        <v>6130.6</v>
      </c>
      <c r="T263">
        <v>5933</v>
      </c>
      <c r="U263">
        <v>5495.7</v>
      </c>
      <c r="V263">
        <v>5699.9</v>
      </c>
      <c r="W263">
        <v>5569.5</v>
      </c>
      <c r="X263">
        <v>5362.1</v>
      </c>
      <c r="Y263">
        <v>5514</v>
      </c>
      <c r="Z263">
        <v>5565.5</v>
      </c>
      <c r="AA263">
        <v>5411.4</v>
      </c>
    </row>
    <row r="264" spans="1:27" x14ac:dyDescent="0.25">
      <c r="A264" s="21" t="s">
        <v>1714</v>
      </c>
      <c r="B264">
        <v>4740.3</v>
      </c>
      <c r="C264">
        <v>4690.1000000000004</v>
      </c>
      <c r="D264">
        <v>4793.1000000000004</v>
      </c>
      <c r="E264">
        <v>4915.1000000000004</v>
      </c>
      <c r="F264">
        <v>4990</v>
      </c>
      <c r="G264">
        <v>5041</v>
      </c>
      <c r="H264">
        <v>5232.3999999999996</v>
      </c>
      <c r="I264">
        <v>5296.7</v>
      </c>
      <c r="J264">
        <v>5333.5</v>
      </c>
      <c r="K264">
        <v>5400.8</v>
      </c>
      <c r="L264">
        <v>5593.7</v>
      </c>
      <c r="M264">
        <v>5525</v>
      </c>
      <c r="N264">
        <v>5560.6</v>
      </c>
      <c r="O264">
        <v>5619.8</v>
      </c>
      <c r="P264">
        <v>5709.1</v>
      </c>
      <c r="Q264">
        <v>5746.9</v>
      </c>
      <c r="R264">
        <v>5660.3</v>
      </c>
      <c r="S264">
        <v>5753</v>
      </c>
      <c r="T264">
        <v>5566.6</v>
      </c>
      <c r="U264">
        <v>5193.2</v>
      </c>
      <c r="V264">
        <v>5359.4</v>
      </c>
      <c r="W264">
        <v>5227.1000000000004</v>
      </c>
      <c r="X264">
        <v>5024.6000000000004</v>
      </c>
      <c r="Y264">
        <v>5156.5</v>
      </c>
      <c r="Z264">
        <v>5202.3</v>
      </c>
      <c r="AA264">
        <v>5049.8</v>
      </c>
    </row>
    <row r="265" spans="1:27" x14ac:dyDescent="0.25">
      <c r="A265" s="333" t="s">
        <v>1715</v>
      </c>
      <c r="B265">
        <v>1820.8</v>
      </c>
      <c r="C265">
        <v>1818.2</v>
      </c>
      <c r="D265">
        <v>1831.5</v>
      </c>
      <c r="E265">
        <v>1906.9</v>
      </c>
      <c r="F265">
        <v>1931.2</v>
      </c>
      <c r="G265">
        <v>1947.9</v>
      </c>
      <c r="H265">
        <v>2021</v>
      </c>
      <c r="I265">
        <v>2088.4</v>
      </c>
      <c r="J265">
        <v>2177.4</v>
      </c>
      <c r="K265">
        <v>2190.5</v>
      </c>
      <c r="L265">
        <v>2296.9</v>
      </c>
      <c r="M265">
        <v>2257.9</v>
      </c>
      <c r="N265">
        <v>2272.6999999999998</v>
      </c>
      <c r="O265">
        <v>2304.1999999999998</v>
      </c>
      <c r="P265">
        <v>2335.9</v>
      </c>
      <c r="Q265">
        <v>2400.9</v>
      </c>
      <c r="R265">
        <v>2345.3000000000002</v>
      </c>
      <c r="S265">
        <v>2411.9</v>
      </c>
      <c r="T265">
        <v>2360.1</v>
      </c>
      <c r="U265">
        <v>2145.6999999999998</v>
      </c>
      <c r="V265">
        <v>2258.4</v>
      </c>
      <c r="W265">
        <v>2157.6999999999998</v>
      </c>
      <c r="X265">
        <v>2022.2</v>
      </c>
      <c r="Y265">
        <v>2038.1</v>
      </c>
      <c r="Z265">
        <v>2038</v>
      </c>
      <c r="AA265">
        <v>1900.7</v>
      </c>
    </row>
    <row r="266" spans="1:27" x14ac:dyDescent="0.25">
      <c r="A266" s="31" t="s">
        <v>1716</v>
      </c>
      <c r="B266">
        <v>1493.8</v>
      </c>
      <c r="C266">
        <v>1447.6</v>
      </c>
      <c r="D266">
        <v>1496.9</v>
      </c>
      <c r="E266">
        <v>1532.4</v>
      </c>
      <c r="F266">
        <v>1577</v>
      </c>
      <c r="G266">
        <v>1609.9</v>
      </c>
      <c r="H266">
        <v>1654.3</v>
      </c>
      <c r="I266">
        <v>1670.1</v>
      </c>
      <c r="J266">
        <v>1706.6</v>
      </c>
      <c r="K266">
        <v>1761.1</v>
      </c>
      <c r="L266">
        <v>1805.5</v>
      </c>
      <c r="M266">
        <v>1789.4</v>
      </c>
      <c r="N266">
        <v>1830.6</v>
      </c>
      <c r="O266">
        <v>1822.3</v>
      </c>
      <c r="P266">
        <v>1867.1</v>
      </c>
      <c r="Q266">
        <v>1887</v>
      </c>
      <c r="R266">
        <v>1882.6</v>
      </c>
      <c r="S266">
        <v>1886.1</v>
      </c>
      <c r="T266">
        <v>1791.8</v>
      </c>
      <c r="U266">
        <v>1717</v>
      </c>
      <c r="V266">
        <v>1728.3</v>
      </c>
      <c r="W266">
        <v>1707.6</v>
      </c>
      <c r="X266">
        <v>1696.8</v>
      </c>
      <c r="Y266">
        <v>1713</v>
      </c>
      <c r="Z266">
        <v>1742.8</v>
      </c>
      <c r="AA266">
        <v>1736.4</v>
      </c>
    </row>
    <row r="267" spans="1:27" x14ac:dyDescent="0.25">
      <c r="A267" s="31" t="s">
        <v>1717</v>
      </c>
      <c r="B267">
        <v>842.5</v>
      </c>
      <c r="C267">
        <v>822.5</v>
      </c>
      <c r="D267">
        <v>857.4</v>
      </c>
      <c r="E267">
        <v>855.7</v>
      </c>
      <c r="F267">
        <v>864.8</v>
      </c>
      <c r="G267">
        <v>870.5</v>
      </c>
      <c r="H267">
        <v>907.4</v>
      </c>
      <c r="I267">
        <v>906.8</v>
      </c>
      <c r="J267">
        <v>869.1</v>
      </c>
      <c r="K267">
        <v>845.9</v>
      </c>
      <c r="L267">
        <v>854.1</v>
      </c>
      <c r="M267">
        <v>843</v>
      </c>
      <c r="N267">
        <v>829.8</v>
      </c>
      <c r="O267">
        <v>829.6</v>
      </c>
      <c r="P267">
        <v>852.3</v>
      </c>
      <c r="Q267">
        <v>828</v>
      </c>
      <c r="R267">
        <v>852.6</v>
      </c>
      <c r="S267">
        <v>847.9</v>
      </c>
      <c r="T267">
        <v>802.8</v>
      </c>
      <c r="U267">
        <v>727.7</v>
      </c>
      <c r="V267">
        <v>775.5</v>
      </c>
      <c r="W267">
        <v>775</v>
      </c>
      <c r="X267">
        <v>782.9</v>
      </c>
      <c r="Y267">
        <v>812.2</v>
      </c>
      <c r="Z267">
        <v>806.1</v>
      </c>
      <c r="AA267">
        <v>805.5</v>
      </c>
    </row>
    <row r="268" spans="1:27" x14ac:dyDescent="0.25">
      <c r="A268" s="333" t="s">
        <v>1718</v>
      </c>
      <c r="B268">
        <v>338.3</v>
      </c>
      <c r="C268">
        <v>347.2</v>
      </c>
      <c r="D268">
        <v>353.5</v>
      </c>
      <c r="E268">
        <v>365.8</v>
      </c>
      <c r="F268">
        <v>356.8</v>
      </c>
      <c r="G268">
        <v>352.8</v>
      </c>
      <c r="H268">
        <v>383.1</v>
      </c>
      <c r="I268">
        <v>364.7</v>
      </c>
      <c r="J268">
        <v>331.2</v>
      </c>
      <c r="K268">
        <v>350.6</v>
      </c>
      <c r="L268">
        <v>370.8</v>
      </c>
      <c r="M268">
        <v>362.2</v>
      </c>
      <c r="N268">
        <v>360</v>
      </c>
      <c r="O268">
        <v>378.9</v>
      </c>
      <c r="P268">
        <v>367.4</v>
      </c>
      <c r="Q268">
        <v>357.8</v>
      </c>
      <c r="R268">
        <v>321.3</v>
      </c>
      <c r="S268">
        <v>341.3</v>
      </c>
      <c r="T268">
        <v>347.6</v>
      </c>
      <c r="U268">
        <v>336.3</v>
      </c>
      <c r="V268">
        <v>334.6</v>
      </c>
      <c r="W268">
        <v>325.5</v>
      </c>
      <c r="X268">
        <v>282.5</v>
      </c>
      <c r="Y268">
        <v>329.7</v>
      </c>
      <c r="Z268">
        <v>345.4</v>
      </c>
      <c r="AA268">
        <v>319.60000000000002</v>
      </c>
    </row>
    <row r="269" spans="1:27" x14ac:dyDescent="0.25">
      <c r="A269" s="31" t="s">
        <v>1719</v>
      </c>
      <c r="B269">
        <v>217.4</v>
      </c>
      <c r="C269">
        <v>223.3</v>
      </c>
      <c r="D269">
        <v>220.6</v>
      </c>
      <c r="E269">
        <v>220.1</v>
      </c>
      <c r="F269">
        <v>222.4</v>
      </c>
      <c r="G269">
        <v>225.6</v>
      </c>
      <c r="H269">
        <v>234.5</v>
      </c>
      <c r="I269">
        <v>233.6</v>
      </c>
      <c r="J269">
        <v>215.9</v>
      </c>
      <c r="K269">
        <v>218.8</v>
      </c>
      <c r="L269">
        <v>230.9</v>
      </c>
      <c r="M269">
        <v>225</v>
      </c>
      <c r="N269">
        <v>225</v>
      </c>
      <c r="O269">
        <v>235.2</v>
      </c>
      <c r="P269">
        <v>234.2</v>
      </c>
      <c r="Q269">
        <v>223.5</v>
      </c>
      <c r="R269">
        <v>208.6</v>
      </c>
      <c r="S269">
        <v>218.8</v>
      </c>
      <c r="T269">
        <v>223.6</v>
      </c>
      <c r="U269">
        <v>223.5</v>
      </c>
      <c r="V269">
        <v>220.1</v>
      </c>
      <c r="W269">
        <v>220.4</v>
      </c>
      <c r="X269">
        <v>196.7</v>
      </c>
      <c r="Y269">
        <v>221</v>
      </c>
      <c r="Z269">
        <v>228.7</v>
      </c>
      <c r="AA269">
        <v>246.2</v>
      </c>
    </row>
    <row r="270" spans="1:27" x14ac:dyDescent="0.25">
      <c r="A270" s="333" t="s">
        <v>1720</v>
      </c>
      <c r="B270">
        <v>27.6</v>
      </c>
      <c r="C270">
        <v>31.4</v>
      </c>
      <c r="D270">
        <v>33.1</v>
      </c>
      <c r="E270">
        <v>34.200000000000003</v>
      </c>
      <c r="F270">
        <v>37.799999999999997</v>
      </c>
      <c r="G270">
        <v>34.299999999999997</v>
      </c>
      <c r="H270">
        <v>32.1</v>
      </c>
      <c r="I270">
        <v>33</v>
      </c>
      <c r="J270">
        <v>33.200000000000003</v>
      </c>
      <c r="K270">
        <v>34</v>
      </c>
      <c r="L270">
        <v>35.6</v>
      </c>
      <c r="M270">
        <v>47.5</v>
      </c>
      <c r="N270">
        <v>42.5</v>
      </c>
      <c r="O270">
        <v>49.6</v>
      </c>
      <c r="P270">
        <v>52</v>
      </c>
      <c r="Q270">
        <v>49.7</v>
      </c>
      <c r="R270">
        <v>49.9</v>
      </c>
      <c r="S270">
        <v>47.1</v>
      </c>
      <c r="T270">
        <v>40.700000000000003</v>
      </c>
      <c r="U270">
        <v>43.1</v>
      </c>
      <c r="V270">
        <v>42.4</v>
      </c>
      <c r="W270">
        <v>40.9</v>
      </c>
      <c r="X270">
        <v>43.5</v>
      </c>
      <c r="Y270">
        <v>42.5</v>
      </c>
      <c r="Z270">
        <v>41.4</v>
      </c>
      <c r="AA270">
        <v>41.4</v>
      </c>
    </row>
    <row r="271" spans="1:27" x14ac:dyDescent="0.25">
      <c r="A271" s="21" t="s">
        <v>1721</v>
      </c>
      <c r="B271">
        <v>117.6</v>
      </c>
      <c r="C271">
        <v>127.7</v>
      </c>
      <c r="D271">
        <v>125.8</v>
      </c>
      <c r="E271">
        <v>116.3</v>
      </c>
      <c r="F271">
        <v>125.5</v>
      </c>
      <c r="G271">
        <v>128.30000000000001</v>
      </c>
      <c r="H271">
        <v>123.8</v>
      </c>
      <c r="I271">
        <v>132.4</v>
      </c>
      <c r="J271">
        <v>149.69999999999999</v>
      </c>
      <c r="K271">
        <v>163</v>
      </c>
      <c r="L271">
        <v>140.30000000000001</v>
      </c>
      <c r="M271">
        <v>131.69999999999999</v>
      </c>
      <c r="N271">
        <v>135.19999999999999</v>
      </c>
      <c r="O271">
        <v>129</v>
      </c>
      <c r="P271">
        <v>147.30000000000001</v>
      </c>
      <c r="Q271">
        <v>138.9</v>
      </c>
      <c r="R271">
        <v>140.30000000000001</v>
      </c>
      <c r="S271">
        <v>122.9</v>
      </c>
      <c r="T271">
        <v>125.4</v>
      </c>
      <c r="U271">
        <v>106.2</v>
      </c>
      <c r="V271">
        <v>114.3</v>
      </c>
      <c r="W271">
        <v>109.8</v>
      </c>
      <c r="X271">
        <v>106.7</v>
      </c>
      <c r="Y271">
        <v>123.6</v>
      </c>
      <c r="Z271">
        <v>119</v>
      </c>
      <c r="AA271">
        <v>125.5</v>
      </c>
    </row>
    <row r="272" spans="1:27" ht="24" x14ac:dyDescent="0.25">
      <c r="A272" s="21" t="s">
        <v>1722</v>
      </c>
      <c r="B272">
        <v>101.5</v>
      </c>
      <c r="C272">
        <v>92.1</v>
      </c>
      <c r="D272">
        <v>92.9</v>
      </c>
      <c r="E272">
        <v>88.9</v>
      </c>
      <c r="F272">
        <v>91.8</v>
      </c>
      <c r="G272">
        <v>95.5</v>
      </c>
      <c r="H272">
        <v>93.6</v>
      </c>
      <c r="I272">
        <v>95</v>
      </c>
      <c r="J272">
        <v>88.6</v>
      </c>
      <c r="K272">
        <v>86.4</v>
      </c>
      <c r="L272">
        <v>88.1</v>
      </c>
      <c r="M272">
        <v>77.599999999999994</v>
      </c>
      <c r="N272">
        <v>73.7</v>
      </c>
      <c r="O272">
        <v>70.599999999999994</v>
      </c>
      <c r="P272">
        <v>70.2</v>
      </c>
      <c r="Q272">
        <v>68</v>
      </c>
      <c r="R272">
        <v>70.8</v>
      </c>
      <c r="S272">
        <v>72.5</v>
      </c>
      <c r="T272">
        <v>68</v>
      </c>
      <c r="U272">
        <v>43.8</v>
      </c>
      <c r="V272">
        <v>56.8</v>
      </c>
      <c r="W272">
        <v>61.1</v>
      </c>
      <c r="X272">
        <v>55.4</v>
      </c>
      <c r="Y272">
        <v>53.3</v>
      </c>
      <c r="Z272">
        <v>58.6</v>
      </c>
      <c r="AA272">
        <v>48.9</v>
      </c>
    </row>
    <row r="273" spans="1:27" x14ac:dyDescent="0.25">
      <c r="A273" s="21" t="s">
        <v>1723</v>
      </c>
      <c r="B273">
        <v>37.700000000000003</v>
      </c>
      <c r="C273">
        <v>38</v>
      </c>
      <c r="D273">
        <v>37.700000000000003</v>
      </c>
      <c r="E273">
        <v>41</v>
      </c>
      <c r="F273">
        <v>41.1</v>
      </c>
      <c r="G273">
        <v>42.6</v>
      </c>
      <c r="H273">
        <v>40.1</v>
      </c>
      <c r="I273">
        <v>39.700000000000003</v>
      </c>
      <c r="J273">
        <v>29.7</v>
      </c>
      <c r="K273">
        <v>30.8</v>
      </c>
      <c r="L273">
        <v>29.9</v>
      </c>
      <c r="M273">
        <v>29.3</v>
      </c>
      <c r="N273">
        <v>30.1</v>
      </c>
      <c r="O273">
        <v>29</v>
      </c>
      <c r="P273">
        <v>28.7</v>
      </c>
      <c r="Q273">
        <v>30.1</v>
      </c>
      <c r="R273">
        <v>30.2</v>
      </c>
      <c r="S273">
        <v>31</v>
      </c>
      <c r="T273">
        <v>32.799999999999997</v>
      </c>
      <c r="U273">
        <v>32.299999999999997</v>
      </c>
      <c r="V273">
        <v>32.4</v>
      </c>
      <c r="W273">
        <v>35.700000000000003</v>
      </c>
      <c r="X273">
        <v>35.200000000000003</v>
      </c>
      <c r="Y273">
        <v>38.5</v>
      </c>
      <c r="Z273">
        <v>42.4</v>
      </c>
      <c r="AA273">
        <v>42.4</v>
      </c>
    </row>
    <row r="274" spans="1:27" x14ac:dyDescent="0.25">
      <c r="A274" s="21" t="s">
        <v>1724</v>
      </c>
      <c r="B274">
        <v>33.5</v>
      </c>
      <c r="C274">
        <v>32.700000000000003</v>
      </c>
      <c r="D274">
        <v>33</v>
      </c>
      <c r="E274">
        <v>34.799999999999997</v>
      </c>
      <c r="F274">
        <v>36.299999999999997</v>
      </c>
      <c r="G274">
        <v>37.1</v>
      </c>
      <c r="H274">
        <v>37.299999999999997</v>
      </c>
      <c r="I274">
        <v>38.6</v>
      </c>
      <c r="J274">
        <v>39.5</v>
      </c>
      <c r="K274">
        <v>40.200000000000003</v>
      </c>
      <c r="L274">
        <v>41.4</v>
      </c>
      <c r="M274">
        <v>41.6</v>
      </c>
      <c r="N274">
        <v>43.2</v>
      </c>
      <c r="O274">
        <v>43.3</v>
      </c>
      <c r="P274">
        <v>45.9</v>
      </c>
      <c r="Q274">
        <v>46.2</v>
      </c>
      <c r="R274">
        <v>46.9</v>
      </c>
      <c r="S274">
        <v>45.5</v>
      </c>
      <c r="T274">
        <v>41.4</v>
      </c>
      <c r="U274">
        <v>29.6</v>
      </c>
      <c r="V274">
        <v>31.4</v>
      </c>
      <c r="W274">
        <v>32.200000000000003</v>
      </c>
      <c r="X274">
        <v>35.299999999999997</v>
      </c>
      <c r="Y274">
        <v>36.4</v>
      </c>
      <c r="Z274">
        <v>39.4</v>
      </c>
      <c r="AA274">
        <v>39.9</v>
      </c>
    </row>
    <row r="275" spans="1:27" x14ac:dyDescent="0.25">
      <c r="A275" s="21" t="s">
        <v>1725</v>
      </c>
      <c r="B275">
        <v>21.3</v>
      </c>
      <c r="C275">
        <v>22.7</v>
      </c>
      <c r="D275">
        <v>23.3</v>
      </c>
      <c r="E275">
        <v>24.3</v>
      </c>
      <c r="F275">
        <v>26.2</v>
      </c>
      <c r="G275">
        <v>27.6</v>
      </c>
      <c r="H275">
        <v>28.7</v>
      </c>
      <c r="I275">
        <v>30.1</v>
      </c>
      <c r="J275">
        <v>30.4</v>
      </c>
      <c r="K275">
        <v>31.9</v>
      </c>
      <c r="L275">
        <v>31.1</v>
      </c>
      <c r="M275">
        <v>27.2</v>
      </c>
      <c r="N275">
        <v>28.3</v>
      </c>
      <c r="O275">
        <v>28</v>
      </c>
      <c r="P275">
        <v>30.2</v>
      </c>
      <c r="Q275">
        <v>27</v>
      </c>
      <c r="R275">
        <v>27.2</v>
      </c>
      <c r="S275">
        <v>27.6</v>
      </c>
      <c r="T275">
        <v>24.4</v>
      </c>
      <c r="U275">
        <v>23.4</v>
      </c>
      <c r="V275">
        <v>27.3</v>
      </c>
      <c r="W275">
        <v>26.3</v>
      </c>
      <c r="X275">
        <v>26.5</v>
      </c>
      <c r="Y275">
        <v>26.4</v>
      </c>
      <c r="Z275">
        <v>26.5</v>
      </c>
      <c r="AA275">
        <v>28.1</v>
      </c>
    </row>
    <row r="276" spans="1:27" x14ac:dyDescent="0.25">
      <c r="A276" s="21" t="s">
        <v>1726</v>
      </c>
      <c r="B276">
        <v>11.7</v>
      </c>
      <c r="C276">
        <v>11.5</v>
      </c>
      <c r="D276">
        <v>11.9</v>
      </c>
      <c r="E276">
        <v>12.3</v>
      </c>
      <c r="F276">
        <v>12.7</v>
      </c>
      <c r="G276">
        <v>13.5</v>
      </c>
      <c r="H276">
        <v>14.2</v>
      </c>
      <c r="I276">
        <v>14.5</v>
      </c>
      <c r="J276">
        <v>14.8</v>
      </c>
      <c r="K276">
        <v>14.4</v>
      </c>
      <c r="L276">
        <v>14.3</v>
      </c>
      <c r="M276">
        <v>13.7</v>
      </c>
      <c r="N276">
        <v>13.2</v>
      </c>
      <c r="O276">
        <v>13.9</v>
      </c>
      <c r="P276">
        <v>14.6</v>
      </c>
      <c r="Q276">
        <v>14.6</v>
      </c>
      <c r="R276">
        <v>15.2</v>
      </c>
      <c r="S276">
        <v>14.7</v>
      </c>
      <c r="T276">
        <v>14.5</v>
      </c>
      <c r="U276">
        <v>11.4</v>
      </c>
      <c r="V276">
        <v>13.4</v>
      </c>
      <c r="W276">
        <v>14</v>
      </c>
      <c r="X276">
        <v>13.8</v>
      </c>
      <c r="Y276">
        <v>14</v>
      </c>
      <c r="Z276">
        <v>14.2</v>
      </c>
      <c r="AA276">
        <v>13.3</v>
      </c>
    </row>
    <row r="277" spans="1:27" x14ac:dyDescent="0.25">
      <c r="A277" s="21" t="s">
        <v>1727</v>
      </c>
      <c r="B277">
        <v>4.9000000000000004</v>
      </c>
      <c r="C277">
        <v>4.3</v>
      </c>
      <c r="D277">
        <v>4.3</v>
      </c>
      <c r="E277">
        <v>3.9</v>
      </c>
      <c r="F277">
        <v>4.3</v>
      </c>
      <c r="G277">
        <v>6.2</v>
      </c>
      <c r="H277">
        <v>6.8</v>
      </c>
      <c r="I277">
        <v>6.4</v>
      </c>
      <c r="J277">
        <v>6.7</v>
      </c>
      <c r="K277">
        <v>7.6</v>
      </c>
      <c r="L277">
        <v>4.7</v>
      </c>
      <c r="M277">
        <v>4.7</v>
      </c>
      <c r="N277">
        <v>5.0999999999999996</v>
      </c>
      <c r="O277">
        <v>3.7</v>
      </c>
      <c r="P277">
        <v>5.6</v>
      </c>
      <c r="Q277">
        <v>6.3</v>
      </c>
      <c r="R277">
        <v>7.3</v>
      </c>
      <c r="S277">
        <v>7.4</v>
      </c>
      <c r="T277">
        <v>5.9</v>
      </c>
      <c r="U277">
        <v>7.6</v>
      </c>
      <c r="V277">
        <v>9.6</v>
      </c>
      <c r="W277">
        <v>9.3000000000000007</v>
      </c>
      <c r="X277">
        <v>8</v>
      </c>
      <c r="Y277">
        <v>10.4</v>
      </c>
      <c r="Z277">
        <v>11.8</v>
      </c>
      <c r="AA277">
        <v>11.2</v>
      </c>
    </row>
    <row r="278" spans="1:27" x14ac:dyDescent="0.25">
      <c r="A278" s="21" t="s">
        <v>1728</v>
      </c>
      <c r="B278">
        <v>13</v>
      </c>
      <c r="C278">
        <v>13.3</v>
      </c>
      <c r="D278">
        <v>13.7</v>
      </c>
      <c r="E278">
        <v>13.2</v>
      </c>
      <c r="F278">
        <v>14.2</v>
      </c>
      <c r="G278">
        <v>13.5</v>
      </c>
      <c r="H278">
        <v>13.8</v>
      </c>
      <c r="I278">
        <v>14</v>
      </c>
      <c r="J278">
        <v>14.1</v>
      </c>
      <c r="K278">
        <v>12.9</v>
      </c>
      <c r="L278">
        <v>12.2</v>
      </c>
      <c r="M278">
        <v>9.1999999999999993</v>
      </c>
      <c r="N278">
        <v>10.5</v>
      </c>
      <c r="O278">
        <v>8.8000000000000007</v>
      </c>
      <c r="P278">
        <v>9.6</v>
      </c>
      <c r="Q278">
        <v>9.1999999999999993</v>
      </c>
      <c r="R278">
        <v>8.8000000000000007</v>
      </c>
      <c r="S278">
        <v>9.1</v>
      </c>
      <c r="T278">
        <v>8.4</v>
      </c>
      <c r="U278">
        <v>8.5</v>
      </c>
      <c r="V278">
        <v>9.1999999999999993</v>
      </c>
      <c r="W278">
        <v>9.3000000000000007</v>
      </c>
      <c r="X278">
        <v>9.4</v>
      </c>
      <c r="Y278">
        <v>10</v>
      </c>
      <c r="Z278">
        <v>9.6</v>
      </c>
      <c r="AA278">
        <v>10.8</v>
      </c>
    </row>
    <row r="279" spans="1:27" x14ac:dyDescent="0.25">
      <c r="A279" s="21" t="s">
        <v>1729</v>
      </c>
      <c r="B279">
        <v>8</v>
      </c>
      <c r="C279">
        <v>8</v>
      </c>
      <c r="D279">
        <v>9.5</v>
      </c>
      <c r="E279">
        <v>9.8000000000000007</v>
      </c>
      <c r="F279">
        <v>10.8</v>
      </c>
      <c r="G279">
        <v>11.3</v>
      </c>
      <c r="H279">
        <v>11.9</v>
      </c>
      <c r="I279">
        <v>11.8</v>
      </c>
      <c r="J279">
        <v>10.8</v>
      </c>
      <c r="K279">
        <v>11</v>
      </c>
      <c r="L279">
        <v>11.1</v>
      </c>
      <c r="M279">
        <v>11.4</v>
      </c>
      <c r="N279">
        <v>11.8</v>
      </c>
      <c r="O279">
        <v>12.1</v>
      </c>
      <c r="P279">
        <v>12.4</v>
      </c>
      <c r="Q279">
        <v>12.5</v>
      </c>
      <c r="R279">
        <v>12.5</v>
      </c>
      <c r="S279">
        <v>12.7</v>
      </c>
      <c r="T279">
        <v>11.9</v>
      </c>
      <c r="U279">
        <v>11.3</v>
      </c>
      <c r="V279">
        <v>11</v>
      </c>
      <c r="W279">
        <v>10.6</v>
      </c>
      <c r="X279">
        <v>10.4</v>
      </c>
      <c r="Y279">
        <v>10.4</v>
      </c>
      <c r="Z279">
        <v>10.6</v>
      </c>
      <c r="AA279">
        <v>10.7</v>
      </c>
    </row>
    <row r="280" spans="1:27" x14ac:dyDescent="0.25">
      <c r="A280" s="21" t="s">
        <v>1730</v>
      </c>
      <c r="B280">
        <v>2.4</v>
      </c>
      <c r="C280">
        <v>2.2999999999999998</v>
      </c>
      <c r="D280">
        <v>2.4</v>
      </c>
      <c r="E280">
        <v>2.6</v>
      </c>
      <c r="F280">
        <v>2.7</v>
      </c>
      <c r="G280">
        <v>2.7</v>
      </c>
      <c r="H280">
        <v>2.6</v>
      </c>
      <c r="I280">
        <v>2.7</v>
      </c>
      <c r="J280">
        <v>2.9</v>
      </c>
      <c r="K280">
        <v>3</v>
      </c>
      <c r="L280">
        <v>3.2</v>
      </c>
      <c r="M280">
        <v>3.4</v>
      </c>
      <c r="N280">
        <v>3.6</v>
      </c>
      <c r="O280">
        <v>3.7</v>
      </c>
      <c r="P280">
        <v>3.7</v>
      </c>
      <c r="Q280">
        <v>3.5</v>
      </c>
      <c r="R280">
        <v>3.7</v>
      </c>
      <c r="S280">
        <v>3.8</v>
      </c>
      <c r="T280">
        <v>3.6</v>
      </c>
      <c r="U280">
        <v>3.6</v>
      </c>
      <c r="V280">
        <v>3.8</v>
      </c>
      <c r="W280">
        <v>4.0999999999999996</v>
      </c>
      <c r="X280">
        <v>4.3</v>
      </c>
      <c r="Y280">
        <v>4.5</v>
      </c>
      <c r="Z280">
        <v>4.8</v>
      </c>
      <c r="AA280">
        <v>5</v>
      </c>
    </row>
    <row r="281" spans="1:27" x14ac:dyDescent="0.25">
      <c r="A281" s="21" t="s">
        <v>1731</v>
      </c>
      <c r="B281">
        <v>1.5</v>
      </c>
      <c r="C281">
        <v>1.5</v>
      </c>
      <c r="D281">
        <v>1.5</v>
      </c>
      <c r="E281">
        <v>1.5</v>
      </c>
      <c r="F281">
        <v>1.5</v>
      </c>
      <c r="G281">
        <v>1.5</v>
      </c>
      <c r="H281">
        <v>1.5</v>
      </c>
      <c r="I281">
        <v>1.5</v>
      </c>
      <c r="J281">
        <v>1.5</v>
      </c>
      <c r="K281">
        <v>1.5</v>
      </c>
      <c r="L281">
        <v>1.5</v>
      </c>
      <c r="M281">
        <v>0.9</v>
      </c>
      <c r="N281">
        <v>1</v>
      </c>
      <c r="O281">
        <v>1.4</v>
      </c>
      <c r="P281">
        <v>1.3</v>
      </c>
      <c r="Q281">
        <v>1.4</v>
      </c>
      <c r="R281">
        <v>1.8</v>
      </c>
      <c r="S281">
        <v>1.9</v>
      </c>
      <c r="T281">
        <v>1.8</v>
      </c>
      <c r="U281">
        <v>1.8</v>
      </c>
      <c r="V281">
        <v>4.4000000000000004</v>
      </c>
      <c r="W281">
        <v>4.0999999999999996</v>
      </c>
      <c r="X281">
        <v>4</v>
      </c>
      <c r="Y281">
        <v>4.2</v>
      </c>
      <c r="Z281">
        <v>4.5</v>
      </c>
      <c r="AA281">
        <v>4.3</v>
      </c>
    </row>
    <row r="282" spans="1:27" x14ac:dyDescent="0.25">
      <c r="A282" s="21" t="s">
        <v>1732</v>
      </c>
      <c r="B282">
        <v>4.7</v>
      </c>
      <c r="C282">
        <v>5</v>
      </c>
      <c r="D282">
        <v>4.4000000000000004</v>
      </c>
      <c r="E282">
        <v>3.8</v>
      </c>
      <c r="F282">
        <v>4.0999999999999996</v>
      </c>
      <c r="G282">
        <v>4.4000000000000004</v>
      </c>
      <c r="H282">
        <v>4.4000000000000004</v>
      </c>
      <c r="I282">
        <v>4.3</v>
      </c>
      <c r="J282">
        <v>4.7</v>
      </c>
      <c r="K282">
        <v>4.5</v>
      </c>
      <c r="L282">
        <v>4.3</v>
      </c>
      <c r="M282">
        <v>4.4000000000000004</v>
      </c>
      <c r="N282">
        <v>5</v>
      </c>
      <c r="O282">
        <v>4.5999999999999996</v>
      </c>
      <c r="P282">
        <v>3.9</v>
      </c>
      <c r="Q282">
        <v>4.3</v>
      </c>
      <c r="R282">
        <v>4.2</v>
      </c>
      <c r="S282">
        <v>4.5</v>
      </c>
      <c r="T282">
        <v>5</v>
      </c>
      <c r="U282">
        <v>3.7</v>
      </c>
      <c r="V282">
        <v>4.8</v>
      </c>
      <c r="W282">
        <v>3.9</v>
      </c>
      <c r="X282">
        <v>6</v>
      </c>
      <c r="Y282">
        <v>3.9</v>
      </c>
      <c r="Z282">
        <v>3.6</v>
      </c>
      <c r="AA282">
        <v>3.8</v>
      </c>
    </row>
    <row r="283" spans="1:27" x14ac:dyDescent="0.25">
      <c r="A283" s="21" t="s">
        <v>1733</v>
      </c>
      <c r="B283">
        <v>3.6</v>
      </c>
      <c r="C283">
        <v>3.5</v>
      </c>
      <c r="D283">
        <v>3.6</v>
      </c>
      <c r="E283">
        <v>3.6</v>
      </c>
      <c r="F283">
        <v>3.6</v>
      </c>
      <c r="G283">
        <v>3.7</v>
      </c>
      <c r="H283">
        <v>3.7</v>
      </c>
      <c r="I283">
        <v>3.8</v>
      </c>
      <c r="J283">
        <v>3.9</v>
      </c>
      <c r="K283">
        <v>3.8</v>
      </c>
      <c r="L283">
        <v>3.9</v>
      </c>
      <c r="M283">
        <v>3.9</v>
      </c>
      <c r="N283">
        <v>3.9</v>
      </c>
      <c r="O283">
        <v>4</v>
      </c>
      <c r="P283">
        <v>4</v>
      </c>
      <c r="Q283">
        <v>3.9</v>
      </c>
      <c r="R283">
        <v>3.9</v>
      </c>
      <c r="S283">
        <v>3.9</v>
      </c>
      <c r="T283">
        <v>3.8</v>
      </c>
      <c r="U283">
        <v>3.7</v>
      </c>
      <c r="V283">
        <v>4.2</v>
      </c>
      <c r="W283">
        <v>4.2</v>
      </c>
      <c r="X283">
        <v>3.9</v>
      </c>
      <c r="Y283">
        <v>3.7</v>
      </c>
      <c r="Z283">
        <v>3.6</v>
      </c>
      <c r="AA283">
        <v>3.6</v>
      </c>
    </row>
    <row r="284" spans="1:27" x14ac:dyDescent="0.25">
      <c r="A284" s="21" t="s">
        <v>1734</v>
      </c>
      <c r="B284">
        <v>2.8</v>
      </c>
      <c r="C284">
        <v>2.8</v>
      </c>
      <c r="D284">
        <v>2.8</v>
      </c>
      <c r="E284">
        <v>2.7</v>
      </c>
      <c r="F284">
        <v>2.7</v>
      </c>
      <c r="G284">
        <v>3</v>
      </c>
      <c r="H284">
        <v>3</v>
      </c>
      <c r="I284">
        <v>3.1</v>
      </c>
      <c r="J284">
        <v>3</v>
      </c>
      <c r="K284">
        <v>2.9</v>
      </c>
      <c r="L284">
        <v>2.9</v>
      </c>
      <c r="M284">
        <v>2.9</v>
      </c>
      <c r="N284">
        <v>2.8</v>
      </c>
      <c r="O284">
        <v>2.8</v>
      </c>
      <c r="P284">
        <v>2.9</v>
      </c>
      <c r="Q284">
        <v>3</v>
      </c>
      <c r="R284">
        <v>2.9</v>
      </c>
      <c r="S284">
        <v>2.9</v>
      </c>
      <c r="T284">
        <v>3</v>
      </c>
      <c r="U284">
        <v>2.6</v>
      </c>
      <c r="V284">
        <v>2.7</v>
      </c>
      <c r="W284">
        <v>2.7</v>
      </c>
      <c r="X284">
        <v>2.8</v>
      </c>
      <c r="Y284">
        <v>2.8</v>
      </c>
      <c r="Z284">
        <v>2.8</v>
      </c>
      <c r="AA284">
        <v>2.8</v>
      </c>
    </row>
    <row r="285" spans="1:27" x14ac:dyDescent="0.25">
      <c r="A285" s="21" t="s">
        <v>1735</v>
      </c>
      <c r="B285">
        <v>6.8</v>
      </c>
      <c r="C285">
        <v>6.9</v>
      </c>
      <c r="D285">
        <v>6.8</v>
      </c>
      <c r="E285">
        <v>6.2</v>
      </c>
      <c r="F285">
        <v>5.5</v>
      </c>
      <c r="G285">
        <v>5.7</v>
      </c>
      <c r="H285">
        <v>6</v>
      </c>
      <c r="I285">
        <v>6</v>
      </c>
      <c r="J285">
        <v>6.2</v>
      </c>
      <c r="K285">
        <v>6.3</v>
      </c>
      <c r="L285">
        <v>6.1</v>
      </c>
      <c r="M285">
        <v>4.4000000000000004</v>
      </c>
      <c r="N285">
        <v>4.5</v>
      </c>
      <c r="O285">
        <v>4.5</v>
      </c>
      <c r="P285">
        <v>4.2</v>
      </c>
      <c r="Q285">
        <v>4.0999999999999996</v>
      </c>
      <c r="R285">
        <v>3.8</v>
      </c>
      <c r="S285">
        <v>4.3</v>
      </c>
      <c r="T285">
        <v>4.5</v>
      </c>
      <c r="U285">
        <v>3</v>
      </c>
      <c r="V285">
        <v>2.7</v>
      </c>
      <c r="W285">
        <v>3.3</v>
      </c>
      <c r="X285">
        <v>3.4</v>
      </c>
      <c r="Y285">
        <v>3.3</v>
      </c>
      <c r="Z285">
        <v>2.8</v>
      </c>
      <c r="AA285">
        <v>2.8</v>
      </c>
    </row>
    <row r="286" spans="1:27" x14ac:dyDescent="0.25">
      <c r="A286" s="21" t="s">
        <v>1736</v>
      </c>
      <c r="B286">
        <v>2.2000000000000002</v>
      </c>
      <c r="C286">
        <v>1.9</v>
      </c>
      <c r="D286">
        <v>2</v>
      </c>
      <c r="E286">
        <v>1.9</v>
      </c>
      <c r="F286">
        <v>2</v>
      </c>
      <c r="G286">
        <v>2</v>
      </c>
      <c r="H286">
        <v>2.1</v>
      </c>
      <c r="I286">
        <v>2.2000000000000002</v>
      </c>
      <c r="J286">
        <v>2.2000000000000002</v>
      </c>
      <c r="K286">
        <v>2.2000000000000002</v>
      </c>
      <c r="L286">
        <v>1.9</v>
      </c>
      <c r="M286">
        <v>1.5</v>
      </c>
      <c r="N286">
        <v>1.3</v>
      </c>
      <c r="O286">
        <v>1.3</v>
      </c>
      <c r="P286">
        <v>1.4</v>
      </c>
      <c r="Q286">
        <v>1.4</v>
      </c>
      <c r="R286">
        <v>1.5</v>
      </c>
      <c r="S286">
        <v>1.6</v>
      </c>
      <c r="T286">
        <v>1.6</v>
      </c>
      <c r="U286">
        <v>1.5</v>
      </c>
      <c r="V286">
        <v>1.7</v>
      </c>
      <c r="W286">
        <v>1.7</v>
      </c>
      <c r="X286">
        <v>1.9</v>
      </c>
      <c r="Y286">
        <v>1.8</v>
      </c>
      <c r="Z286">
        <v>1.9</v>
      </c>
      <c r="AA286">
        <v>2</v>
      </c>
    </row>
    <row r="287" spans="1:27" x14ac:dyDescent="0.25">
      <c r="A287" s="21" t="s">
        <v>1737</v>
      </c>
      <c r="B287">
        <v>1.2</v>
      </c>
      <c r="C287">
        <v>1.2</v>
      </c>
      <c r="D287">
        <v>1.4</v>
      </c>
      <c r="E287">
        <v>1.4</v>
      </c>
      <c r="F287">
        <v>1.5</v>
      </c>
      <c r="G287">
        <v>1.5</v>
      </c>
      <c r="H287">
        <v>1.5</v>
      </c>
      <c r="I287">
        <v>1.7</v>
      </c>
      <c r="J287">
        <v>1.7</v>
      </c>
      <c r="K287">
        <v>1.7</v>
      </c>
      <c r="L287">
        <v>1.8</v>
      </c>
      <c r="M287">
        <v>1.7</v>
      </c>
      <c r="N287">
        <v>1.8</v>
      </c>
      <c r="O287">
        <v>1.8</v>
      </c>
      <c r="P287">
        <v>2.1</v>
      </c>
      <c r="Q287">
        <v>1.8</v>
      </c>
      <c r="R287">
        <v>1.8</v>
      </c>
      <c r="S287">
        <v>1.9</v>
      </c>
      <c r="T287">
        <v>1.8</v>
      </c>
      <c r="U287">
        <v>1.6</v>
      </c>
      <c r="V287">
        <v>1.8</v>
      </c>
      <c r="W287">
        <v>1.7</v>
      </c>
      <c r="X287">
        <v>1.5</v>
      </c>
      <c r="Y287">
        <v>1.7</v>
      </c>
      <c r="Z287">
        <v>1.7</v>
      </c>
      <c r="AA287">
        <v>1.6</v>
      </c>
    </row>
    <row r="288" spans="1:27" x14ac:dyDescent="0.25">
      <c r="A288" s="21" t="s">
        <v>1738</v>
      </c>
      <c r="B288">
        <v>1.5</v>
      </c>
      <c r="C288">
        <v>1.4</v>
      </c>
      <c r="D288">
        <v>1.5</v>
      </c>
      <c r="E288">
        <v>1.6</v>
      </c>
      <c r="F288">
        <v>1.7</v>
      </c>
      <c r="G288">
        <v>1.8</v>
      </c>
      <c r="H288">
        <v>1.7</v>
      </c>
      <c r="I288">
        <v>1.6</v>
      </c>
      <c r="J288">
        <v>1.5</v>
      </c>
      <c r="K288">
        <v>1.4</v>
      </c>
      <c r="L288">
        <v>1.7</v>
      </c>
      <c r="M288">
        <v>1.4</v>
      </c>
      <c r="N288">
        <v>1.7</v>
      </c>
      <c r="O288">
        <v>1.6</v>
      </c>
      <c r="P288">
        <v>1.6</v>
      </c>
      <c r="Q288">
        <v>1.9</v>
      </c>
      <c r="R288">
        <v>2.1</v>
      </c>
      <c r="S288">
        <v>1.5</v>
      </c>
      <c r="T288">
        <v>1.5</v>
      </c>
      <c r="U288">
        <v>1</v>
      </c>
      <c r="V288">
        <v>1.5</v>
      </c>
      <c r="W288">
        <v>1.3</v>
      </c>
      <c r="X288">
        <v>1.2</v>
      </c>
      <c r="Y288">
        <v>1.3</v>
      </c>
      <c r="Z288">
        <v>1.3</v>
      </c>
      <c r="AA288">
        <v>1.3</v>
      </c>
    </row>
    <row r="289" spans="1:27" ht="24" x14ac:dyDescent="0.25">
      <c r="A289" s="21" t="s">
        <v>1739</v>
      </c>
      <c r="B289">
        <v>3.8</v>
      </c>
      <c r="C289">
        <v>3.5</v>
      </c>
      <c r="D289">
        <v>3.9</v>
      </c>
      <c r="E289">
        <v>4.5999999999999996</v>
      </c>
      <c r="F289">
        <v>4.3</v>
      </c>
      <c r="G289">
        <v>4.3</v>
      </c>
      <c r="H289">
        <v>3.9</v>
      </c>
      <c r="I289">
        <v>3.9</v>
      </c>
      <c r="J289">
        <v>4.8</v>
      </c>
      <c r="K289">
        <v>4.7</v>
      </c>
      <c r="L289">
        <v>4.2</v>
      </c>
      <c r="M289">
        <v>4.0999999999999996</v>
      </c>
      <c r="N289">
        <v>3.7</v>
      </c>
      <c r="O289">
        <v>3.6</v>
      </c>
      <c r="P289">
        <v>3.7</v>
      </c>
      <c r="Q289">
        <v>3.7</v>
      </c>
      <c r="R289">
        <v>3.5</v>
      </c>
      <c r="S289">
        <v>4.9000000000000004</v>
      </c>
      <c r="T289">
        <v>4.0999999999999996</v>
      </c>
      <c r="U289">
        <v>3.4</v>
      </c>
      <c r="V289">
        <v>4.7</v>
      </c>
      <c r="W289">
        <v>4</v>
      </c>
      <c r="X289">
        <v>4.4000000000000004</v>
      </c>
      <c r="Y289">
        <v>4</v>
      </c>
      <c r="Z289">
        <v>1.4</v>
      </c>
      <c r="AA289">
        <v>1.1000000000000001</v>
      </c>
    </row>
    <row r="290" spans="1:27" x14ac:dyDescent="0.25">
      <c r="A290" s="21" t="s">
        <v>1740</v>
      </c>
      <c r="B290">
        <v>1.5</v>
      </c>
      <c r="C290">
        <v>1.4</v>
      </c>
      <c r="D290">
        <v>1.5</v>
      </c>
      <c r="E290">
        <v>1.3</v>
      </c>
      <c r="F290">
        <v>1.5</v>
      </c>
      <c r="G290">
        <v>1.5</v>
      </c>
      <c r="H290">
        <v>1.6</v>
      </c>
      <c r="I290">
        <v>1.5</v>
      </c>
      <c r="J290">
        <v>1.6</v>
      </c>
      <c r="K290">
        <v>1.5</v>
      </c>
      <c r="L290">
        <v>1.4</v>
      </c>
      <c r="M290">
        <v>1.3</v>
      </c>
      <c r="N290">
        <v>1.3</v>
      </c>
      <c r="O290">
        <v>1.4</v>
      </c>
      <c r="P290">
        <v>1.4</v>
      </c>
      <c r="Q290">
        <v>1.3</v>
      </c>
      <c r="R290">
        <v>1.2</v>
      </c>
      <c r="S290">
        <v>1.2</v>
      </c>
      <c r="T290">
        <v>1.1000000000000001</v>
      </c>
      <c r="U290">
        <v>1</v>
      </c>
      <c r="V290">
        <v>1.1000000000000001</v>
      </c>
      <c r="W290">
        <v>1.2</v>
      </c>
      <c r="X290">
        <v>1.1000000000000001</v>
      </c>
      <c r="Y290">
        <v>1.1000000000000001</v>
      </c>
      <c r="Z290">
        <v>1</v>
      </c>
      <c r="AA290">
        <v>1</v>
      </c>
    </row>
    <row r="291" spans="1:27" x14ac:dyDescent="0.25">
      <c r="A291" s="21" t="s">
        <v>1741</v>
      </c>
      <c r="B291">
        <v>0.6</v>
      </c>
      <c r="C291">
        <v>0.8</v>
      </c>
      <c r="D291">
        <v>0.8</v>
      </c>
      <c r="E291">
        <v>0.9</v>
      </c>
      <c r="F291">
        <v>0.9</v>
      </c>
      <c r="G291">
        <v>0.9</v>
      </c>
      <c r="H291">
        <v>0.9</v>
      </c>
      <c r="I291">
        <v>1</v>
      </c>
      <c r="J291">
        <v>0.9</v>
      </c>
      <c r="K291">
        <v>0.9</v>
      </c>
      <c r="L291">
        <v>0.9</v>
      </c>
      <c r="M291">
        <v>0.7</v>
      </c>
      <c r="N291">
        <v>0.7</v>
      </c>
      <c r="O291">
        <v>1.1000000000000001</v>
      </c>
      <c r="P291">
        <v>1</v>
      </c>
      <c r="Q291">
        <v>1</v>
      </c>
      <c r="R291">
        <v>1</v>
      </c>
      <c r="S291">
        <v>1</v>
      </c>
      <c r="T291">
        <v>1.2</v>
      </c>
      <c r="U291">
        <v>0.9</v>
      </c>
      <c r="V291">
        <v>1.2</v>
      </c>
      <c r="W291">
        <v>1.3</v>
      </c>
      <c r="X291">
        <v>1.5</v>
      </c>
      <c r="Y291">
        <v>1.4</v>
      </c>
      <c r="Z291">
        <v>1</v>
      </c>
      <c r="AA291">
        <v>0.9</v>
      </c>
    </row>
    <row r="292" spans="1:27" x14ac:dyDescent="0.25">
      <c r="A292" s="21" t="s">
        <v>1742</v>
      </c>
      <c r="B292">
        <v>0.5</v>
      </c>
      <c r="C292">
        <v>0.5</v>
      </c>
      <c r="D292">
        <v>0.5</v>
      </c>
      <c r="E292">
        <v>0.5</v>
      </c>
      <c r="F292">
        <v>0.5</v>
      </c>
      <c r="G292">
        <v>0.6</v>
      </c>
      <c r="H292">
        <v>0.6</v>
      </c>
      <c r="I292">
        <v>0.6</v>
      </c>
      <c r="J292">
        <v>0.6</v>
      </c>
      <c r="K292">
        <v>0.6</v>
      </c>
      <c r="L292">
        <v>0.6</v>
      </c>
      <c r="M292">
        <v>0.6</v>
      </c>
      <c r="N292">
        <v>0.6</v>
      </c>
      <c r="O292">
        <v>0.6</v>
      </c>
      <c r="P292">
        <v>0.5</v>
      </c>
      <c r="Q292">
        <v>0.6</v>
      </c>
      <c r="R292">
        <v>0.6</v>
      </c>
      <c r="S292">
        <v>0.6</v>
      </c>
      <c r="T292">
        <v>0.5</v>
      </c>
      <c r="U292">
        <v>0.5</v>
      </c>
      <c r="V292">
        <v>0.5</v>
      </c>
      <c r="W292">
        <v>0.5</v>
      </c>
      <c r="X292">
        <v>0.5</v>
      </c>
      <c r="Y292">
        <v>0.5</v>
      </c>
      <c r="Z292">
        <v>0.5</v>
      </c>
      <c r="AA292">
        <v>0.5</v>
      </c>
    </row>
    <row r="293" spans="1:27" x14ac:dyDescent="0.25">
      <c r="A293" s="21" t="s">
        <v>1743</v>
      </c>
      <c r="B293">
        <v>0.4</v>
      </c>
      <c r="C293">
        <v>0.3</v>
      </c>
      <c r="D293">
        <v>0.3</v>
      </c>
      <c r="E293">
        <v>0.3</v>
      </c>
      <c r="F293">
        <v>0.3</v>
      </c>
      <c r="G293">
        <v>0.3</v>
      </c>
      <c r="H293">
        <v>0.3</v>
      </c>
      <c r="I293">
        <v>0.3</v>
      </c>
      <c r="J293">
        <v>0.4</v>
      </c>
      <c r="K293">
        <v>0.3</v>
      </c>
      <c r="L293">
        <v>0.2</v>
      </c>
      <c r="M293">
        <v>0.2</v>
      </c>
      <c r="N293">
        <v>0.2</v>
      </c>
      <c r="O293">
        <v>0.2</v>
      </c>
      <c r="P293">
        <v>0.2</v>
      </c>
      <c r="Q293">
        <v>0.2</v>
      </c>
      <c r="R293">
        <v>0.2</v>
      </c>
      <c r="S293">
        <v>0.2</v>
      </c>
      <c r="T293">
        <v>0.2</v>
      </c>
      <c r="U293">
        <v>0.1</v>
      </c>
      <c r="V293">
        <v>0.2</v>
      </c>
      <c r="W293">
        <v>0.2</v>
      </c>
      <c r="X293">
        <v>0.2</v>
      </c>
      <c r="Y293">
        <v>0.2</v>
      </c>
      <c r="Z293">
        <v>0.2</v>
      </c>
      <c r="AA293">
        <v>0.2</v>
      </c>
    </row>
    <row r="294" spans="1:27" x14ac:dyDescent="0.25">
      <c r="A294" s="21" t="s">
        <v>1744</v>
      </c>
      <c r="B294">
        <v>0</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row>
    <row r="295" spans="1:27" ht="24" x14ac:dyDescent="0.25">
      <c r="A295" s="31" t="s">
        <v>1745</v>
      </c>
      <c r="B295">
        <v>219.4</v>
      </c>
      <c r="C295">
        <v>220.2</v>
      </c>
      <c r="D295">
        <v>230.6</v>
      </c>
      <c r="E295">
        <v>225.8</v>
      </c>
      <c r="F295">
        <v>232.3</v>
      </c>
      <c r="G295">
        <v>236.9</v>
      </c>
      <c r="H295">
        <v>241.3</v>
      </c>
      <c r="I295">
        <v>235.6</v>
      </c>
      <c r="J295">
        <v>218.2</v>
      </c>
      <c r="K295">
        <v>221.5</v>
      </c>
      <c r="L295">
        <v>227.4</v>
      </c>
      <c r="M295">
        <v>203.4</v>
      </c>
      <c r="N295">
        <v>204.7</v>
      </c>
      <c r="O295">
        <v>209.9</v>
      </c>
      <c r="P295">
        <v>225.4</v>
      </c>
      <c r="Q295">
        <v>230.7</v>
      </c>
      <c r="R295">
        <v>236.3</v>
      </c>
      <c r="S295">
        <v>244.6</v>
      </c>
      <c r="T295">
        <v>257.5</v>
      </c>
      <c r="U295">
        <v>253.5</v>
      </c>
      <c r="V295">
        <v>267.60000000000002</v>
      </c>
      <c r="W295">
        <v>276.39999999999998</v>
      </c>
      <c r="X295">
        <v>276.2</v>
      </c>
      <c r="Y295">
        <v>299.8</v>
      </c>
      <c r="Z295">
        <v>307.10000000000002</v>
      </c>
      <c r="AA295">
        <v>291.7</v>
      </c>
    </row>
    <row r="296" spans="1:27" x14ac:dyDescent="0.25">
      <c r="A296" s="31" t="s">
        <v>1746</v>
      </c>
      <c r="B296">
        <v>103.5</v>
      </c>
      <c r="C296">
        <v>117.6</v>
      </c>
      <c r="D296">
        <v>107.9</v>
      </c>
      <c r="E296">
        <v>97.8</v>
      </c>
      <c r="F296">
        <v>96.7</v>
      </c>
      <c r="G296">
        <v>98.5</v>
      </c>
      <c r="H296">
        <v>99.7</v>
      </c>
      <c r="I296">
        <v>107</v>
      </c>
      <c r="J296">
        <v>110.5</v>
      </c>
      <c r="K296">
        <v>102.7</v>
      </c>
      <c r="L296">
        <v>101.7</v>
      </c>
      <c r="M296">
        <v>93.7</v>
      </c>
      <c r="N296">
        <v>94.4</v>
      </c>
      <c r="O296">
        <v>98.3</v>
      </c>
      <c r="P296">
        <v>108.4</v>
      </c>
      <c r="Q296">
        <v>113.1</v>
      </c>
      <c r="R296">
        <v>114.1</v>
      </c>
      <c r="S296">
        <v>115.3</v>
      </c>
      <c r="T296">
        <v>114.3</v>
      </c>
      <c r="U296">
        <v>106.4</v>
      </c>
      <c r="V296">
        <v>117</v>
      </c>
      <c r="W296">
        <v>111.7</v>
      </c>
      <c r="X296">
        <v>105.8</v>
      </c>
      <c r="Y296">
        <v>99.8</v>
      </c>
      <c r="Z296">
        <v>103.2</v>
      </c>
      <c r="AA296">
        <v>110.8</v>
      </c>
    </row>
    <row r="297" spans="1:27" x14ac:dyDescent="0.25">
      <c r="A297" s="31" t="s">
        <v>1747</v>
      </c>
      <c r="B297">
        <v>780.8</v>
      </c>
      <c r="C297">
        <v>785.3</v>
      </c>
      <c r="D297">
        <v>784.3</v>
      </c>
      <c r="E297">
        <v>769.1</v>
      </c>
      <c r="F297">
        <v>772.9</v>
      </c>
      <c r="G297">
        <v>765.1</v>
      </c>
      <c r="H297">
        <v>756.5</v>
      </c>
      <c r="I297">
        <v>740.5</v>
      </c>
      <c r="J297">
        <v>725.8</v>
      </c>
      <c r="K297">
        <v>713.9</v>
      </c>
      <c r="L297">
        <v>704.2</v>
      </c>
      <c r="M297">
        <v>695.8</v>
      </c>
      <c r="N297">
        <v>684.2</v>
      </c>
      <c r="O297">
        <v>684.4</v>
      </c>
      <c r="P297">
        <v>675.8</v>
      </c>
      <c r="Q297">
        <v>680.9</v>
      </c>
      <c r="R297">
        <v>682.1</v>
      </c>
      <c r="S297">
        <v>686</v>
      </c>
      <c r="T297">
        <v>695.1</v>
      </c>
      <c r="U297">
        <v>690.4</v>
      </c>
      <c r="V297">
        <v>692.1</v>
      </c>
      <c r="W297">
        <v>672.1</v>
      </c>
      <c r="X297">
        <v>666.1</v>
      </c>
      <c r="Y297">
        <v>658.8</v>
      </c>
      <c r="Z297">
        <v>659.1</v>
      </c>
      <c r="AA297">
        <v>655.7</v>
      </c>
    </row>
    <row r="298" spans="1:27" x14ac:dyDescent="0.25">
      <c r="A298" s="21" t="s">
        <v>1748</v>
      </c>
      <c r="B298">
        <v>164.2</v>
      </c>
      <c r="C298">
        <v>164.4</v>
      </c>
      <c r="D298">
        <v>169.2</v>
      </c>
      <c r="E298">
        <v>171.6</v>
      </c>
      <c r="F298">
        <v>174.7</v>
      </c>
      <c r="G298">
        <v>178.7</v>
      </c>
      <c r="H298">
        <v>177.5</v>
      </c>
      <c r="I298">
        <v>174.1</v>
      </c>
      <c r="J298">
        <v>172.3</v>
      </c>
      <c r="K298">
        <v>172.4</v>
      </c>
      <c r="L298">
        <v>170.6</v>
      </c>
      <c r="M298">
        <v>169.6</v>
      </c>
      <c r="N298">
        <v>169.8</v>
      </c>
      <c r="O298">
        <v>170</v>
      </c>
      <c r="P298">
        <v>166.8</v>
      </c>
      <c r="Q298">
        <v>168.9</v>
      </c>
      <c r="R298">
        <v>171.6</v>
      </c>
      <c r="S298">
        <v>174.5</v>
      </c>
      <c r="T298">
        <v>173.8</v>
      </c>
      <c r="U298">
        <v>173</v>
      </c>
      <c r="V298">
        <v>171.3</v>
      </c>
      <c r="W298">
        <v>168.9</v>
      </c>
      <c r="X298">
        <v>166.7</v>
      </c>
      <c r="Y298">
        <v>165.5</v>
      </c>
      <c r="Z298">
        <v>164.2</v>
      </c>
      <c r="AA298">
        <v>166.5</v>
      </c>
    </row>
    <row r="299" spans="1:27" x14ac:dyDescent="0.25">
      <c r="A299" s="21" t="s">
        <v>1723</v>
      </c>
      <c r="B299">
        <v>194.1</v>
      </c>
      <c r="C299">
        <v>196.5</v>
      </c>
      <c r="D299">
        <v>195.3</v>
      </c>
      <c r="E299">
        <v>192.8</v>
      </c>
      <c r="F299">
        <v>192.3</v>
      </c>
      <c r="G299">
        <v>184.9</v>
      </c>
      <c r="H299">
        <v>181.8</v>
      </c>
      <c r="I299">
        <v>179.2</v>
      </c>
      <c r="J299">
        <v>174.5</v>
      </c>
      <c r="K299">
        <v>172.9</v>
      </c>
      <c r="L299">
        <v>169.7</v>
      </c>
      <c r="M299">
        <v>169.8</v>
      </c>
      <c r="N299">
        <v>163.4</v>
      </c>
      <c r="O299">
        <v>162.30000000000001</v>
      </c>
      <c r="P299">
        <v>160.19999999999999</v>
      </c>
      <c r="Q299">
        <v>159.69999999999999</v>
      </c>
      <c r="R299">
        <v>162.19999999999999</v>
      </c>
      <c r="S299">
        <v>159.80000000000001</v>
      </c>
      <c r="T299">
        <v>162.69999999999999</v>
      </c>
      <c r="U299">
        <v>156.1</v>
      </c>
      <c r="V299">
        <v>152.30000000000001</v>
      </c>
      <c r="W299">
        <v>154.5</v>
      </c>
      <c r="X299">
        <v>156.19999999999999</v>
      </c>
      <c r="Y299">
        <v>159.19999999999999</v>
      </c>
      <c r="Z299">
        <v>162.5</v>
      </c>
      <c r="AA299">
        <v>162.4</v>
      </c>
    </row>
    <row r="300" spans="1:27" x14ac:dyDescent="0.25">
      <c r="A300" s="21" t="s">
        <v>1749</v>
      </c>
      <c r="B300">
        <v>179.6</v>
      </c>
      <c r="C300">
        <v>181.7</v>
      </c>
      <c r="D300">
        <v>181.4</v>
      </c>
      <c r="E300">
        <v>179.2</v>
      </c>
      <c r="F300">
        <v>179</v>
      </c>
      <c r="G300">
        <v>174.2</v>
      </c>
      <c r="H300">
        <v>170.6</v>
      </c>
      <c r="I300">
        <v>161.1</v>
      </c>
      <c r="J300">
        <v>151.4</v>
      </c>
      <c r="K300">
        <v>144.69999999999999</v>
      </c>
      <c r="L300">
        <v>141.4</v>
      </c>
      <c r="M300">
        <v>136.80000000000001</v>
      </c>
      <c r="N300">
        <v>134.9</v>
      </c>
      <c r="O300">
        <v>137.4</v>
      </c>
      <c r="P300">
        <v>134.9</v>
      </c>
      <c r="Q300">
        <v>134.30000000000001</v>
      </c>
      <c r="R300">
        <v>132.30000000000001</v>
      </c>
      <c r="S300">
        <v>130.30000000000001</v>
      </c>
      <c r="T300">
        <v>128.4</v>
      </c>
      <c r="U300">
        <v>126.5</v>
      </c>
      <c r="V300">
        <v>127.6</v>
      </c>
      <c r="W300">
        <v>119</v>
      </c>
      <c r="X300">
        <v>120.8</v>
      </c>
      <c r="Y300">
        <v>116.7</v>
      </c>
      <c r="Z300">
        <v>116.6</v>
      </c>
      <c r="AA300">
        <v>115.7</v>
      </c>
    </row>
    <row r="301" spans="1:27" x14ac:dyDescent="0.25">
      <c r="A301" s="21" t="s">
        <v>1750</v>
      </c>
      <c r="B301">
        <v>37.200000000000003</v>
      </c>
      <c r="C301">
        <v>38.9</v>
      </c>
      <c r="D301">
        <v>37.5</v>
      </c>
      <c r="E301">
        <v>39.200000000000003</v>
      </c>
      <c r="F301">
        <v>42</v>
      </c>
      <c r="G301">
        <v>43.3</v>
      </c>
      <c r="H301">
        <v>42.6</v>
      </c>
      <c r="I301">
        <v>44.7</v>
      </c>
      <c r="J301">
        <v>48.7</v>
      </c>
      <c r="K301">
        <v>49.3</v>
      </c>
      <c r="L301">
        <v>50</v>
      </c>
      <c r="M301">
        <v>52.2</v>
      </c>
      <c r="N301">
        <v>53.5</v>
      </c>
      <c r="O301">
        <v>54.4</v>
      </c>
      <c r="P301">
        <v>53.1</v>
      </c>
      <c r="Q301">
        <v>56.3</v>
      </c>
      <c r="R301">
        <v>57</v>
      </c>
      <c r="S301">
        <v>62</v>
      </c>
      <c r="T301">
        <v>61.4</v>
      </c>
      <c r="U301">
        <v>60.4</v>
      </c>
      <c r="V301">
        <v>62.1</v>
      </c>
      <c r="W301">
        <v>63</v>
      </c>
      <c r="X301">
        <v>65.599999999999994</v>
      </c>
      <c r="Y301">
        <v>63.3</v>
      </c>
      <c r="Z301">
        <v>62.9</v>
      </c>
      <c r="AA301">
        <v>66.3</v>
      </c>
    </row>
    <row r="302" spans="1:27" x14ac:dyDescent="0.25">
      <c r="A302" s="21" t="s">
        <v>1751</v>
      </c>
      <c r="B302">
        <v>96.5</v>
      </c>
      <c r="C302">
        <v>93.2</v>
      </c>
      <c r="D302">
        <v>90.7</v>
      </c>
      <c r="E302">
        <v>77.3</v>
      </c>
      <c r="F302">
        <v>77.599999999999994</v>
      </c>
      <c r="G302">
        <v>76.400000000000006</v>
      </c>
      <c r="H302">
        <v>76</v>
      </c>
      <c r="I302">
        <v>75.400000000000006</v>
      </c>
      <c r="J302">
        <v>75.7</v>
      </c>
      <c r="K302">
        <v>71.2</v>
      </c>
      <c r="L302">
        <v>68.3</v>
      </c>
      <c r="M302">
        <v>68</v>
      </c>
      <c r="N302">
        <v>63.8</v>
      </c>
      <c r="O302">
        <v>64</v>
      </c>
      <c r="P302">
        <v>65.3</v>
      </c>
      <c r="Q302">
        <v>64.099999999999994</v>
      </c>
      <c r="R302">
        <v>65.599999999999994</v>
      </c>
      <c r="S302">
        <v>64.8</v>
      </c>
      <c r="T302">
        <v>75.599999999999994</v>
      </c>
      <c r="U302">
        <v>79.900000000000006</v>
      </c>
      <c r="V302">
        <v>82.3</v>
      </c>
      <c r="W302">
        <v>71.2</v>
      </c>
      <c r="X302">
        <v>66.5</v>
      </c>
      <c r="Y302">
        <v>64.599999999999994</v>
      </c>
      <c r="Z302">
        <v>64.8</v>
      </c>
      <c r="AA302">
        <v>60.9</v>
      </c>
    </row>
    <row r="303" spans="1:27" x14ac:dyDescent="0.25">
      <c r="A303" s="21" t="s">
        <v>1733</v>
      </c>
      <c r="B303">
        <v>55.5</v>
      </c>
      <c r="C303">
        <v>55.5</v>
      </c>
      <c r="D303">
        <v>53.8</v>
      </c>
      <c r="E303">
        <v>52.6</v>
      </c>
      <c r="F303">
        <v>51.7</v>
      </c>
      <c r="G303">
        <v>50.9</v>
      </c>
      <c r="H303">
        <v>50.5</v>
      </c>
      <c r="I303">
        <v>50.4</v>
      </c>
      <c r="J303">
        <v>49</v>
      </c>
      <c r="K303">
        <v>47.3</v>
      </c>
      <c r="L303">
        <v>47.3</v>
      </c>
      <c r="M303">
        <v>47.1</v>
      </c>
      <c r="N303">
        <v>46.5</v>
      </c>
      <c r="O303">
        <v>46.3</v>
      </c>
      <c r="P303">
        <v>46</v>
      </c>
      <c r="Q303">
        <v>46</v>
      </c>
      <c r="R303">
        <v>46.3</v>
      </c>
      <c r="S303">
        <v>46.2</v>
      </c>
      <c r="T303">
        <v>47</v>
      </c>
      <c r="U303">
        <v>46.2</v>
      </c>
      <c r="V303">
        <v>47</v>
      </c>
      <c r="W303">
        <v>48</v>
      </c>
      <c r="X303">
        <v>46.4</v>
      </c>
      <c r="Y303">
        <v>44.5</v>
      </c>
      <c r="Z303">
        <v>43</v>
      </c>
      <c r="AA303">
        <v>39.9</v>
      </c>
    </row>
    <row r="304" spans="1:27" x14ac:dyDescent="0.25">
      <c r="A304" s="21" t="s">
        <v>1752</v>
      </c>
      <c r="B304">
        <v>15.7</v>
      </c>
      <c r="C304">
        <v>15.9</v>
      </c>
      <c r="D304">
        <v>16.2</v>
      </c>
      <c r="E304">
        <v>16.2</v>
      </c>
      <c r="F304">
        <v>16.399999999999999</v>
      </c>
      <c r="G304">
        <v>16.399999999999999</v>
      </c>
      <c r="H304">
        <v>16.399999999999999</v>
      </c>
      <c r="I304">
        <v>16.5</v>
      </c>
      <c r="J304">
        <v>16.5</v>
      </c>
      <c r="K304">
        <v>16.600000000000001</v>
      </c>
      <c r="L304">
        <v>16.600000000000001</v>
      </c>
      <c r="M304">
        <v>16.3</v>
      </c>
      <c r="N304">
        <v>16.3</v>
      </c>
      <c r="O304">
        <v>16.100000000000001</v>
      </c>
      <c r="P304">
        <v>15.9</v>
      </c>
      <c r="Q304">
        <v>16</v>
      </c>
      <c r="R304">
        <v>16</v>
      </c>
      <c r="S304">
        <v>16</v>
      </c>
      <c r="T304">
        <v>16</v>
      </c>
      <c r="U304">
        <v>15.7</v>
      </c>
      <c r="V304">
        <v>15.5</v>
      </c>
      <c r="W304">
        <v>15.3</v>
      </c>
      <c r="X304">
        <v>15.1</v>
      </c>
      <c r="Y304">
        <v>14.9</v>
      </c>
      <c r="Z304">
        <v>14.8</v>
      </c>
      <c r="AA304">
        <v>14.8</v>
      </c>
    </row>
    <row r="305" spans="1:27" x14ac:dyDescent="0.25">
      <c r="A305" s="21" t="s">
        <v>1753</v>
      </c>
      <c r="B305">
        <v>16</v>
      </c>
      <c r="C305">
        <v>16.8</v>
      </c>
      <c r="D305">
        <v>16.899999999999999</v>
      </c>
      <c r="E305">
        <v>16.899999999999999</v>
      </c>
      <c r="F305">
        <v>14.8</v>
      </c>
      <c r="G305">
        <v>15.8</v>
      </c>
      <c r="H305">
        <v>16</v>
      </c>
      <c r="I305">
        <v>15.8</v>
      </c>
      <c r="J305">
        <v>16.100000000000001</v>
      </c>
      <c r="K305">
        <v>18.100000000000001</v>
      </c>
      <c r="L305">
        <v>18.3</v>
      </c>
      <c r="M305">
        <v>15.6</v>
      </c>
      <c r="N305">
        <v>16.5</v>
      </c>
      <c r="O305">
        <v>14.3</v>
      </c>
      <c r="P305">
        <v>14.1</v>
      </c>
      <c r="Q305">
        <v>16.7</v>
      </c>
      <c r="R305">
        <v>12.9</v>
      </c>
      <c r="S305">
        <v>13.9</v>
      </c>
      <c r="T305">
        <v>11.5</v>
      </c>
      <c r="U305">
        <v>14.5</v>
      </c>
      <c r="V305">
        <v>15.9</v>
      </c>
      <c r="W305">
        <v>14.1</v>
      </c>
      <c r="X305">
        <v>11.3</v>
      </c>
      <c r="Y305">
        <v>11.3</v>
      </c>
      <c r="Z305">
        <v>11.4</v>
      </c>
      <c r="AA305">
        <v>11.2</v>
      </c>
    </row>
    <row r="306" spans="1:27" x14ac:dyDescent="0.25">
      <c r="A306" s="21" t="s">
        <v>1754</v>
      </c>
      <c r="B306">
        <v>8.5</v>
      </c>
      <c r="C306">
        <v>8.6999999999999993</v>
      </c>
      <c r="D306">
        <v>9</v>
      </c>
      <c r="E306">
        <v>8.4</v>
      </c>
      <c r="F306">
        <v>8.1999999999999993</v>
      </c>
      <c r="G306">
        <v>8.1999999999999993</v>
      </c>
      <c r="H306">
        <v>8.5</v>
      </c>
      <c r="I306">
        <v>7.7</v>
      </c>
      <c r="J306">
        <v>7</v>
      </c>
      <c r="K306">
        <v>7.2</v>
      </c>
      <c r="L306">
        <v>7.5</v>
      </c>
      <c r="M306">
        <v>7</v>
      </c>
      <c r="N306">
        <v>7</v>
      </c>
      <c r="O306">
        <v>7.2</v>
      </c>
      <c r="P306">
        <v>7.4</v>
      </c>
      <c r="Q306">
        <v>7.4</v>
      </c>
      <c r="R306">
        <v>6.9</v>
      </c>
      <c r="S306">
        <v>7.2</v>
      </c>
      <c r="T306">
        <v>7.4</v>
      </c>
      <c r="U306">
        <v>7.4</v>
      </c>
      <c r="V306">
        <v>7.1</v>
      </c>
      <c r="W306">
        <v>7.1</v>
      </c>
      <c r="X306">
        <v>6.6</v>
      </c>
      <c r="Y306">
        <v>8</v>
      </c>
      <c r="Z306">
        <v>8.1</v>
      </c>
      <c r="AA306">
        <v>7</v>
      </c>
    </row>
    <row r="307" spans="1:27" x14ac:dyDescent="0.25">
      <c r="A307" s="21" t="s">
        <v>1755</v>
      </c>
      <c r="B307">
        <v>7.2</v>
      </c>
      <c r="C307">
        <v>7.3</v>
      </c>
      <c r="D307">
        <v>7.9</v>
      </c>
      <c r="E307">
        <v>8.1999999999999993</v>
      </c>
      <c r="F307">
        <v>9.6999999999999993</v>
      </c>
      <c r="G307">
        <v>9.8000000000000007</v>
      </c>
      <c r="H307">
        <v>10.1</v>
      </c>
      <c r="I307">
        <v>9</v>
      </c>
      <c r="J307">
        <v>8.1999999999999993</v>
      </c>
      <c r="K307">
        <v>8.3000000000000007</v>
      </c>
      <c r="L307">
        <v>8.8000000000000007</v>
      </c>
      <c r="M307">
        <v>8</v>
      </c>
      <c r="N307">
        <v>7.3</v>
      </c>
      <c r="O307">
        <v>7.2</v>
      </c>
      <c r="P307">
        <v>6.9</v>
      </c>
      <c r="Q307">
        <v>6.6</v>
      </c>
      <c r="R307">
        <v>6.5</v>
      </c>
      <c r="S307">
        <v>6.3</v>
      </c>
      <c r="T307">
        <v>6.3</v>
      </c>
      <c r="U307">
        <v>6.4</v>
      </c>
      <c r="V307">
        <v>6.6</v>
      </c>
      <c r="W307">
        <v>6.4</v>
      </c>
      <c r="X307">
        <v>6.2</v>
      </c>
      <c r="Y307">
        <v>6.2</v>
      </c>
      <c r="Z307">
        <v>6.3</v>
      </c>
      <c r="AA307">
        <v>6.4</v>
      </c>
    </row>
    <row r="308" spans="1:27" x14ac:dyDescent="0.25">
      <c r="A308" s="21" t="s">
        <v>1756</v>
      </c>
      <c r="B308">
        <v>0.4</v>
      </c>
      <c r="C308">
        <v>0.4</v>
      </c>
      <c r="D308">
        <v>0.5</v>
      </c>
      <c r="E308">
        <v>0.6</v>
      </c>
      <c r="F308">
        <v>0.8</v>
      </c>
      <c r="G308">
        <v>0.9</v>
      </c>
      <c r="H308">
        <v>1</v>
      </c>
      <c r="I308">
        <v>1.1000000000000001</v>
      </c>
      <c r="J308">
        <v>1.2</v>
      </c>
      <c r="K308">
        <v>1.3</v>
      </c>
      <c r="L308">
        <v>1.5</v>
      </c>
      <c r="M308">
        <v>1.5</v>
      </c>
      <c r="N308">
        <v>1.5</v>
      </c>
      <c r="O308">
        <v>1.7</v>
      </c>
      <c r="P308">
        <v>1.9</v>
      </c>
      <c r="Q308">
        <v>1.9</v>
      </c>
      <c r="R308">
        <v>1.9</v>
      </c>
      <c r="S308">
        <v>2</v>
      </c>
      <c r="T308">
        <v>2</v>
      </c>
      <c r="U308">
        <v>1.9</v>
      </c>
      <c r="V308">
        <v>1.8</v>
      </c>
      <c r="W308">
        <v>1.9</v>
      </c>
      <c r="X308">
        <v>1.9</v>
      </c>
      <c r="Y308">
        <v>2</v>
      </c>
      <c r="Z308">
        <v>2.1</v>
      </c>
      <c r="AA308">
        <v>2.1</v>
      </c>
    </row>
    <row r="309" spans="1:27" x14ac:dyDescent="0.25">
      <c r="A309" s="31" t="s">
        <v>1757</v>
      </c>
      <c r="B309">
        <v>5.6</v>
      </c>
      <c r="C309">
        <v>5.5</v>
      </c>
      <c r="D309">
        <v>5.5</v>
      </c>
      <c r="E309">
        <v>5.4</v>
      </c>
      <c r="F309">
        <v>5.3</v>
      </c>
      <c r="G309">
        <v>5.2</v>
      </c>
      <c r="H309">
        <v>5</v>
      </c>
      <c r="I309">
        <v>4.8</v>
      </c>
      <c r="J309">
        <v>4.5999999999999996</v>
      </c>
      <c r="K309">
        <v>4</v>
      </c>
      <c r="L309">
        <v>3.7</v>
      </c>
      <c r="M309">
        <v>3.5</v>
      </c>
      <c r="N309">
        <v>3.2</v>
      </c>
      <c r="O309">
        <v>3</v>
      </c>
      <c r="P309">
        <v>2.9</v>
      </c>
      <c r="Q309">
        <v>2.8</v>
      </c>
      <c r="R309">
        <v>2.7</v>
      </c>
      <c r="S309">
        <v>2.5</v>
      </c>
      <c r="T309">
        <v>2.4</v>
      </c>
      <c r="U309">
        <v>2.2999999999999998</v>
      </c>
      <c r="V309">
        <v>2.2999999999999998</v>
      </c>
      <c r="W309">
        <v>2.2999999999999998</v>
      </c>
      <c r="X309">
        <v>2.2000000000000002</v>
      </c>
      <c r="Y309">
        <v>2.1</v>
      </c>
      <c r="Z309">
        <v>2.1</v>
      </c>
      <c r="AA309">
        <v>2</v>
      </c>
    </row>
    <row r="310" spans="1:27" x14ac:dyDescent="0.25">
      <c r="A310" s="21" t="s">
        <v>1758</v>
      </c>
      <c r="B310">
        <v>0.2</v>
      </c>
      <c r="C310">
        <v>0.2</v>
      </c>
      <c r="D310">
        <v>0.2</v>
      </c>
      <c r="E310">
        <v>0.2</v>
      </c>
      <c r="F310">
        <v>0.2</v>
      </c>
      <c r="G310">
        <v>0.2</v>
      </c>
      <c r="H310">
        <v>0.2</v>
      </c>
      <c r="I310">
        <v>0.2</v>
      </c>
      <c r="J310">
        <v>0.2</v>
      </c>
      <c r="K310">
        <v>0.2</v>
      </c>
      <c r="L310">
        <v>0.3</v>
      </c>
      <c r="M310">
        <v>0.2</v>
      </c>
      <c r="N310">
        <v>0.2</v>
      </c>
      <c r="O310">
        <v>0.3</v>
      </c>
      <c r="P310">
        <v>0.3</v>
      </c>
      <c r="Q310">
        <v>0.2</v>
      </c>
      <c r="R310">
        <v>0.3</v>
      </c>
      <c r="S310">
        <v>0.3</v>
      </c>
      <c r="T310">
        <v>0.3</v>
      </c>
      <c r="U310">
        <v>0.3</v>
      </c>
      <c r="V310">
        <v>0.3</v>
      </c>
      <c r="W310">
        <v>0.3</v>
      </c>
      <c r="X310">
        <v>0.3</v>
      </c>
      <c r="Y310">
        <v>0.3</v>
      </c>
      <c r="Z310">
        <v>0.3</v>
      </c>
      <c r="AA310">
        <v>0.3</v>
      </c>
    </row>
    <row r="311" spans="1:27" x14ac:dyDescent="0.25">
      <c r="A311" s="21" t="s">
        <v>1725</v>
      </c>
      <c r="B311">
        <v>0.2</v>
      </c>
      <c r="C311">
        <v>0.2</v>
      </c>
      <c r="D311">
        <v>0.2</v>
      </c>
      <c r="E311">
        <v>0.3</v>
      </c>
      <c r="F311">
        <v>0.3</v>
      </c>
      <c r="G311">
        <v>0.3</v>
      </c>
      <c r="H311">
        <v>0.3</v>
      </c>
      <c r="I311">
        <v>0.4</v>
      </c>
      <c r="J311">
        <v>0.3</v>
      </c>
      <c r="K311">
        <v>0.3</v>
      </c>
      <c r="L311">
        <v>0.3</v>
      </c>
      <c r="M311">
        <v>0.2</v>
      </c>
      <c r="N311">
        <v>0.2</v>
      </c>
      <c r="O311">
        <v>0.2</v>
      </c>
      <c r="P311">
        <v>0.2</v>
      </c>
      <c r="Q311">
        <v>0.1</v>
      </c>
      <c r="R311">
        <v>0</v>
      </c>
      <c r="S311">
        <v>0.1</v>
      </c>
      <c r="T311">
        <v>0</v>
      </c>
      <c r="U311">
        <v>0</v>
      </c>
      <c r="V311">
        <v>0</v>
      </c>
      <c r="W311">
        <v>0</v>
      </c>
      <c r="X311">
        <v>0.1</v>
      </c>
      <c r="Y311">
        <v>0.1</v>
      </c>
      <c r="Z311">
        <v>0.1</v>
      </c>
      <c r="AA311">
        <v>0.2</v>
      </c>
    </row>
    <row r="312" spans="1:27" x14ac:dyDescent="0.25">
      <c r="A312" s="21" t="s">
        <v>1736</v>
      </c>
      <c r="B312">
        <v>0</v>
      </c>
      <c r="C312">
        <v>0</v>
      </c>
      <c r="D312">
        <v>0</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row>
    <row r="313" spans="1:27" x14ac:dyDescent="0.25">
      <c r="A313" s="21" t="s">
        <v>1743</v>
      </c>
      <c r="B313">
        <v>0</v>
      </c>
      <c r="C313">
        <v>0</v>
      </c>
      <c r="D313">
        <v>0</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row>
    <row r="314" spans="1:27" ht="24" x14ac:dyDescent="0.25">
      <c r="A314" s="21" t="s">
        <v>1722</v>
      </c>
      <c r="B314">
        <v>0</v>
      </c>
      <c r="C314">
        <v>0</v>
      </c>
      <c r="D314">
        <v>0</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row>
    <row r="315" spans="1:27" x14ac:dyDescent="0.25">
      <c r="A315" s="21" t="s">
        <v>1729</v>
      </c>
      <c r="B315">
        <v>0</v>
      </c>
      <c r="C315">
        <v>0</v>
      </c>
      <c r="D315">
        <v>0</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row>
    <row r="316" spans="1:27" x14ac:dyDescent="0.25">
      <c r="A316" s="31" t="s">
        <v>1746</v>
      </c>
      <c r="B316">
        <v>0.2</v>
      </c>
      <c r="C316">
        <v>0.2</v>
      </c>
      <c r="D316">
        <v>0.2</v>
      </c>
      <c r="E316">
        <v>0.1</v>
      </c>
      <c r="F316">
        <v>0.1</v>
      </c>
      <c r="G316">
        <v>0.1</v>
      </c>
      <c r="H316">
        <v>0.1</v>
      </c>
      <c r="I316">
        <v>0.1</v>
      </c>
      <c r="J316">
        <v>0.1</v>
      </c>
      <c r="K316">
        <v>0.1</v>
      </c>
      <c r="L316">
        <v>0.1</v>
      </c>
      <c r="M316">
        <v>0.1</v>
      </c>
      <c r="N316">
        <v>0.1</v>
      </c>
      <c r="O316">
        <v>0.1</v>
      </c>
      <c r="P316">
        <v>0.1</v>
      </c>
      <c r="Q316">
        <v>0.1</v>
      </c>
      <c r="R316">
        <v>0.1</v>
      </c>
      <c r="S316">
        <v>0.1</v>
      </c>
      <c r="T316">
        <v>0.1</v>
      </c>
      <c r="U316">
        <v>0.1</v>
      </c>
      <c r="V316">
        <v>0.1</v>
      </c>
      <c r="W316">
        <v>0.1</v>
      </c>
      <c r="X316">
        <v>0.1</v>
      </c>
      <c r="Y316">
        <v>0.1</v>
      </c>
      <c r="Z316">
        <v>0.1</v>
      </c>
      <c r="AA316">
        <v>0.1</v>
      </c>
    </row>
    <row r="317" spans="1:27" x14ac:dyDescent="0.25">
      <c r="A317" s="31" t="s">
        <v>1759</v>
      </c>
      <c r="B317">
        <v>359.5</v>
      </c>
      <c r="C317">
        <v>358.7</v>
      </c>
      <c r="D317">
        <v>361.9</v>
      </c>
      <c r="E317">
        <v>373.9</v>
      </c>
      <c r="F317">
        <v>364.9</v>
      </c>
      <c r="G317">
        <v>377</v>
      </c>
      <c r="H317">
        <v>383.4</v>
      </c>
      <c r="I317">
        <v>374.2</v>
      </c>
      <c r="J317">
        <v>388.7</v>
      </c>
      <c r="K317">
        <v>363</v>
      </c>
      <c r="L317">
        <v>361.9</v>
      </c>
      <c r="M317">
        <v>363.8</v>
      </c>
      <c r="N317">
        <v>362.2</v>
      </c>
      <c r="O317">
        <v>366</v>
      </c>
      <c r="P317">
        <v>385.9</v>
      </c>
      <c r="Q317">
        <v>361.6</v>
      </c>
      <c r="R317">
        <v>371.1</v>
      </c>
      <c r="S317">
        <v>378.8</v>
      </c>
      <c r="T317">
        <v>361.6</v>
      </c>
      <c r="U317">
        <v>362.3</v>
      </c>
      <c r="V317">
        <v>370.5</v>
      </c>
      <c r="W317">
        <v>364</v>
      </c>
      <c r="X317">
        <v>340.7</v>
      </c>
      <c r="Y317">
        <v>335.5</v>
      </c>
      <c r="Z317">
        <v>335.5</v>
      </c>
      <c r="AA317">
        <v>334.8</v>
      </c>
    </row>
    <row r="318" spans="1:27" x14ac:dyDescent="0.25">
      <c r="A318" s="21" t="s">
        <v>1760</v>
      </c>
      <c r="B318">
        <v>256.60000000000002</v>
      </c>
      <c r="C318">
        <v>254.1</v>
      </c>
      <c r="D318">
        <v>255.7</v>
      </c>
      <c r="E318">
        <v>263.89999999999998</v>
      </c>
      <c r="F318">
        <v>251.5</v>
      </c>
      <c r="G318">
        <v>258.2</v>
      </c>
      <c r="H318">
        <v>262.8</v>
      </c>
      <c r="I318">
        <v>259.10000000000002</v>
      </c>
      <c r="J318">
        <v>277.5</v>
      </c>
      <c r="K318">
        <v>254.4</v>
      </c>
      <c r="L318">
        <v>252.8</v>
      </c>
      <c r="M318">
        <v>261.2</v>
      </c>
      <c r="N318">
        <v>258.89999999999998</v>
      </c>
      <c r="O318">
        <v>263.7</v>
      </c>
      <c r="P318">
        <v>286.60000000000002</v>
      </c>
      <c r="Q318">
        <v>259.8</v>
      </c>
      <c r="R318">
        <v>269.3</v>
      </c>
      <c r="S318">
        <v>277.10000000000002</v>
      </c>
      <c r="T318">
        <v>272.2</v>
      </c>
      <c r="U318">
        <v>276.39999999999998</v>
      </c>
      <c r="V318">
        <v>280.3</v>
      </c>
      <c r="W318">
        <v>270.10000000000002</v>
      </c>
      <c r="X318">
        <v>254.1</v>
      </c>
      <c r="Y318">
        <v>250.5</v>
      </c>
      <c r="Z318">
        <v>250</v>
      </c>
      <c r="AA318">
        <v>251.3</v>
      </c>
    </row>
    <row r="319" spans="1:27" x14ac:dyDescent="0.25">
      <c r="A319" s="21" t="s">
        <v>1754</v>
      </c>
      <c r="B319">
        <v>11.9</v>
      </c>
      <c r="C319">
        <v>11.8</v>
      </c>
      <c r="D319">
        <v>12</v>
      </c>
      <c r="E319">
        <v>12.3</v>
      </c>
      <c r="F319">
        <v>12.5</v>
      </c>
      <c r="G319">
        <v>12.6</v>
      </c>
      <c r="H319">
        <v>12.9</v>
      </c>
      <c r="I319">
        <v>13</v>
      </c>
      <c r="J319">
        <v>13</v>
      </c>
      <c r="K319">
        <v>13.2</v>
      </c>
      <c r="L319">
        <v>14</v>
      </c>
      <c r="M319">
        <v>14.4</v>
      </c>
      <c r="N319">
        <v>16</v>
      </c>
      <c r="O319">
        <v>17.3</v>
      </c>
      <c r="P319">
        <v>19</v>
      </c>
      <c r="Q319">
        <v>20.2</v>
      </c>
      <c r="R319">
        <v>20.399999999999999</v>
      </c>
      <c r="S319">
        <v>20.8</v>
      </c>
      <c r="T319">
        <v>20.8</v>
      </c>
      <c r="U319">
        <v>20.399999999999999</v>
      </c>
      <c r="V319">
        <v>22.2</v>
      </c>
      <c r="W319">
        <v>21.3</v>
      </c>
      <c r="X319">
        <v>21.4</v>
      </c>
      <c r="Y319">
        <v>22.9</v>
      </c>
      <c r="Z319">
        <v>23.4</v>
      </c>
      <c r="AA319">
        <v>23.1</v>
      </c>
    </row>
    <row r="320" spans="1:27" x14ac:dyDescent="0.25">
      <c r="A320" s="21" t="s">
        <v>1750</v>
      </c>
      <c r="B320">
        <v>14</v>
      </c>
      <c r="C320">
        <v>14.2</v>
      </c>
      <c r="D320">
        <v>14.2</v>
      </c>
      <c r="E320">
        <v>14</v>
      </c>
      <c r="F320">
        <v>14.8</v>
      </c>
      <c r="G320">
        <v>15.1</v>
      </c>
      <c r="H320">
        <v>15.1</v>
      </c>
      <c r="I320">
        <v>15.3</v>
      </c>
      <c r="J320">
        <v>15.5</v>
      </c>
      <c r="K320">
        <v>16.100000000000001</v>
      </c>
      <c r="L320">
        <v>16.5</v>
      </c>
      <c r="M320">
        <v>16.399999999999999</v>
      </c>
      <c r="N320">
        <v>16.7</v>
      </c>
      <c r="O320">
        <v>16.899999999999999</v>
      </c>
      <c r="P320">
        <v>16.2</v>
      </c>
      <c r="Q320">
        <v>16.5</v>
      </c>
      <c r="R320">
        <v>17.3</v>
      </c>
      <c r="S320">
        <v>17.399999999999999</v>
      </c>
      <c r="T320">
        <v>17.2</v>
      </c>
      <c r="U320">
        <v>17.100000000000001</v>
      </c>
      <c r="V320">
        <v>17.2</v>
      </c>
      <c r="W320">
        <v>17.399999999999999</v>
      </c>
      <c r="X320">
        <v>17.5</v>
      </c>
      <c r="Y320">
        <v>17.5</v>
      </c>
      <c r="Z320">
        <v>17.5</v>
      </c>
      <c r="AA320">
        <v>17.7</v>
      </c>
    </row>
    <row r="321" spans="1:27" x14ac:dyDescent="0.25">
      <c r="A321" s="31" t="s">
        <v>1757</v>
      </c>
      <c r="B321">
        <v>41.2</v>
      </c>
      <c r="C321">
        <v>43.1</v>
      </c>
      <c r="D321">
        <v>46.1</v>
      </c>
      <c r="E321">
        <v>48.1</v>
      </c>
      <c r="F321">
        <v>49.9</v>
      </c>
      <c r="G321">
        <v>51.2</v>
      </c>
      <c r="H321">
        <v>52.1</v>
      </c>
      <c r="I321">
        <v>52.9</v>
      </c>
      <c r="J321">
        <v>53.2</v>
      </c>
      <c r="K321">
        <v>50.5</v>
      </c>
      <c r="L321">
        <v>49.3</v>
      </c>
      <c r="M321">
        <v>46</v>
      </c>
      <c r="N321">
        <v>43.6</v>
      </c>
      <c r="O321">
        <v>41</v>
      </c>
      <c r="P321">
        <v>38.6</v>
      </c>
      <c r="Q321">
        <v>35.700000000000003</v>
      </c>
      <c r="R321">
        <v>33.5</v>
      </c>
      <c r="S321">
        <v>28.9</v>
      </c>
      <c r="T321">
        <v>26.6</v>
      </c>
      <c r="U321">
        <v>25</v>
      </c>
      <c r="V321">
        <v>24.1</v>
      </c>
      <c r="W321">
        <v>22.8</v>
      </c>
      <c r="X321">
        <v>20.399999999999999</v>
      </c>
      <c r="Y321">
        <v>18.5</v>
      </c>
      <c r="Z321">
        <v>16.600000000000001</v>
      </c>
      <c r="AA321">
        <v>15.1</v>
      </c>
    </row>
    <row r="322" spans="1:27" x14ac:dyDescent="0.25">
      <c r="A322" s="21" t="s">
        <v>1761</v>
      </c>
      <c r="B322">
        <v>12.1</v>
      </c>
      <c r="C322">
        <v>12.1</v>
      </c>
      <c r="D322">
        <v>12.4</v>
      </c>
      <c r="E322">
        <v>12.6</v>
      </c>
      <c r="F322">
        <v>13.3</v>
      </c>
      <c r="G322">
        <v>13.5</v>
      </c>
      <c r="H322">
        <v>14.1</v>
      </c>
      <c r="I322">
        <v>14.4</v>
      </c>
      <c r="J322">
        <v>14.2</v>
      </c>
      <c r="K322">
        <v>13.7</v>
      </c>
      <c r="L322">
        <v>13.3</v>
      </c>
      <c r="M322">
        <v>10.8</v>
      </c>
      <c r="N322">
        <v>11.7</v>
      </c>
      <c r="O322">
        <v>11</v>
      </c>
      <c r="P322">
        <v>10.9</v>
      </c>
      <c r="Q322">
        <v>11.3</v>
      </c>
      <c r="R322">
        <v>11.1</v>
      </c>
      <c r="S322">
        <v>13.2</v>
      </c>
      <c r="T322">
        <v>11.3</v>
      </c>
      <c r="U322">
        <v>9.6</v>
      </c>
      <c r="V322">
        <v>11.5</v>
      </c>
      <c r="W322">
        <v>10.9</v>
      </c>
      <c r="X322">
        <v>10.5</v>
      </c>
      <c r="Y322">
        <v>10.7</v>
      </c>
      <c r="Z322">
        <v>10.9</v>
      </c>
      <c r="AA322">
        <v>11.6</v>
      </c>
    </row>
    <row r="323" spans="1:27" x14ac:dyDescent="0.25">
      <c r="A323" s="21" t="s">
        <v>1752</v>
      </c>
      <c r="B323">
        <v>3.4</v>
      </c>
      <c r="C323">
        <v>3.5</v>
      </c>
      <c r="D323">
        <v>3.5</v>
      </c>
      <c r="E323">
        <v>3.6</v>
      </c>
      <c r="F323">
        <v>3.7</v>
      </c>
      <c r="G323">
        <v>3.7</v>
      </c>
      <c r="H323">
        <v>3.8</v>
      </c>
      <c r="I323">
        <v>3.8</v>
      </c>
      <c r="J323">
        <v>3.9</v>
      </c>
      <c r="K323">
        <v>4.0999999999999996</v>
      </c>
      <c r="L323">
        <v>4.0999999999999996</v>
      </c>
      <c r="M323">
        <v>4.0999999999999996</v>
      </c>
      <c r="N323">
        <v>4.2</v>
      </c>
      <c r="O323">
        <v>4.3</v>
      </c>
      <c r="P323">
        <v>4.4000000000000004</v>
      </c>
      <c r="Q323">
        <v>4.4000000000000004</v>
      </c>
      <c r="R323">
        <v>4.5</v>
      </c>
      <c r="S323">
        <v>4.5</v>
      </c>
      <c r="T323">
        <v>4.5</v>
      </c>
      <c r="U323">
        <v>4.5</v>
      </c>
      <c r="V323">
        <v>4.5</v>
      </c>
      <c r="W323">
        <v>4.8</v>
      </c>
      <c r="X323">
        <v>4.8</v>
      </c>
      <c r="Y323">
        <v>4.9000000000000004</v>
      </c>
      <c r="Z323">
        <v>4.9000000000000004</v>
      </c>
      <c r="AA323">
        <v>5</v>
      </c>
    </row>
    <row r="324" spans="1:27" x14ac:dyDescent="0.25">
      <c r="A324" s="21" t="s">
        <v>1762</v>
      </c>
      <c r="B324">
        <v>15.2</v>
      </c>
      <c r="C324">
        <v>14.9</v>
      </c>
      <c r="D324">
        <v>13</v>
      </c>
      <c r="E324">
        <v>13.9</v>
      </c>
      <c r="F324">
        <v>13.5</v>
      </c>
      <c r="G324">
        <v>16.899999999999999</v>
      </c>
      <c r="H324">
        <v>16.7</v>
      </c>
      <c r="I324">
        <v>9.4</v>
      </c>
      <c r="J324">
        <v>5.0999999999999996</v>
      </c>
      <c r="K324">
        <v>4.7</v>
      </c>
      <c r="L324">
        <v>5.3</v>
      </c>
      <c r="M324">
        <v>4.5</v>
      </c>
      <c r="N324">
        <v>4.9000000000000004</v>
      </c>
      <c r="O324">
        <v>5.5</v>
      </c>
      <c r="P324">
        <v>3.7</v>
      </c>
      <c r="Q324">
        <v>7.1</v>
      </c>
      <c r="R324">
        <v>8.6</v>
      </c>
      <c r="S324">
        <v>10.3</v>
      </c>
      <c r="T324">
        <v>2.5</v>
      </c>
      <c r="U324">
        <v>2.7</v>
      </c>
      <c r="V324">
        <v>4.2</v>
      </c>
      <c r="W324">
        <v>10.199999999999999</v>
      </c>
      <c r="X324">
        <v>5.5</v>
      </c>
      <c r="Y324">
        <v>3.9</v>
      </c>
      <c r="Z324">
        <v>5.4</v>
      </c>
      <c r="AA324">
        <v>4.3</v>
      </c>
    </row>
    <row r="325" spans="1:27" x14ac:dyDescent="0.25">
      <c r="A325" s="31" t="s">
        <v>1763</v>
      </c>
      <c r="B325">
        <v>4.2</v>
      </c>
      <c r="C325">
        <v>4.0999999999999996</v>
      </c>
      <c r="D325">
        <v>3.9</v>
      </c>
      <c r="E325">
        <v>4.4000000000000004</v>
      </c>
      <c r="F325">
        <v>4.4000000000000004</v>
      </c>
      <c r="G325">
        <v>4.4000000000000004</v>
      </c>
      <c r="H325">
        <v>4.4000000000000004</v>
      </c>
      <c r="I325">
        <v>4.7</v>
      </c>
      <c r="J325">
        <v>4.7</v>
      </c>
      <c r="K325">
        <v>4.7</v>
      </c>
      <c r="L325">
        <v>4.7</v>
      </c>
      <c r="M325">
        <v>4.7</v>
      </c>
      <c r="N325">
        <v>4.2</v>
      </c>
      <c r="O325">
        <v>4.2</v>
      </c>
      <c r="P325">
        <v>4.2</v>
      </c>
      <c r="Q325">
        <v>4.2</v>
      </c>
      <c r="R325">
        <v>4.2</v>
      </c>
      <c r="S325">
        <v>4.2</v>
      </c>
      <c r="T325">
        <v>4.2</v>
      </c>
      <c r="U325">
        <v>4.2</v>
      </c>
      <c r="V325">
        <v>4.2</v>
      </c>
      <c r="W325">
        <v>4.2</v>
      </c>
      <c r="X325">
        <v>4.2</v>
      </c>
      <c r="Y325">
        <v>4.2</v>
      </c>
      <c r="Z325">
        <v>4.2</v>
      </c>
      <c r="AA325">
        <v>4.2</v>
      </c>
    </row>
    <row r="326" spans="1:27" x14ac:dyDescent="0.25">
      <c r="A326" s="21" t="s">
        <v>1756</v>
      </c>
      <c r="B326">
        <v>0.3</v>
      </c>
      <c r="C326">
        <v>0.4</v>
      </c>
      <c r="D326">
        <v>0.4</v>
      </c>
      <c r="E326">
        <v>0.6</v>
      </c>
      <c r="F326">
        <v>0.7</v>
      </c>
      <c r="G326">
        <v>0.8</v>
      </c>
      <c r="H326">
        <v>0.9</v>
      </c>
      <c r="I326">
        <v>1</v>
      </c>
      <c r="J326">
        <v>1.1000000000000001</v>
      </c>
      <c r="K326">
        <v>1.2</v>
      </c>
      <c r="L326">
        <v>1.3</v>
      </c>
      <c r="M326">
        <v>1.3</v>
      </c>
      <c r="N326">
        <v>1.4</v>
      </c>
      <c r="O326">
        <v>1.5</v>
      </c>
      <c r="P326">
        <v>1.7</v>
      </c>
      <c r="Q326">
        <v>1.7</v>
      </c>
      <c r="R326">
        <v>1.7</v>
      </c>
      <c r="S326">
        <v>1.8</v>
      </c>
      <c r="T326">
        <v>1.8</v>
      </c>
      <c r="U326">
        <v>1.7</v>
      </c>
      <c r="V326">
        <v>1.6</v>
      </c>
      <c r="W326">
        <v>1.7</v>
      </c>
      <c r="X326">
        <v>1.7</v>
      </c>
      <c r="Y326">
        <v>1.8</v>
      </c>
      <c r="Z326">
        <v>1.9</v>
      </c>
      <c r="AA326">
        <v>1.9</v>
      </c>
    </row>
    <row r="327" spans="1:27" x14ac:dyDescent="0.25">
      <c r="A327" s="21" t="s">
        <v>1729</v>
      </c>
      <c r="B327">
        <v>0.5</v>
      </c>
      <c r="C327">
        <v>0.4</v>
      </c>
      <c r="D327">
        <v>0.4</v>
      </c>
      <c r="E327">
        <v>0.4</v>
      </c>
      <c r="F327">
        <v>0.4</v>
      </c>
      <c r="G327">
        <v>0.4</v>
      </c>
      <c r="H327">
        <v>0.4</v>
      </c>
      <c r="I327">
        <v>0.4</v>
      </c>
      <c r="J327">
        <v>0.4</v>
      </c>
      <c r="K327">
        <v>0.4</v>
      </c>
      <c r="L327">
        <v>0.4</v>
      </c>
      <c r="M327">
        <v>0.4</v>
      </c>
      <c r="N327">
        <v>0.4</v>
      </c>
      <c r="O327">
        <v>0.4</v>
      </c>
      <c r="P327">
        <v>0.4</v>
      </c>
      <c r="Q327">
        <v>0.4</v>
      </c>
      <c r="R327">
        <v>0.4</v>
      </c>
      <c r="S327">
        <v>0.4</v>
      </c>
      <c r="T327">
        <v>0.4</v>
      </c>
      <c r="U327">
        <v>0.3</v>
      </c>
      <c r="V327">
        <v>0.3</v>
      </c>
      <c r="W327">
        <v>0.3</v>
      </c>
      <c r="X327">
        <v>0.3</v>
      </c>
      <c r="Y327">
        <v>0.3</v>
      </c>
      <c r="Z327">
        <v>0.3</v>
      </c>
      <c r="AA327">
        <v>0.3</v>
      </c>
    </row>
    <row r="328" spans="1:27" x14ac:dyDescent="0.25">
      <c r="A328" s="21" t="s">
        <v>1764</v>
      </c>
      <c r="B328">
        <v>0</v>
      </c>
      <c r="C328">
        <v>0</v>
      </c>
      <c r="D328">
        <v>0</v>
      </c>
      <c r="E328">
        <v>0</v>
      </c>
      <c r="F328">
        <v>0</v>
      </c>
      <c r="G328">
        <v>0.1</v>
      </c>
      <c r="H328">
        <v>0.1</v>
      </c>
      <c r="I328">
        <v>0.1</v>
      </c>
      <c r="J328">
        <v>0.1</v>
      </c>
      <c r="K328">
        <v>0.1</v>
      </c>
      <c r="L328">
        <v>0.1</v>
      </c>
      <c r="M328">
        <v>0.1</v>
      </c>
      <c r="N328">
        <v>0.1</v>
      </c>
      <c r="O328">
        <v>0.1</v>
      </c>
      <c r="P328">
        <v>0.1</v>
      </c>
      <c r="Q328">
        <v>0.1</v>
      </c>
      <c r="R328">
        <v>0.2</v>
      </c>
      <c r="S328">
        <v>0.2</v>
      </c>
      <c r="T328">
        <v>0.2</v>
      </c>
      <c r="U328">
        <v>0.1</v>
      </c>
      <c r="V328">
        <v>0.1</v>
      </c>
      <c r="W328">
        <v>0.2</v>
      </c>
      <c r="X328">
        <v>0.2</v>
      </c>
      <c r="Y328">
        <v>0.2</v>
      </c>
      <c r="Z328">
        <v>0.2</v>
      </c>
      <c r="AA328">
        <v>0.2</v>
      </c>
    </row>
    <row r="329" spans="1:27" x14ac:dyDescent="0.25">
      <c r="A329" s="21" t="s">
        <v>1758</v>
      </c>
      <c r="B329">
        <v>0.1</v>
      </c>
      <c r="C329">
        <v>0.1</v>
      </c>
      <c r="D329">
        <v>0.1</v>
      </c>
      <c r="E329">
        <v>0.1</v>
      </c>
      <c r="F329">
        <v>0.1</v>
      </c>
      <c r="G329">
        <v>0.1</v>
      </c>
      <c r="H329">
        <v>0.1</v>
      </c>
      <c r="I329">
        <v>0.1</v>
      </c>
      <c r="J329">
        <v>0.1</v>
      </c>
      <c r="K329">
        <v>0.1</v>
      </c>
      <c r="L329">
        <v>0.1</v>
      </c>
      <c r="M329">
        <v>0.1</v>
      </c>
      <c r="N329">
        <v>0.1</v>
      </c>
      <c r="O329">
        <v>0.1</v>
      </c>
      <c r="P329">
        <v>0.1</v>
      </c>
      <c r="Q329">
        <v>0.1</v>
      </c>
      <c r="R329">
        <v>0.1</v>
      </c>
      <c r="S329">
        <v>0.1</v>
      </c>
      <c r="T329">
        <v>0.1</v>
      </c>
      <c r="U329">
        <v>0.1</v>
      </c>
      <c r="V329">
        <v>0.1</v>
      </c>
      <c r="W329">
        <v>0.1</v>
      </c>
      <c r="X329">
        <v>0.1</v>
      </c>
      <c r="Y329">
        <v>0.1</v>
      </c>
      <c r="Z329">
        <v>0.1</v>
      </c>
      <c r="AA329">
        <v>0.1</v>
      </c>
    </row>
    <row r="330" spans="1:27" x14ac:dyDescent="0.25">
      <c r="A330" s="31" t="s">
        <v>1746</v>
      </c>
      <c r="B330">
        <v>0.9</v>
      </c>
      <c r="C330">
        <v>1</v>
      </c>
      <c r="D330">
        <v>0.9</v>
      </c>
      <c r="E330">
        <v>0.8</v>
      </c>
      <c r="F330">
        <v>0.8</v>
      </c>
      <c r="G330">
        <v>0.8</v>
      </c>
      <c r="H330">
        <v>0.9</v>
      </c>
      <c r="I330">
        <v>0.9</v>
      </c>
      <c r="J330">
        <v>0.9</v>
      </c>
      <c r="K330">
        <v>0.9</v>
      </c>
      <c r="L330">
        <v>0.9</v>
      </c>
      <c r="M330">
        <v>0.8</v>
      </c>
      <c r="N330">
        <v>0.8</v>
      </c>
      <c r="O330">
        <v>0.9</v>
      </c>
      <c r="P330">
        <v>0.9</v>
      </c>
      <c r="Q330">
        <v>1</v>
      </c>
      <c r="R330">
        <v>1</v>
      </c>
      <c r="S330">
        <v>1</v>
      </c>
      <c r="T330">
        <v>1</v>
      </c>
      <c r="U330">
        <v>0.9</v>
      </c>
      <c r="V330">
        <v>1</v>
      </c>
      <c r="W330">
        <v>1</v>
      </c>
      <c r="X330">
        <v>0.9</v>
      </c>
      <c r="Y330">
        <v>0.9</v>
      </c>
      <c r="Z330">
        <v>0.9</v>
      </c>
      <c r="AA330">
        <v>0.9</v>
      </c>
    </row>
    <row r="331" spans="1:27" x14ac:dyDescent="0.25">
      <c r="A331" s="334" t="s">
        <v>1765</v>
      </c>
      <c r="B331">
        <v>46.6</v>
      </c>
      <c r="C331">
        <v>42.2</v>
      </c>
      <c r="D331">
        <v>48</v>
      </c>
      <c r="E331">
        <v>48.1</v>
      </c>
      <c r="F331">
        <v>53.8</v>
      </c>
      <c r="G331">
        <v>73</v>
      </c>
      <c r="H331">
        <v>82.7</v>
      </c>
      <c r="I331">
        <v>93</v>
      </c>
      <c r="J331">
        <v>112.1</v>
      </c>
      <c r="K331">
        <v>108.9</v>
      </c>
      <c r="L331">
        <v>113.7</v>
      </c>
      <c r="M331">
        <v>108.9</v>
      </c>
      <c r="N331">
        <v>115.5</v>
      </c>
      <c r="O331">
        <v>107.9</v>
      </c>
      <c r="P331">
        <v>117.7</v>
      </c>
      <c r="Q331">
        <v>120</v>
      </c>
      <c r="R331">
        <v>124.4</v>
      </c>
      <c r="S331">
        <v>136.1</v>
      </c>
      <c r="T331">
        <v>140.6</v>
      </c>
      <c r="U331">
        <v>139.4</v>
      </c>
      <c r="V331">
        <v>149.5</v>
      </c>
      <c r="W331">
        <v>154.30000000000001</v>
      </c>
      <c r="X331">
        <v>155.9</v>
      </c>
      <c r="Y331">
        <v>159</v>
      </c>
      <c r="Z331">
        <v>166.7</v>
      </c>
      <c r="AA331">
        <v>173.2</v>
      </c>
    </row>
    <row r="332" spans="1:27" x14ac:dyDescent="0.25">
      <c r="A332" s="31" t="s">
        <v>1766</v>
      </c>
      <c r="B332">
        <v>0.3</v>
      </c>
      <c r="C332">
        <v>0.6</v>
      </c>
      <c r="D332">
        <v>1.8</v>
      </c>
      <c r="E332">
        <v>5.9</v>
      </c>
      <c r="F332">
        <v>13.6</v>
      </c>
      <c r="G332">
        <v>30.9</v>
      </c>
      <c r="H332">
        <v>42.9</v>
      </c>
      <c r="I332">
        <v>54.5</v>
      </c>
      <c r="J332">
        <v>61.7</v>
      </c>
      <c r="K332">
        <v>69.900000000000006</v>
      </c>
      <c r="L332">
        <v>77.2</v>
      </c>
      <c r="M332">
        <v>83.7</v>
      </c>
      <c r="N332">
        <v>88.6</v>
      </c>
      <c r="O332">
        <v>92.1</v>
      </c>
      <c r="P332">
        <v>95.7</v>
      </c>
      <c r="Q332">
        <v>99.7</v>
      </c>
      <c r="R332">
        <v>106.6</v>
      </c>
      <c r="S332">
        <v>114.3</v>
      </c>
      <c r="T332">
        <v>123.1</v>
      </c>
      <c r="U332">
        <v>132.5</v>
      </c>
      <c r="V332">
        <v>141.19999999999999</v>
      </c>
      <c r="W332">
        <v>145.30000000000001</v>
      </c>
      <c r="X332">
        <v>150.19999999999999</v>
      </c>
      <c r="Y332">
        <v>154.6</v>
      </c>
      <c r="Z332">
        <v>161.30000000000001</v>
      </c>
      <c r="AA332">
        <v>168.5</v>
      </c>
    </row>
    <row r="333" spans="1:27" x14ac:dyDescent="0.25">
      <c r="A333" s="21" t="s">
        <v>1767</v>
      </c>
      <c r="B333">
        <v>46.1</v>
      </c>
      <c r="C333">
        <v>41.4</v>
      </c>
      <c r="D333">
        <v>46</v>
      </c>
      <c r="E333">
        <v>41.9</v>
      </c>
      <c r="F333">
        <v>39.9</v>
      </c>
      <c r="G333">
        <v>41.7</v>
      </c>
      <c r="H333">
        <v>39.4</v>
      </c>
      <c r="I333">
        <v>38.1</v>
      </c>
      <c r="J333">
        <v>49.9</v>
      </c>
      <c r="K333">
        <v>38.5</v>
      </c>
      <c r="L333">
        <v>36.200000000000003</v>
      </c>
      <c r="M333">
        <v>25</v>
      </c>
      <c r="N333">
        <v>26.7</v>
      </c>
      <c r="O333">
        <v>15.6</v>
      </c>
      <c r="P333">
        <v>21.8</v>
      </c>
      <c r="Q333">
        <v>20</v>
      </c>
      <c r="R333">
        <v>17.5</v>
      </c>
      <c r="S333">
        <v>21.5</v>
      </c>
      <c r="T333">
        <v>17.2</v>
      </c>
      <c r="U333">
        <v>6.8</v>
      </c>
      <c r="V333">
        <v>8</v>
      </c>
      <c r="W333">
        <v>8.8000000000000007</v>
      </c>
      <c r="X333">
        <v>5.5</v>
      </c>
      <c r="Y333">
        <v>4.0999999999999996</v>
      </c>
      <c r="Z333">
        <v>5</v>
      </c>
      <c r="AA333">
        <v>4.3</v>
      </c>
    </row>
    <row r="334" spans="1:27" x14ac:dyDescent="0.25">
      <c r="A334" s="21" t="s">
        <v>1764</v>
      </c>
      <c r="B334">
        <v>0.2</v>
      </c>
      <c r="C334">
        <v>0.2</v>
      </c>
      <c r="D334">
        <v>0.2</v>
      </c>
      <c r="E334">
        <v>0.3</v>
      </c>
      <c r="F334">
        <v>0.3</v>
      </c>
      <c r="G334">
        <v>0.4</v>
      </c>
      <c r="H334">
        <v>0.4</v>
      </c>
      <c r="I334">
        <v>0.4</v>
      </c>
      <c r="J334">
        <v>0.5</v>
      </c>
      <c r="K334">
        <v>0.5</v>
      </c>
      <c r="L334">
        <v>0.3</v>
      </c>
      <c r="M334">
        <v>0.2</v>
      </c>
      <c r="N334">
        <v>0.2</v>
      </c>
      <c r="O334">
        <v>0.2</v>
      </c>
      <c r="P334">
        <v>0.2</v>
      </c>
      <c r="Q334">
        <v>0.2</v>
      </c>
      <c r="R334">
        <v>0.2</v>
      </c>
      <c r="S334">
        <v>0.2</v>
      </c>
      <c r="T334">
        <v>0.2</v>
      </c>
      <c r="U334">
        <v>0.2</v>
      </c>
      <c r="V334">
        <v>0.2</v>
      </c>
      <c r="W334">
        <v>0.2</v>
      </c>
      <c r="X334">
        <v>0.2</v>
      </c>
      <c r="Y334">
        <v>0.2</v>
      </c>
      <c r="Z334">
        <v>0.3</v>
      </c>
      <c r="AA334">
        <v>0.3</v>
      </c>
    </row>
    <row r="335" spans="1:27" x14ac:dyDescent="0.25">
      <c r="A335" s="21" t="s">
        <v>1744</v>
      </c>
      <c r="B335">
        <v>0</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0.1</v>
      </c>
      <c r="Z335">
        <v>0.1</v>
      </c>
      <c r="AA335">
        <v>0.1</v>
      </c>
    </row>
    <row r="336" spans="1:27" x14ac:dyDescent="0.25">
      <c r="A336" s="334" t="s">
        <v>1768</v>
      </c>
      <c r="B336">
        <v>24.3</v>
      </c>
      <c r="C336">
        <v>20.9</v>
      </c>
      <c r="D336">
        <v>19.5</v>
      </c>
      <c r="E336">
        <v>19.5</v>
      </c>
      <c r="F336">
        <v>18</v>
      </c>
      <c r="G336">
        <v>18.600000000000001</v>
      </c>
      <c r="H336">
        <v>19.899999999999999</v>
      </c>
      <c r="I336">
        <v>18.3</v>
      </c>
      <c r="J336">
        <v>17</v>
      </c>
      <c r="K336">
        <v>16.899999999999999</v>
      </c>
      <c r="L336">
        <v>15.9</v>
      </c>
      <c r="M336">
        <v>8.1999999999999993</v>
      </c>
      <c r="N336">
        <v>10.199999999999999</v>
      </c>
      <c r="O336">
        <v>8.1999999999999993</v>
      </c>
      <c r="P336">
        <v>6.8</v>
      </c>
      <c r="Q336">
        <v>6.7</v>
      </c>
      <c r="R336">
        <v>6.4</v>
      </c>
      <c r="S336">
        <v>7.8</v>
      </c>
      <c r="T336">
        <v>6.1</v>
      </c>
      <c r="U336">
        <v>3.9</v>
      </c>
      <c r="V336">
        <v>4.5999999999999996</v>
      </c>
      <c r="W336">
        <v>6.9</v>
      </c>
      <c r="X336">
        <v>6</v>
      </c>
      <c r="Y336">
        <v>5.8</v>
      </c>
      <c r="Z336">
        <v>5.8</v>
      </c>
      <c r="AA336">
        <v>5.2</v>
      </c>
    </row>
    <row r="337" spans="1:27" x14ac:dyDescent="0.25">
      <c r="A337" s="21" t="s">
        <v>1764</v>
      </c>
      <c r="B337">
        <v>2.8</v>
      </c>
      <c r="C337">
        <v>2.8</v>
      </c>
      <c r="D337">
        <v>2.8</v>
      </c>
      <c r="E337">
        <v>3.5</v>
      </c>
      <c r="F337">
        <v>3.9</v>
      </c>
      <c r="G337">
        <v>4.9000000000000004</v>
      </c>
      <c r="H337">
        <v>5.4</v>
      </c>
      <c r="I337">
        <v>5.7</v>
      </c>
      <c r="J337">
        <v>7</v>
      </c>
      <c r="K337">
        <v>7.1</v>
      </c>
      <c r="L337">
        <v>6</v>
      </c>
      <c r="M337">
        <v>4.2</v>
      </c>
      <c r="N337">
        <v>4.0999999999999996</v>
      </c>
      <c r="O337">
        <v>3.8</v>
      </c>
      <c r="P337">
        <v>3.5</v>
      </c>
      <c r="Q337">
        <v>3.2</v>
      </c>
      <c r="R337">
        <v>3.4</v>
      </c>
      <c r="S337">
        <v>3.3</v>
      </c>
      <c r="T337">
        <v>3</v>
      </c>
      <c r="U337">
        <v>2.1</v>
      </c>
      <c r="V337">
        <v>2.7</v>
      </c>
      <c r="W337">
        <v>3.4</v>
      </c>
      <c r="X337">
        <v>3</v>
      </c>
      <c r="Y337">
        <v>2.8</v>
      </c>
      <c r="Z337">
        <v>3.2</v>
      </c>
      <c r="AA337">
        <v>3.2</v>
      </c>
    </row>
    <row r="338" spans="1:27" x14ac:dyDescent="0.25">
      <c r="A338" s="21" t="s">
        <v>1735</v>
      </c>
      <c r="B338">
        <v>21.5</v>
      </c>
      <c r="C338">
        <v>18.100000000000001</v>
      </c>
      <c r="D338">
        <v>16.7</v>
      </c>
      <c r="E338">
        <v>16</v>
      </c>
      <c r="F338">
        <v>14.1</v>
      </c>
      <c r="G338">
        <v>13.8</v>
      </c>
      <c r="H338">
        <v>14.5</v>
      </c>
      <c r="I338">
        <v>12.6</v>
      </c>
      <c r="J338">
        <v>10</v>
      </c>
      <c r="K338">
        <v>9.8000000000000007</v>
      </c>
      <c r="L338">
        <v>9.9</v>
      </c>
      <c r="M338">
        <v>4</v>
      </c>
      <c r="N338">
        <v>6.1</v>
      </c>
      <c r="O338">
        <v>4.4000000000000004</v>
      </c>
      <c r="P338">
        <v>3.3</v>
      </c>
      <c r="Q338">
        <v>3.4</v>
      </c>
      <c r="R338">
        <v>2.9</v>
      </c>
      <c r="S338">
        <v>4.5</v>
      </c>
      <c r="T338">
        <v>3.2</v>
      </c>
      <c r="U338">
        <v>1.9</v>
      </c>
      <c r="V338">
        <v>1.9</v>
      </c>
      <c r="W338">
        <v>3.5</v>
      </c>
      <c r="X338">
        <v>2.9</v>
      </c>
      <c r="Y338">
        <v>3</v>
      </c>
      <c r="Z338">
        <v>2.5</v>
      </c>
      <c r="AA338">
        <v>2</v>
      </c>
    </row>
    <row r="339" spans="1:27" x14ac:dyDescent="0.25">
      <c r="A339" s="21" t="s">
        <v>1769</v>
      </c>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row>
    <row r="340" spans="1:27" x14ac:dyDescent="0.25">
      <c r="A340" s="31" t="s">
        <v>1770</v>
      </c>
      <c r="B340">
        <v>28.8</v>
      </c>
      <c r="C340">
        <v>27.6</v>
      </c>
      <c r="D340">
        <v>27.8</v>
      </c>
      <c r="E340">
        <v>27.3</v>
      </c>
      <c r="F340">
        <v>26</v>
      </c>
      <c r="G340">
        <v>24.8</v>
      </c>
      <c r="H340">
        <v>24.3</v>
      </c>
      <c r="I340">
        <v>22.6</v>
      </c>
      <c r="J340">
        <v>19.899999999999999</v>
      </c>
      <c r="K340">
        <v>19.600000000000001</v>
      </c>
      <c r="L340">
        <v>16.600000000000001</v>
      </c>
      <c r="M340">
        <v>15.4</v>
      </c>
      <c r="N340">
        <v>14.3</v>
      </c>
      <c r="O340">
        <v>13.8</v>
      </c>
      <c r="P340">
        <v>12.4</v>
      </c>
      <c r="Q340">
        <v>11.7</v>
      </c>
      <c r="R340">
        <v>10.4</v>
      </c>
      <c r="S340">
        <v>9.1999999999999993</v>
      </c>
      <c r="T340">
        <v>8.3000000000000007</v>
      </c>
      <c r="U340">
        <v>7.9</v>
      </c>
      <c r="V340">
        <v>8.4</v>
      </c>
      <c r="W340">
        <v>9.1999999999999993</v>
      </c>
      <c r="X340">
        <v>6.8</v>
      </c>
      <c r="Y340">
        <v>6.4</v>
      </c>
      <c r="Z340">
        <v>6.6</v>
      </c>
      <c r="AA340">
        <v>5.8</v>
      </c>
    </row>
    <row r="341" spans="1:27" x14ac:dyDescent="0.25">
      <c r="A341" s="21" t="s">
        <v>1771</v>
      </c>
      <c r="B341">
        <v>23.1</v>
      </c>
      <c r="C341">
        <v>22.1</v>
      </c>
      <c r="D341">
        <v>22.1</v>
      </c>
      <c r="E341">
        <v>21.4</v>
      </c>
      <c r="F341">
        <v>20.2</v>
      </c>
      <c r="G341">
        <v>18.600000000000001</v>
      </c>
      <c r="H341">
        <v>17</v>
      </c>
      <c r="I341">
        <v>15.6</v>
      </c>
      <c r="J341">
        <v>13.3</v>
      </c>
      <c r="K341">
        <v>13.6</v>
      </c>
      <c r="L341">
        <v>12.7</v>
      </c>
      <c r="M341">
        <v>12</v>
      </c>
      <c r="N341">
        <v>10.9</v>
      </c>
      <c r="O341">
        <v>9.9</v>
      </c>
      <c r="P341">
        <v>9.1</v>
      </c>
      <c r="Q341">
        <v>8.3000000000000007</v>
      </c>
      <c r="R341">
        <v>6.9</v>
      </c>
      <c r="S341">
        <v>6.2</v>
      </c>
      <c r="T341">
        <v>6.1</v>
      </c>
      <c r="U341">
        <v>6</v>
      </c>
      <c r="V341">
        <v>5.9</v>
      </c>
      <c r="W341">
        <v>6</v>
      </c>
      <c r="X341">
        <v>4.8</v>
      </c>
      <c r="Y341">
        <v>4.5999999999999996</v>
      </c>
      <c r="Z341">
        <v>4.8</v>
      </c>
      <c r="AA341">
        <v>4.2</v>
      </c>
    </row>
    <row r="342" spans="1:27" x14ac:dyDescent="0.25">
      <c r="A342" s="21" t="s">
        <v>1744</v>
      </c>
      <c r="B342">
        <v>5.2</v>
      </c>
      <c r="C342">
        <v>4.9000000000000004</v>
      </c>
      <c r="D342">
        <v>5.2</v>
      </c>
      <c r="E342">
        <v>5.3</v>
      </c>
      <c r="F342">
        <v>5.2</v>
      </c>
      <c r="G342">
        <v>5.4</v>
      </c>
      <c r="H342">
        <v>6.3</v>
      </c>
      <c r="I342">
        <v>6</v>
      </c>
      <c r="J342">
        <v>5.4</v>
      </c>
      <c r="K342">
        <v>4.8</v>
      </c>
      <c r="L342">
        <v>2.9</v>
      </c>
      <c r="M342">
        <v>2.7</v>
      </c>
      <c r="N342">
        <v>2.8</v>
      </c>
      <c r="O342">
        <v>3.3</v>
      </c>
      <c r="P342">
        <v>2.7</v>
      </c>
      <c r="Q342">
        <v>2.7</v>
      </c>
      <c r="R342">
        <v>2.8</v>
      </c>
      <c r="S342">
        <v>2.5</v>
      </c>
      <c r="T342">
        <v>1.8</v>
      </c>
      <c r="U342">
        <v>1.6</v>
      </c>
      <c r="V342">
        <v>2.1</v>
      </c>
      <c r="W342">
        <v>2.8</v>
      </c>
      <c r="X342">
        <v>1.6</v>
      </c>
      <c r="Y342">
        <v>1.5</v>
      </c>
      <c r="Z342">
        <v>1</v>
      </c>
      <c r="AA342">
        <v>0.9</v>
      </c>
    </row>
    <row r="343" spans="1:27" x14ac:dyDescent="0.25">
      <c r="A343" s="21" t="s">
        <v>1764</v>
      </c>
      <c r="B343">
        <v>0.5</v>
      </c>
      <c r="C343">
        <v>0.5</v>
      </c>
      <c r="D343">
        <v>0.5</v>
      </c>
      <c r="E343">
        <v>0.6</v>
      </c>
      <c r="F343">
        <v>0.7</v>
      </c>
      <c r="G343">
        <v>0.9</v>
      </c>
      <c r="H343">
        <v>1</v>
      </c>
      <c r="I343">
        <v>1</v>
      </c>
      <c r="J343">
        <v>1.2</v>
      </c>
      <c r="K343">
        <v>1.3</v>
      </c>
      <c r="L343">
        <v>1</v>
      </c>
      <c r="M343">
        <v>0.7</v>
      </c>
      <c r="N343">
        <v>0.6</v>
      </c>
      <c r="O343">
        <v>0.7</v>
      </c>
      <c r="P343">
        <v>0.7</v>
      </c>
      <c r="Q343">
        <v>0.7</v>
      </c>
      <c r="R343">
        <v>0.7</v>
      </c>
      <c r="S343">
        <v>0.5</v>
      </c>
      <c r="T343">
        <v>0.4</v>
      </c>
      <c r="U343">
        <v>0.3</v>
      </c>
      <c r="V343">
        <v>0.4</v>
      </c>
      <c r="W343">
        <v>0.4</v>
      </c>
      <c r="X343">
        <v>0.4</v>
      </c>
      <c r="Y343">
        <v>0.4</v>
      </c>
      <c r="Z343">
        <v>0.7</v>
      </c>
      <c r="AA343">
        <v>0.7</v>
      </c>
    </row>
    <row r="344" spans="1:27" x14ac:dyDescent="0.25">
      <c r="A344" s="31" t="s">
        <v>1772</v>
      </c>
      <c r="B344">
        <v>0</v>
      </c>
      <c r="C344">
        <v>0</v>
      </c>
      <c r="D344">
        <v>0</v>
      </c>
      <c r="E344">
        <v>0.1</v>
      </c>
      <c r="F344">
        <v>0.1</v>
      </c>
      <c r="G344">
        <v>0.1</v>
      </c>
      <c r="H344">
        <v>0.1</v>
      </c>
      <c r="I344">
        <v>0.1</v>
      </c>
      <c r="J344">
        <v>0.1</v>
      </c>
      <c r="K344">
        <v>0.1</v>
      </c>
      <c r="L344">
        <v>0.2</v>
      </c>
      <c r="M344">
        <v>0.2</v>
      </c>
      <c r="N344">
        <v>0.6</v>
      </c>
      <c r="O344">
        <v>0.5</v>
      </c>
      <c r="P344">
        <v>0.5</v>
      </c>
      <c r="Q344">
        <v>0.5</v>
      </c>
      <c r="R344">
        <v>0.7</v>
      </c>
      <c r="S344">
        <v>0.6</v>
      </c>
      <c r="T344">
        <v>0.6</v>
      </c>
      <c r="U344">
        <v>0.5</v>
      </c>
      <c r="V344">
        <v>0.5</v>
      </c>
      <c r="W344">
        <v>0.7</v>
      </c>
      <c r="X344">
        <v>0.6</v>
      </c>
      <c r="Y344">
        <v>0.6</v>
      </c>
      <c r="Z344">
        <v>0.5</v>
      </c>
      <c r="AA344">
        <v>0.6</v>
      </c>
    </row>
    <row r="345" spans="1:27" x14ac:dyDescent="0.25">
      <c r="A345" s="22" t="s">
        <v>1764</v>
      </c>
      <c r="B345">
        <v>0</v>
      </c>
      <c r="C345">
        <v>0</v>
      </c>
      <c r="D345">
        <v>0</v>
      </c>
      <c r="E345">
        <v>0.1</v>
      </c>
      <c r="F345">
        <v>0.1</v>
      </c>
      <c r="G345">
        <v>0.1</v>
      </c>
      <c r="H345">
        <v>0.1</v>
      </c>
      <c r="I345">
        <v>0.1</v>
      </c>
      <c r="J345">
        <v>0.1</v>
      </c>
      <c r="K345">
        <v>0.1</v>
      </c>
      <c r="L345">
        <v>0.2</v>
      </c>
      <c r="M345">
        <v>0.2</v>
      </c>
      <c r="N345">
        <v>0.6</v>
      </c>
      <c r="O345">
        <v>0.5</v>
      </c>
      <c r="P345">
        <v>0.5</v>
      </c>
      <c r="Q345">
        <v>0.5</v>
      </c>
      <c r="R345">
        <v>0.7</v>
      </c>
      <c r="S345">
        <v>0.6</v>
      </c>
      <c r="T345">
        <v>0.6</v>
      </c>
      <c r="U345">
        <v>0.5</v>
      </c>
      <c r="V345">
        <v>0.5</v>
      </c>
      <c r="W345">
        <v>0.7</v>
      </c>
      <c r="X345">
        <v>0.6</v>
      </c>
      <c r="Y345">
        <v>0.6</v>
      </c>
      <c r="Z345">
        <v>0.5</v>
      </c>
      <c r="AA345">
        <v>0.6</v>
      </c>
    </row>
    <row r="346" spans="1:27" x14ac:dyDescent="0.25">
      <c r="A346" s="23" t="s">
        <v>1773</v>
      </c>
      <c r="B346">
        <v>6363.1</v>
      </c>
      <c r="C346">
        <v>6308.3</v>
      </c>
      <c r="D346">
        <v>6420</v>
      </c>
      <c r="E346">
        <v>6530.5</v>
      </c>
      <c r="F346">
        <v>6621.6</v>
      </c>
      <c r="G346">
        <v>6709</v>
      </c>
      <c r="H346">
        <v>6903.1</v>
      </c>
      <c r="I346">
        <v>6962</v>
      </c>
      <c r="J346">
        <v>7017.5</v>
      </c>
      <c r="K346">
        <v>7056.8</v>
      </c>
      <c r="L346">
        <v>7213.9</v>
      </c>
      <c r="M346">
        <v>7095.2</v>
      </c>
      <c r="N346">
        <v>7131</v>
      </c>
      <c r="O346">
        <v>7171.5</v>
      </c>
      <c r="P346">
        <v>7304.6</v>
      </c>
      <c r="Q346">
        <v>7313.3</v>
      </c>
      <c r="R346">
        <v>7246.5</v>
      </c>
      <c r="S346">
        <v>7349.1</v>
      </c>
      <c r="T346">
        <v>7145.3</v>
      </c>
      <c r="U346">
        <v>6700.1</v>
      </c>
      <c r="V346">
        <v>6925.5</v>
      </c>
      <c r="W346">
        <v>6776.7</v>
      </c>
      <c r="X346">
        <v>6538.3</v>
      </c>
      <c r="Y346">
        <v>6680.1</v>
      </c>
      <c r="Z346">
        <v>6739.7</v>
      </c>
      <c r="AA346">
        <v>6586.7</v>
      </c>
    </row>
    <row r="347" spans="1:27" x14ac:dyDescent="0.25">
      <c r="A347" s="100" t="s">
        <v>1774</v>
      </c>
      <c r="B347">
        <v>10.6</v>
      </c>
      <c r="C347">
        <v>11.4</v>
      </c>
      <c r="D347">
        <v>8.4</v>
      </c>
      <c r="E347">
        <v>7.4</v>
      </c>
      <c r="F347">
        <v>16.100000000000001</v>
      </c>
      <c r="G347">
        <v>7.4</v>
      </c>
      <c r="H347">
        <v>13.2</v>
      </c>
      <c r="I347">
        <v>7.1</v>
      </c>
      <c r="J347">
        <v>9.6999999999999993</v>
      </c>
      <c r="K347">
        <v>15.1</v>
      </c>
      <c r="L347">
        <v>20.8</v>
      </c>
      <c r="M347">
        <v>14.2</v>
      </c>
      <c r="N347">
        <v>26.3</v>
      </c>
      <c r="O347">
        <v>18.2</v>
      </c>
      <c r="P347">
        <v>25.8</v>
      </c>
      <c r="Q347">
        <v>23</v>
      </c>
      <c r="R347">
        <v>22</v>
      </c>
      <c r="S347">
        <v>28</v>
      </c>
      <c r="T347">
        <v>19.899999999999999</v>
      </c>
      <c r="U347">
        <v>18.8</v>
      </c>
      <c r="V347">
        <v>12.5</v>
      </c>
      <c r="W347">
        <v>19.899999999999999</v>
      </c>
      <c r="X347">
        <v>26.1</v>
      </c>
      <c r="Y347">
        <v>19.2</v>
      </c>
      <c r="Z347">
        <v>19.7</v>
      </c>
      <c r="AA347">
        <v>19.7</v>
      </c>
    </row>
    <row r="348" spans="1:27" x14ac:dyDescent="0.25">
      <c r="A348" s="31" t="s">
        <v>1775</v>
      </c>
      <c r="B348">
        <v>-830.2</v>
      </c>
      <c r="C348">
        <v>-840.3</v>
      </c>
      <c r="D348">
        <v>-819.7</v>
      </c>
      <c r="E348">
        <v>-799.3</v>
      </c>
      <c r="F348">
        <v>-836.1</v>
      </c>
      <c r="G348">
        <v>-793.1</v>
      </c>
      <c r="H348">
        <v>-813.1</v>
      </c>
      <c r="I348">
        <v>-790.7</v>
      </c>
      <c r="J348">
        <v>-777.6</v>
      </c>
      <c r="K348">
        <v>-775.5</v>
      </c>
      <c r="L348">
        <v>-773.2</v>
      </c>
      <c r="M348">
        <v>-735.8</v>
      </c>
      <c r="N348">
        <v>-731.7</v>
      </c>
      <c r="O348">
        <v>-731.7</v>
      </c>
      <c r="P348">
        <v>-724.5</v>
      </c>
      <c r="Q348">
        <v>-754</v>
      </c>
      <c r="R348">
        <v>-763.2</v>
      </c>
      <c r="S348">
        <v>-726.5</v>
      </c>
      <c r="T348">
        <v>-704.8</v>
      </c>
      <c r="U348">
        <v>-710.3</v>
      </c>
      <c r="V348">
        <v>-729.7</v>
      </c>
      <c r="W348">
        <v>-769.1</v>
      </c>
      <c r="X348">
        <v>-779.8</v>
      </c>
      <c r="Y348">
        <v>-782.2</v>
      </c>
      <c r="Z348">
        <v>-781.1</v>
      </c>
      <c r="AA348">
        <v>-778.7</v>
      </c>
    </row>
    <row r="349" spans="1:27" x14ac:dyDescent="0.25">
      <c r="A349" s="20" t="s">
        <v>1776</v>
      </c>
      <c r="B349">
        <v>-819.6</v>
      </c>
      <c r="C349">
        <v>-828.8</v>
      </c>
      <c r="D349">
        <v>-811.3</v>
      </c>
      <c r="E349">
        <v>-791.9</v>
      </c>
      <c r="F349">
        <v>-820</v>
      </c>
      <c r="G349">
        <v>-785.7</v>
      </c>
      <c r="H349">
        <v>-799.9</v>
      </c>
      <c r="I349">
        <v>-783.6</v>
      </c>
      <c r="J349">
        <v>-767.9</v>
      </c>
      <c r="K349">
        <v>-760.5</v>
      </c>
      <c r="L349">
        <v>-752.4</v>
      </c>
      <c r="M349">
        <v>-721.6</v>
      </c>
      <c r="N349">
        <v>-705.4</v>
      </c>
      <c r="O349">
        <v>-713.5</v>
      </c>
      <c r="P349">
        <v>-698.7</v>
      </c>
      <c r="Q349">
        <v>-731</v>
      </c>
      <c r="R349">
        <v>-741.2</v>
      </c>
      <c r="S349">
        <v>-698.5</v>
      </c>
      <c r="T349">
        <v>-685</v>
      </c>
      <c r="U349">
        <v>-691.5</v>
      </c>
      <c r="V349">
        <v>-717.2</v>
      </c>
      <c r="W349">
        <v>-749.2</v>
      </c>
      <c r="X349">
        <v>-753.8</v>
      </c>
      <c r="Y349">
        <v>-763</v>
      </c>
      <c r="Z349">
        <v>-761.4</v>
      </c>
      <c r="AA349">
        <v>-758.9</v>
      </c>
    </row>
    <row r="350" spans="1:27" x14ac:dyDescent="0.25">
      <c r="A350" s="23" t="s">
        <v>1777</v>
      </c>
      <c r="B350">
        <v>5543.5</v>
      </c>
      <c r="C350">
        <v>5479.4</v>
      </c>
      <c r="D350">
        <v>5608.7</v>
      </c>
      <c r="E350">
        <v>5738.7</v>
      </c>
      <c r="F350">
        <v>5801.6</v>
      </c>
      <c r="G350">
        <v>5923.3</v>
      </c>
      <c r="H350">
        <v>6103.2</v>
      </c>
      <c r="I350">
        <v>6178.4</v>
      </c>
      <c r="J350">
        <v>6249.6</v>
      </c>
      <c r="K350">
        <v>6296.3</v>
      </c>
      <c r="L350">
        <v>6461.5</v>
      </c>
      <c r="M350">
        <v>6373.6</v>
      </c>
      <c r="N350">
        <v>6425.6</v>
      </c>
      <c r="O350">
        <v>6458</v>
      </c>
      <c r="P350">
        <v>6606</v>
      </c>
      <c r="Q350">
        <v>6582.3</v>
      </c>
      <c r="R350">
        <v>6505.2</v>
      </c>
      <c r="S350">
        <v>6650.6</v>
      </c>
      <c r="T350">
        <v>6460.4</v>
      </c>
      <c r="U350">
        <v>6008.6</v>
      </c>
      <c r="V350">
        <v>6208.3</v>
      </c>
      <c r="W350">
        <v>6027.6</v>
      </c>
      <c r="X350">
        <v>5784.5</v>
      </c>
      <c r="Y350">
        <v>5917.1</v>
      </c>
      <c r="Z350">
        <v>5978.3</v>
      </c>
      <c r="AA350">
        <v>5827.7</v>
      </c>
    </row>
    <row r="351" spans="1:27" ht="49.5" customHeight="1" x14ac:dyDescent="0.25">
      <c r="A351" s="362" t="s">
        <v>1778</v>
      </c>
      <c r="B351" s="362"/>
      <c r="C351" s="362"/>
      <c r="D351" s="362"/>
      <c r="E351" s="362"/>
      <c r="F351" s="362"/>
      <c r="G351" s="362"/>
      <c r="H351" s="362"/>
      <c r="I351" s="362"/>
      <c r="J351" s="362"/>
    </row>
    <row r="353" spans="1:6" x14ac:dyDescent="0.25">
      <c r="A353" s="56" t="s">
        <v>1789</v>
      </c>
      <c r="B353" s="56"/>
      <c r="C353" s="56"/>
      <c r="D353" s="56"/>
      <c r="E353" s="59"/>
      <c r="F353" s="59"/>
    </row>
    <row r="354" spans="1:6" x14ac:dyDescent="0.25">
      <c r="A354" s="55" t="s">
        <v>1707</v>
      </c>
      <c r="B354" s="55" t="s">
        <v>1708</v>
      </c>
      <c r="C354" s="55" t="s">
        <v>1063</v>
      </c>
      <c r="D354" s="55" t="s">
        <v>1790</v>
      </c>
      <c r="E354" s="55" t="s">
        <v>1791</v>
      </c>
      <c r="F354" s="55" t="s">
        <v>1792</v>
      </c>
    </row>
    <row r="355" spans="1:6" x14ac:dyDescent="0.25">
      <c r="A355" s="354" t="s">
        <v>1688</v>
      </c>
      <c r="B355" t="s">
        <v>1709</v>
      </c>
      <c r="C355" t="s">
        <v>1051</v>
      </c>
      <c r="D355" t="b">
        <f>IF((M2-D2)&lt;0,TRUE,FALSE)</f>
        <v>0</v>
      </c>
      <c r="E355" t="str">
        <f t="array" ref="E355:F355">IF(D355=TRUE,LOGEST(D2:M2,$D$1:$M$1,TRUE,FALSE),"")</f>
        <v/>
      </c>
      <c r="F355" t="str">
        <v/>
      </c>
    </row>
    <row r="356" spans="1:6" x14ac:dyDescent="0.25">
      <c r="A356" s="354" t="s">
        <v>1689</v>
      </c>
      <c r="B356" t="s">
        <v>273</v>
      </c>
      <c r="C356" t="s">
        <v>1051</v>
      </c>
      <c r="D356" t="b">
        <f t="shared" ref="D356:D419" si="186">IF((M3-D3)&lt;0,TRUE,FALSE)</f>
        <v>0</v>
      </c>
      <c r="E356" t="str">
        <f t="array" ref="E356:F356">IF(D356=TRUE,LOGEST(D3:M3,$D$1:$M$1,TRUE,FALSE),"")</f>
        <v/>
      </c>
      <c r="F356" t="str">
        <v/>
      </c>
    </row>
    <row r="357" spans="1:6" x14ac:dyDescent="0.25">
      <c r="A357" s="355" t="s">
        <v>1978</v>
      </c>
      <c r="B357" t="s">
        <v>469</v>
      </c>
      <c r="C357" t="s">
        <v>1051</v>
      </c>
      <c r="D357" t="b">
        <f t="shared" si="186"/>
        <v>1</v>
      </c>
      <c r="E357">
        <f t="array" ref="E357:F357">IF(D357=TRUE,LOGEST(D4:M4,$D$1:$M$1,TRUE,FALSE),"")</f>
        <v>0.98728653821604695</v>
      </c>
      <c r="F357">
        <v>25940461164118.504</v>
      </c>
    </row>
    <row r="358" spans="1:6" x14ac:dyDescent="0.25">
      <c r="A358" s="354" t="s">
        <v>1975</v>
      </c>
      <c r="B358" t="s">
        <v>469</v>
      </c>
      <c r="C358" t="s">
        <v>1051</v>
      </c>
      <c r="D358" t="b">
        <f t="shared" si="186"/>
        <v>0</v>
      </c>
      <c r="E358" t="str">
        <f t="array" ref="E358:F358">IF(D358=TRUE,LOGEST(D5:M5,$D$1:$M$1,TRUE,FALSE),"")</f>
        <v/>
      </c>
      <c r="F358" t="str">
        <v/>
      </c>
    </row>
    <row r="359" spans="1:6" x14ac:dyDescent="0.25">
      <c r="A359" s="354" t="s">
        <v>1692</v>
      </c>
      <c r="B359" t="s">
        <v>1710</v>
      </c>
      <c r="C359" t="s">
        <v>1051</v>
      </c>
      <c r="D359" t="b">
        <f t="shared" si="186"/>
        <v>1</v>
      </c>
      <c r="E359">
        <f t="array" ref="E359:F359">IF(D359=TRUE,LOGEST(D6:M6,$D$1:$M$1,TRUE,FALSE),"")</f>
        <v>0.99394338374881697</v>
      </c>
      <c r="F359">
        <v>2786255058.2847667</v>
      </c>
    </row>
    <row r="360" spans="1:6" x14ac:dyDescent="0.25">
      <c r="A360" s="354" t="s">
        <v>1693</v>
      </c>
      <c r="B360" t="s">
        <v>1710</v>
      </c>
      <c r="C360" t="s">
        <v>1051</v>
      </c>
      <c r="D360" t="b">
        <f t="shared" si="186"/>
        <v>0</v>
      </c>
      <c r="E360" t="str">
        <f t="array" ref="E360:F360">IF(D360=TRUE,LOGEST(D7:M7,$D$1:$M$1,TRUE,FALSE),"")</f>
        <v/>
      </c>
      <c r="F360" t="str">
        <v/>
      </c>
    </row>
    <row r="361" spans="1:6" x14ac:dyDescent="0.25">
      <c r="A361" s="354" t="s">
        <v>1694</v>
      </c>
      <c r="B361" t="s">
        <v>273</v>
      </c>
      <c r="C361" t="s">
        <v>1051</v>
      </c>
      <c r="D361" t="b">
        <f t="shared" si="186"/>
        <v>0</v>
      </c>
      <c r="E361" t="str">
        <f t="array" ref="E361:F361">IF(D361=TRUE,LOGEST(D8:M8,$D$1:$M$1,TRUE,FALSE),"")</f>
        <v/>
      </c>
      <c r="F361" t="str">
        <v/>
      </c>
    </row>
    <row r="362" spans="1:6" x14ac:dyDescent="0.25">
      <c r="A362" s="355" t="s">
        <v>1977</v>
      </c>
      <c r="B362" t="s">
        <v>469</v>
      </c>
      <c r="C362" t="s">
        <v>1051</v>
      </c>
      <c r="D362" t="b">
        <f t="shared" si="186"/>
        <v>1</v>
      </c>
      <c r="E362">
        <f t="array" ref="E362:F362">IF(D362=TRUE,LOGEST(D9:M9,$D$1:$M$1,TRUE,FALSE),"")</f>
        <v>0.89317245133606682</v>
      </c>
      <c r="F362">
        <v>1.4288777456681006E+102</v>
      </c>
    </row>
    <row r="363" spans="1:6" x14ac:dyDescent="0.25">
      <c r="A363" s="354" t="s">
        <v>1696</v>
      </c>
      <c r="B363" t="s">
        <v>273</v>
      </c>
      <c r="C363" t="s">
        <v>1051</v>
      </c>
      <c r="D363" t="b">
        <f t="shared" si="186"/>
        <v>1</v>
      </c>
      <c r="E363">
        <f t="array" ref="E363:F363">IF(D363=TRUE,LOGEST(D10:M10,$D$1:$M$1,TRUE,FALSE),"")</f>
        <v>0.99593902202174767</v>
      </c>
      <c r="F363">
        <v>9982389.8883004673</v>
      </c>
    </row>
    <row r="364" spans="1:6" x14ac:dyDescent="0.25">
      <c r="A364" s="354" t="s">
        <v>1697</v>
      </c>
      <c r="B364" t="s">
        <v>272</v>
      </c>
      <c r="C364" t="s">
        <v>1051</v>
      </c>
      <c r="D364" t="b">
        <f t="shared" si="186"/>
        <v>0</v>
      </c>
      <c r="E364" t="str">
        <f t="array" ref="E364:F364">IF(D364=TRUE,LOGEST(D11:M11,$D$1:$M$1,TRUE,FALSE),"")</f>
        <v/>
      </c>
      <c r="F364" t="str">
        <v/>
      </c>
    </row>
    <row r="365" spans="1:6" x14ac:dyDescent="0.25">
      <c r="A365" s="354" t="s">
        <v>1698</v>
      </c>
      <c r="B365" t="s">
        <v>469</v>
      </c>
      <c r="C365" t="s">
        <v>1051</v>
      </c>
      <c r="D365" t="b">
        <f t="shared" si="186"/>
        <v>0</v>
      </c>
      <c r="E365" t="str">
        <f t="array" ref="E365:F365">IF(D365=TRUE,LOGEST(D12:M12,$D$1:$M$1,TRUE,FALSE),"")</f>
        <v/>
      </c>
      <c r="F365" t="str">
        <v/>
      </c>
    </row>
    <row r="366" spans="1:6" x14ac:dyDescent="0.25">
      <c r="A366" s="354" t="s">
        <v>1699</v>
      </c>
      <c r="B366" t="s">
        <v>469</v>
      </c>
      <c r="C366" t="s">
        <v>1051</v>
      </c>
      <c r="D366" t="b">
        <f t="shared" si="186"/>
        <v>1</v>
      </c>
      <c r="E366">
        <f t="array" ref="E366:F366">IF(D366=TRUE,LOGEST(D13:M13,$D$1:$M$1,TRUE,FALSE),"")</f>
        <v>0.98497562925916882</v>
      </c>
      <c r="F366">
        <v>2.8505247598442592E+16</v>
      </c>
    </row>
    <row r="367" spans="1:6" x14ac:dyDescent="0.25">
      <c r="A367" s="354" t="s">
        <v>1700</v>
      </c>
      <c r="B367" t="s">
        <v>469</v>
      </c>
      <c r="C367" t="s">
        <v>1051</v>
      </c>
      <c r="D367" t="b">
        <f t="shared" si="186"/>
        <v>1</v>
      </c>
      <c r="E367">
        <f t="array" ref="E367:F367">IF(D367=TRUE,LOGEST(D14:M14,$D$1:$M$1,TRUE,FALSE),"")</f>
        <v>1.006797156731505</v>
      </c>
      <c r="F367">
        <v>1.3717941042795132E-3</v>
      </c>
    </row>
    <row r="368" spans="1:6" x14ac:dyDescent="0.25">
      <c r="A368" s="354" t="s">
        <v>1701</v>
      </c>
      <c r="B368" t="s">
        <v>273</v>
      </c>
      <c r="C368" t="s">
        <v>1051</v>
      </c>
      <c r="D368" t="b">
        <f t="shared" si="186"/>
        <v>1</v>
      </c>
      <c r="E368">
        <f t="array" ref="E368:F368">IF(D368=TRUE,LOGEST(D15:M15,$D$1:$M$1,TRUE,FALSE),"")</f>
        <v>0.98900605255717089</v>
      </c>
      <c r="F368">
        <v>4946406093132.1611</v>
      </c>
    </row>
    <row r="369" spans="1:6" x14ac:dyDescent="0.25">
      <c r="A369" s="354" t="s">
        <v>1702</v>
      </c>
      <c r="B369" t="s">
        <v>469</v>
      </c>
      <c r="C369" t="s">
        <v>1051</v>
      </c>
      <c r="D369" t="b">
        <f t="shared" si="186"/>
        <v>1</v>
      </c>
      <c r="E369">
        <f t="array" ref="E369:F369">IF(D369=TRUE,LOGEST(D16:M16,$D$1:$M$1,TRUE,FALSE),"")</f>
        <v>0.98232840832993429</v>
      </c>
      <c r="F369">
        <v>1.9478255583203072E+18</v>
      </c>
    </row>
    <row r="370" spans="1:6" x14ac:dyDescent="0.25">
      <c r="A370" s="354" t="s">
        <v>1703</v>
      </c>
      <c r="B370" t="s">
        <v>459</v>
      </c>
      <c r="C370" t="s">
        <v>1051</v>
      </c>
      <c r="D370" t="b">
        <f t="shared" si="186"/>
        <v>0</v>
      </c>
      <c r="E370" t="str">
        <f t="array" ref="E370:F370">IF(D370=TRUE,LOGEST(D17:M17,$D$1:$M$1,TRUE,FALSE),"")</f>
        <v/>
      </c>
      <c r="F370" t="str">
        <v/>
      </c>
    </row>
    <row r="371" spans="1:6" x14ac:dyDescent="0.25">
      <c r="A371" s="354" t="s">
        <v>1704</v>
      </c>
      <c r="B371" t="s">
        <v>463</v>
      </c>
      <c r="C371" t="s">
        <v>1051</v>
      </c>
      <c r="D371" t="b">
        <f t="shared" si="186"/>
        <v>0</v>
      </c>
      <c r="E371" t="str">
        <f t="array" ref="E371:F371">IF(D371=TRUE,LOGEST(D18:M18,$D$1:$M$1,TRUE,FALSE),"")</f>
        <v/>
      </c>
      <c r="F371" t="str">
        <v/>
      </c>
    </row>
    <row r="372" spans="1:6" x14ac:dyDescent="0.25">
      <c r="A372" s="354" t="s">
        <v>1705</v>
      </c>
      <c r="B372" t="s">
        <v>463</v>
      </c>
      <c r="C372" t="s">
        <v>1051</v>
      </c>
      <c r="D372" t="b">
        <f t="shared" si="186"/>
        <v>0</v>
      </c>
      <c r="E372" t="str">
        <f t="array" ref="E372:F372">IF(D372=TRUE,LOGEST(D19:M19,$D$1:$M$1,TRUE,FALSE),"")</f>
        <v/>
      </c>
      <c r="F372" t="str">
        <v/>
      </c>
    </row>
    <row r="373" spans="1:6" x14ac:dyDescent="0.25">
      <c r="A373" s="354" t="s">
        <v>1706</v>
      </c>
      <c r="B373" t="s">
        <v>469</v>
      </c>
      <c r="C373" t="s">
        <v>1051</v>
      </c>
      <c r="D373" t="b">
        <f t="shared" si="186"/>
        <v>0</v>
      </c>
      <c r="E373" t="str">
        <f t="array" ref="E373:F373">IF(D373=TRUE,LOGEST(D20:M20,$D$1:$M$1,TRUE,FALSE),"")</f>
        <v/>
      </c>
      <c r="F373" t="str">
        <v/>
      </c>
    </row>
    <row r="374" spans="1:6" x14ac:dyDescent="0.25">
      <c r="A374" s="354" t="s">
        <v>1971</v>
      </c>
      <c r="B374" t="s">
        <v>469</v>
      </c>
      <c r="C374" t="s">
        <v>1051</v>
      </c>
      <c r="D374" t="b">
        <f t="shared" si="186"/>
        <v>0</v>
      </c>
      <c r="E374" t="str">
        <f t="array" ref="E374:F374">IF(D374=TRUE,LOGEST(D21:M21,$D$1:$M$1,TRUE,FALSE),"")</f>
        <v/>
      </c>
      <c r="F374" t="str">
        <v/>
      </c>
    </row>
    <row r="375" spans="1:6" x14ac:dyDescent="0.25">
      <c r="A375" s="354" t="s">
        <v>1972</v>
      </c>
      <c r="B375" t="s">
        <v>469</v>
      </c>
      <c r="C375" t="s">
        <v>1051</v>
      </c>
      <c r="D375" t="b">
        <f t="shared" si="186"/>
        <v>0</v>
      </c>
      <c r="E375" t="str">
        <f t="array" ref="E375:F375">IF(D375=TRUE,LOGEST(D22:M22,$D$1:$M$1,TRUE,FALSE),"")</f>
        <v/>
      </c>
      <c r="F375" t="str">
        <v/>
      </c>
    </row>
    <row r="376" spans="1:6" x14ac:dyDescent="0.25">
      <c r="A376" s="354" t="s">
        <v>1973</v>
      </c>
      <c r="B376" t="s">
        <v>469</v>
      </c>
      <c r="C376" t="s">
        <v>1051</v>
      </c>
      <c r="D376" t="b">
        <f t="shared" si="186"/>
        <v>1</v>
      </c>
      <c r="E376">
        <f t="array" ref="E376:F376">IF(D376=TRUE,LOGEST(D23:M23,$D$1:$M$1,TRUE,FALSE),"")</f>
        <v>0.97786306254384159</v>
      </c>
      <c r="F376">
        <v>3.9319065200046907E+23</v>
      </c>
    </row>
    <row r="377" spans="1:6" x14ac:dyDescent="0.25">
      <c r="A377" s="354" t="s">
        <v>1974</v>
      </c>
      <c r="B377" t="s">
        <v>469</v>
      </c>
      <c r="C377" t="s">
        <v>1051</v>
      </c>
      <c r="D377" t="b">
        <f t="shared" si="186"/>
        <v>1</v>
      </c>
      <c r="E377">
        <f t="array" ref="E377:F377">IF(D377=TRUE,LOGEST(D24:M24,$D$1:$M$1,TRUE,FALSE),"")</f>
        <v>0.98548109738415657</v>
      </c>
      <c r="F377">
        <v>2.5212911387049056E+16</v>
      </c>
    </row>
    <row r="378" spans="1:6" x14ac:dyDescent="0.25">
      <c r="A378" s="354" t="s">
        <v>1976</v>
      </c>
      <c r="B378" t="s">
        <v>469</v>
      </c>
      <c r="C378" t="s">
        <v>1051</v>
      </c>
      <c r="D378" t="b">
        <f t="shared" si="186"/>
        <v>1</v>
      </c>
      <c r="E378">
        <f t="array" ref="E378:F378">IF(D378=TRUE,LOGEST(D25:M25,$D$1:$M$1,TRUE,FALSE),"")</f>
        <v>0.96775618456000012</v>
      </c>
      <c r="F378">
        <v>5.774053363028506E+31</v>
      </c>
    </row>
    <row r="379" spans="1:6" x14ac:dyDescent="0.25">
      <c r="A379" s="354" t="s">
        <v>1688</v>
      </c>
      <c r="B379" t="s">
        <v>1709</v>
      </c>
      <c r="C379" t="s">
        <v>1060</v>
      </c>
      <c r="D379" t="b">
        <f t="shared" si="186"/>
        <v>1</v>
      </c>
      <c r="E379">
        <f t="array" ref="E379:F379">IF(D379=TRUE,LOGEST(D26:M26,$D$1:$M$1,TRUE,FALSE),"")</f>
        <v>0.9977957351865</v>
      </c>
      <c r="F379">
        <v>21531.968489522624</v>
      </c>
    </row>
    <row r="380" spans="1:6" x14ac:dyDescent="0.25">
      <c r="A380" s="354" t="s">
        <v>1689</v>
      </c>
      <c r="B380" t="s">
        <v>273</v>
      </c>
      <c r="C380" t="s">
        <v>1060</v>
      </c>
      <c r="D380" t="b">
        <f t="shared" si="186"/>
        <v>0</v>
      </c>
      <c r="E380" t="str">
        <f t="array" ref="E380:F380">IF(D380=TRUE,LOGEST(D27:M27,$D$1:$M$1,TRUE,FALSE),"")</f>
        <v/>
      </c>
      <c r="F380" t="str">
        <v/>
      </c>
    </row>
    <row r="381" spans="1:6" x14ac:dyDescent="0.25">
      <c r="A381" s="355" t="s">
        <v>1978</v>
      </c>
      <c r="B381" t="s">
        <v>469</v>
      </c>
      <c r="C381" t="s">
        <v>1060</v>
      </c>
      <c r="D381" t="b">
        <f t="shared" si="186"/>
        <v>0</v>
      </c>
      <c r="E381" t="str">
        <f t="array" ref="E381:F381">IF(D381=TRUE,LOGEST(D28:M28,$D$1:$M$1,TRUE,FALSE),"")</f>
        <v/>
      </c>
      <c r="F381" t="str">
        <v/>
      </c>
    </row>
    <row r="382" spans="1:6" x14ac:dyDescent="0.25">
      <c r="A382" s="354" t="s">
        <v>1975</v>
      </c>
      <c r="B382" t="s">
        <v>469</v>
      </c>
      <c r="C382" t="s">
        <v>1060</v>
      </c>
      <c r="D382" t="b">
        <f t="shared" si="186"/>
        <v>0</v>
      </c>
      <c r="E382" t="str">
        <f t="array" ref="E382:F382">IF(D382=TRUE,LOGEST(D29:M29,$D$1:$M$1,TRUE,FALSE),"")</f>
        <v/>
      </c>
      <c r="F382" t="str">
        <v/>
      </c>
    </row>
    <row r="383" spans="1:6" x14ac:dyDescent="0.25">
      <c r="A383" s="354" t="s">
        <v>1692</v>
      </c>
      <c r="B383" t="s">
        <v>1710</v>
      </c>
      <c r="C383" t="s">
        <v>1060</v>
      </c>
      <c r="D383" t="b">
        <f t="shared" si="186"/>
        <v>0</v>
      </c>
      <c r="E383" t="str">
        <f t="array" ref="E383:F383">IF(D383=TRUE,LOGEST(D30:M30,$D$1:$M$1,TRUE,FALSE),"")</f>
        <v/>
      </c>
      <c r="F383" t="str">
        <v/>
      </c>
    </row>
    <row r="384" spans="1:6" x14ac:dyDescent="0.25">
      <c r="A384" s="354" t="s">
        <v>1693</v>
      </c>
      <c r="B384" t="s">
        <v>1710</v>
      </c>
      <c r="C384" t="s">
        <v>1060</v>
      </c>
      <c r="D384" t="b">
        <f t="shared" si="186"/>
        <v>0</v>
      </c>
      <c r="E384" t="str">
        <f t="array" ref="E384:F384">IF(D384=TRUE,LOGEST(D31:M31,$D$1:$M$1,TRUE,FALSE),"")</f>
        <v/>
      </c>
      <c r="F384" t="str">
        <v/>
      </c>
    </row>
    <row r="385" spans="1:6" x14ac:dyDescent="0.25">
      <c r="A385" s="354" t="s">
        <v>1694</v>
      </c>
      <c r="B385" t="s">
        <v>273</v>
      </c>
      <c r="C385" t="s">
        <v>1060</v>
      </c>
      <c r="D385" t="b">
        <f t="shared" si="186"/>
        <v>0</v>
      </c>
      <c r="E385" t="str">
        <f t="array" ref="E385:F385">IF(D385=TRUE,LOGEST(D32:M32,$D$1:$M$1,TRUE,FALSE),"")</f>
        <v/>
      </c>
      <c r="F385" t="str">
        <v/>
      </c>
    </row>
    <row r="386" spans="1:6" x14ac:dyDescent="0.25">
      <c r="A386" s="355" t="s">
        <v>1977</v>
      </c>
      <c r="B386" t="s">
        <v>469</v>
      </c>
      <c r="C386" t="s">
        <v>1060</v>
      </c>
      <c r="D386" t="b">
        <f t="shared" si="186"/>
        <v>0</v>
      </c>
      <c r="E386" t="str">
        <f t="array" ref="E386:F386">IF(D386=TRUE,LOGEST(D33:M33,$D$1:$M$1,TRUE,FALSE),"")</f>
        <v/>
      </c>
      <c r="F386" t="str">
        <v/>
      </c>
    </row>
    <row r="387" spans="1:6" x14ac:dyDescent="0.25">
      <c r="A387" s="354" t="s">
        <v>1696</v>
      </c>
      <c r="B387" t="s">
        <v>273</v>
      </c>
      <c r="C387" t="s">
        <v>1060</v>
      </c>
      <c r="D387" t="b">
        <f t="shared" si="186"/>
        <v>0</v>
      </c>
      <c r="E387" t="str">
        <f t="array" ref="E387:F387">IF(D387=TRUE,LOGEST(D34:M34,$D$1:$M$1,TRUE,FALSE),"")</f>
        <v/>
      </c>
      <c r="F387" t="str">
        <v/>
      </c>
    </row>
    <row r="388" spans="1:6" x14ac:dyDescent="0.25">
      <c r="A388" s="354" t="s">
        <v>1697</v>
      </c>
      <c r="B388" t="s">
        <v>272</v>
      </c>
      <c r="C388" t="s">
        <v>1060</v>
      </c>
      <c r="D388" t="b">
        <f t="shared" si="186"/>
        <v>0</v>
      </c>
      <c r="E388" t="str">
        <f t="array" ref="E388:F388">IF(D388=TRUE,LOGEST(D35:M35,$D$1:$M$1,TRUE,FALSE),"")</f>
        <v/>
      </c>
      <c r="F388" t="str">
        <v/>
      </c>
    </row>
    <row r="389" spans="1:6" x14ac:dyDescent="0.25">
      <c r="A389" s="354" t="s">
        <v>1698</v>
      </c>
      <c r="B389" t="s">
        <v>469</v>
      </c>
      <c r="C389" t="s">
        <v>1060</v>
      </c>
      <c r="D389" t="b">
        <f t="shared" si="186"/>
        <v>0</v>
      </c>
      <c r="E389" t="str">
        <f t="array" ref="E389:F389">IF(D389=TRUE,LOGEST(D36:M36,$D$1:$M$1,TRUE,FALSE),"")</f>
        <v/>
      </c>
      <c r="F389" t="str">
        <v/>
      </c>
    </row>
    <row r="390" spans="1:6" x14ac:dyDescent="0.25">
      <c r="A390" s="354" t="s">
        <v>1699</v>
      </c>
      <c r="B390" t="s">
        <v>469</v>
      </c>
      <c r="C390" t="s">
        <v>1060</v>
      </c>
      <c r="D390" t="b">
        <f t="shared" si="186"/>
        <v>0</v>
      </c>
      <c r="E390" t="str">
        <f t="array" ref="E390:F390">IF(D390=TRUE,LOGEST(D37:M37,$D$1:$M$1,TRUE,FALSE),"")</f>
        <v/>
      </c>
      <c r="F390" t="str">
        <v/>
      </c>
    </row>
    <row r="391" spans="1:6" x14ac:dyDescent="0.25">
      <c r="A391" s="354" t="s">
        <v>1700</v>
      </c>
      <c r="B391" t="s">
        <v>469</v>
      </c>
      <c r="C391" t="s">
        <v>1060</v>
      </c>
      <c r="D391" t="b">
        <f t="shared" si="186"/>
        <v>0</v>
      </c>
      <c r="E391" t="str">
        <f t="array" ref="E391:F391">IF(D391=TRUE,LOGEST(D38:M38,$D$1:$M$1,TRUE,FALSE),"")</f>
        <v/>
      </c>
      <c r="F391" t="str">
        <v/>
      </c>
    </row>
    <row r="392" spans="1:6" x14ac:dyDescent="0.25">
      <c r="A392" s="354" t="s">
        <v>1701</v>
      </c>
      <c r="B392" t="s">
        <v>273</v>
      </c>
      <c r="C392" t="s">
        <v>1060</v>
      </c>
      <c r="D392" t="b">
        <f t="shared" si="186"/>
        <v>0</v>
      </c>
      <c r="E392" t="str">
        <f t="array" ref="E392:F392">IF(D392=TRUE,LOGEST(D39:M39,$D$1:$M$1,TRUE,FALSE),"")</f>
        <v/>
      </c>
      <c r="F392" t="str">
        <v/>
      </c>
    </row>
    <row r="393" spans="1:6" x14ac:dyDescent="0.25">
      <c r="A393" s="354" t="s">
        <v>1702</v>
      </c>
      <c r="B393" t="s">
        <v>469</v>
      </c>
      <c r="C393" t="s">
        <v>1060</v>
      </c>
      <c r="D393" t="b">
        <f t="shared" si="186"/>
        <v>0</v>
      </c>
      <c r="E393" t="str">
        <f t="array" ref="E393:F393">IF(D393=TRUE,LOGEST(D40:M40,$D$1:$M$1,TRUE,FALSE),"")</f>
        <v/>
      </c>
      <c r="F393" t="str">
        <v/>
      </c>
    </row>
    <row r="394" spans="1:6" x14ac:dyDescent="0.25">
      <c r="A394" s="354" t="s">
        <v>1703</v>
      </c>
      <c r="B394" t="s">
        <v>459</v>
      </c>
      <c r="C394" t="s">
        <v>1060</v>
      </c>
      <c r="D394" t="b">
        <f t="shared" si="186"/>
        <v>0</v>
      </c>
      <c r="E394" t="str">
        <f t="array" ref="E394:F394">IF(D394=TRUE,LOGEST(D41:M41,$D$1:$M$1,TRUE,FALSE),"")</f>
        <v/>
      </c>
      <c r="F394" t="str">
        <v/>
      </c>
    </row>
    <row r="395" spans="1:6" x14ac:dyDescent="0.25">
      <c r="A395" s="354" t="s">
        <v>1704</v>
      </c>
      <c r="B395" t="s">
        <v>463</v>
      </c>
      <c r="C395" t="s">
        <v>1060</v>
      </c>
      <c r="D395" t="b">
        <f t="shared" si="186"/>
        <v>0</v>
      </c>
      <c r="E395" t="str">
        <f t="array" ref="E395:F395">IF(D395=TRUE,LOGEST(D42:M42,$D$1:$M$1,TRUE,FALSE),"")</f>
        <v/>
      </c>
      <c r="F395" t="str">
        <v/>
      </c>
    </row>
    <row r="396" spans="1:6" x14ac:dyDescent="0.25">
      <c r="A396" s="354" t="s">
        <v>1705</v>
      </c>
      <c r="B396" t="s">
        <v>463</v>
      </c>
      <c r="C396" t="s">
        <v>1060</v>
      </c>
      <c r="D396" t="b">
        <f t="shared" si="186"/>
        <v>0</v>
      </c>
      <c r="E396" t="str">
        <f t="array" ref="E396:F396">IF(D396=TRUE,LOGEST(D43:M43,$D$1:$M$1,TRUE,FALSE),"")</f>
        <v/>
      </c>
      <c r="F396" t="str">
        <v/>
      </c>
    </row>
    <row r="397" spans="1:6" x14ac:dyDescent="0.25">
      <c r="A397" s="354" t="s">
        <v>1706</v>
      </c>
      <c r="B397" t="s">
        <v>469</v>
      </c>
      <c r="C397" t="s">
        <v>1060</v>
      </c>
      <c r="D397" t="b">
        <f t="shared" si="186"/>
        <v>0</v>
      </c>
      <c r="E397" t="str">
        <f t="array" ref="E397:F397">IF(D397=TRUE,LOGEST(D44:M44,$D$1:$M$1,TRUE,FALSE),"")</f>
        <v/>
      </c>
      <c r="F397" t="str">
        <v/>
      </c>
    </row>
    <row r="398" spans="1:6" x14ac:dyDescent="0.25">
      <c r="A398" s="354" t="s">
        <v>1971</v>
      </c>
      <c r="B398" t="s">
        <v>469</v>
      </c>
      <c r="C398" t="s">
        <v>1060</v>
      </c>
      <c r="D398" t="b">
        <f t="shared" si="186"/>
        <v>0</v>
      </c>
      <c r="E398" t="str">
        <f t="array" ref="E398:F398">IF(D398=TRUE,LOGEST(D45:M45,$D$1:$M$1,TRUE,FALSE),"")</f>
        <v/>
      </c>
      <c r="F398" t="str">
        <v/>
      </c>
    </row>
    <row r="399" spans="1:6" x14ac:dyDescent="0.25">
      <c r="A399" s="354" t="s">
        <v>1972</v>
      </c>
      <c r="B399" t="s">
        <v>469</v>
      </c>
      <c r="C399" t="s">
        <v>1060</v>
      </c>
      <c r="D399" t="b">
        <f t="shared" si="186"/>
        <v>0</v>
      </c>
      <c r="E399" t="str">
        <f t="array" ref="E399:F399">IF(D399=TRUE,LOGEST(D46:M46,$D$1:$M$1,TRUE,FALSE),"")</f>
        <v/>
      </c>
      <c r="F399" t="str">
        <v/>
      </c>
    </row>
    <row r="400" spans="1:6" x14ac:dyDescent="0.25">
      <c r="A400" s="354" t="s">
        <v>1973</v>
      </c>
      <c r="B400" t="s">
        <v>469</v>
      </c>
      <c r="C400" t="s">
        <v>1060</v>
      </c>
      <c r="D400" t="b">
        <f t="shared" si="186"/>
        <v>0</v>
      </c>
      <c r="E400" t="str">
        <f t="array" ref="E400:F400">IF(D400=TRUE,LOGEST(D47:M47,$D$1:$M$1,TRUE,FALSE),"")</f>
        <v/>
      </c>
      <c r="F400" t="str">
        <v/>
      </c>
    </row>
    <row r="401" spans="1:6" x14ac:dyDescent="0.25">
      <c r="A401" s="354" t="s">
        <v>1974</v>
      </c>
      <c r="B401" t="s">
        <v>469</v>
      </c>
      <c r="C401" t="s">
        <v>1060</v>
      </c>
      <c r="D401" t="b">
        <f t="shared" si="186"/>
        <v>0</v>
      </c>
      <c r="E401" t="str">
        <f t="array" ref="E401:F401">IF(D401=TRUE,LOGEST(D48:M48,$D$1:$M$1,TRUE,FALSE),"")</f>
        <v/>
      </c>
      <c r="F401" t="str">
        <v/>
      </c>
    </row>
    <row r="402" spans="1:6" x14ac:dyDescent="0.25">
      <c r="A402" s="354" t="s">
        <v>1976</v>
      </c>
      <c r="B402" t="s">
        <v>469</v>
      </c>
      <c r="C402" t="s">
        <v>1060</v>
      </c>
      <c r="D402" t="b">
        <f t="shared" si="186"/>
        <v>0</v>
      </c>
      <c r="E402" t="str">
        <f t="array" ref="E402:F402">IF(D402=TRUE,LOGEST(D49:M49,$D$1:$M$1,TRUE,FALSE),"")</f>
        <v/>
      </c>
      <c r="F402" t="str">
        <v/>
      </c>
    </row>
    <row r="403" spans="1:6" x14ac:dyDescent="0.25">
      <c r="A403" s="354" t="s">
        <v>1688</v>
      </c>
      <c r="B403" t="s">
        <v>1709</v>
      </c>
      <c r="C403" t="s">
        <v>1061</v>
      </c>
      <c r="D403" t="b">
        <f t="shared" si="186"/>
        <v>0</v>
      </c>
      <c r="E403" t="str">
        <f t="array" ref="E403:F403">IF(D403=TRUE,LOGEST(D50:M50,$D$1:$M$1,TRUE,FALSE),"")</f>
        <v/>
      </c>
      <c r="F403" t="str">
        <v/>
      </c>
    </row>
    <row r="404" spans="1:6" x14ac:dyDescent="0.25">
      <c r="A404" s="354" t="s">
        <v>1689</v>
      </c>
      <c r="B404" t="s">
        <v>273</v>
      </c>
      <c r="C404" t="s">
        <v>1061</v>
      </c>
      <c r="D404" t="b">
        <f t="shared" si="186"/>
        <v>0</v>
      </c>
      <c r="E404" t="str">
        <f t="array" ref="E404:F404">IF(D404=TRUE,LOGEST(D51:M51,$D$1:$M$1,TRUE,FALSE),"")</f>
        <v/>
      </c>
      <c r="F404" t="str">
        <v/>
      </c>
    </row>
    <row r="405" spans="1:6" x14ac:dyDescent="0.25">
      <c r="A405" s="355" t="s">
        <v>1978</v>
      </c>
      <c r="B405" t="s">
        <v>469</v>
      </c>
      <c r="C405" t="s">
        <v>1061</v>
      </c>
      <c r="D405" t="b">
        <f t="shared" si="186"/>
        <v>0</v>
      </c>
      <c r="E405" t="str">
        <f t="array" ref="E405:F405">IF(D405=TRUE,LOGEST(D52:M52,$D$1:$M$1,TRUE,FALSE),"")</f>
        <v/>
      </c>
      <c r="F405" t="str">
        <v/>
      </c>
    </row>
    <row r="406" spans="1:6" x14ac:dyDescent="0.25">
      <c r="A406" s="354" t="s">
        <v>1975</v>
      </c>
      <c r="B406" t="s">
        <v>469</v>
      </c>
      <c r="C406" t="s">
        <v>1061</v>
      </c>
      <c r="D406" t="b">
        <f t="shared" si="186"/>
        <v>0</v>
      </c>
      <c r="E406" t="str">
        <f t="array" ref="E406:F406">IF(D406=TRUE,LOGEST(D53:M53,$D$1:$M$1,TRUE,FALSE),"")</f>
        <v/>
      </c>
      <c r="F406" t="str">
        <v/>
      </c>
    </row>
    <row r="407" spans="1:6" x14ac:dyDescent="0.25">
      <c r="A407" s="354" t="s">
        <v>1692</v>
      </c>
      <c r="B407" t="s">
        <v>1710</v>
      </c>
      <c r="C407" t="s">
        <v>1061</v>
      </c>
      <c r="D407" t="b">
        <f t="shared" si="186"/>
        <v>0</v>
      </c>
      <c r="E407" t="str">
        <f t="array" ref="E407:F407">IF(D407=TRUE,LOGEST(D54:M54,$D$1:$M$1,TRUE,FALSE),"")</f>
        <v/>
      </c>
      <c r="F407" t="str">
        <v/>
      </c>
    </row>
    <row r="408" spans="1:6" x14ac:dyDescent="0.25">
      <c r="A408" s="354" t="s">
        <v>1693</v>
      </c>
      <c r="B408" t="s">
        <v>1710</v>
      </c>
      <c r="C408" t="s">
        <v>1061</v>
      </c>
      <c r="D408" t="b">
        <f t="shared" si="186"/>
        <v>0</v>
      </c>
      <c r="E408" t="str">
        <f t="array" ref="E408:F408">IF(D408=TRUE,LOGEST(D55:M55,$D$1:$M$1,TRUE,FALSE),"")</f>
        <v/>
      </c>
      <c r="F408" t="str">
        <v/>
      </c>
    </row>
    <row r="409" spans="1:6" x14ac:dyDescent="0.25">
      <c r="A409" s="354" t="s">
        <v>1694</v>
      </c>
      <c r="B409" t="s">
        <v>273</v>
      </c>
      <c r="C409" t="s">
        <v>1061</v>
      </c>
      <c r="D409" t="b">
        <f t="shared" si="186"/>
        <v>0</v>
      </c>
      <c r="E409" t="str">
        <f t="array" ref="E409:F409">IF(D409=TRUE,LOGEST(D56:M56,$D$1:$M$1,TRUE,FALSE),"")</f>
        <v/>
      </c>
      <c r="F409" t="str">
        <v/>
      </c>
    </row>
    <row r="410" spans="1:6" x14ac:dyDescent="0.25">
      <c r="A410" s="355" t="s">
        <v>1977</v>
      </c>
      <c r="B410" t="s">
        <v>469</v>
      </c>
      <c r="C410" t="s">
        <v>1061</v>
      </c>
      <c r="D410" t="b">
        <f t="shared" si="186"/>
        <v>0</v>
      </c>
      <c r="E410" t="str">
        <f t="array" ref="E410:F410">IF(D410=TRUE,LOGEST(D57:M57,$D$1:$M$1,TRUE,FALSE),"")</f>
        <v/>
      </c>
      <c r="F410" t="str">
        <v/>
      </c>
    </row>
    <row r="411" spans="1:6" x14ac:dyDescent="0.25">
      <c r="A411" s="354" t="s">
        <v>1696</v>
      </c>
      <c r="B411" t="s">
        <v>273</v>
      </c>
      <c r="C411" t="s">
        <v>1061</v>
      </c>
      <c r="D411" t="b">
        <f t="shared" si="186"/>
        <v>0</v>
      </c>
      <c r="E411" t="str">
        <f t="array" ref="E411:F411">IF(D411=TRUE,LOGEST(D58:M58,$D$1:$M$1,TRUE,FALSE),"")</f>
        <v/>
      </c>
      <c r="F411" t="str">
        <v/>
      </c>
    </row>
    <row r="412" spans="1:6" x14ac:dyDescent="0.25">
      <c r="A412" s="354" t="s">
        <v>1697</v>
      </c>
      <c r="B412" t="s">
        <v>272</v>
      </c>
      <c r="C412" t="s">
        <v>1061</v>
      </c>
      <c r="D412" t="b">
        <f t="shared" si="186"/>
        <v>0</v>
      </c>
      <c r="E412" t="str">
        <f t="array" ref="E412:F412">IF(D412=TRUE,LOGEST(D59:M59,$D$1:$M$1,TRUE,FALSE),"")</f>
        <v/>
      </c>
      <c r="F412" t="str">
        <v/>
      </c>
    </row>
    <row r="413" spans="1:6" x14ac:dyDescent="0.25">
      <c r="A413" s="354" t="s">
        <v>1698</v>
      </c>
      <c r="B413" t="s">
        <v>469</v>
      </c>
      <c r="C413" t="s">
        <v>1061</v>
      </c>
      <c r="D413" t="b">
        <f t="shared" si="186"/>
        <v>0</v>
      </c>
      <c r="E413" t="str">
        <f t="array" ref="E413:F413">IF(D413=TRUE,LOGEST(D60:M60,$D$1:$M$1,TRUE,FALSE),"")</f>
        <v/>
      </c>
      <c r="F413" t="str">
        <v/>
      </c>
    </row>
    <row r="414" spans="1:6" x14ac:dyDescent="0.25">
      <c r="A414" s="354" t="s">
        <v>1699</v>
      </c>
      <c r="B414" t="s">
        <v>469</v>
      </c>
      <c r="C414" t="s">
        <v>1061</v>
      </c>
      <c r="D414" t="b">
        <f t="shared" si="186"/>
        <v>0</v>
      </c>
      <c r="E414" t="str">
        <f t="array" ref="E414:F414">IF(D414=TRUE,LOGEST(D61:M61,$D$1:$M$1,TRUE,FALSE),"")</f>
        <v/>
      </c>
      <c r="F414" t="str">
        <v/>
      </c>
    </row>
    <row r="415" spans="1:6" x14ac:dyDescent="0.25">
      <c r="A415" s="354" t="s">
        <v>1700</v>
      </c>
      <c r="B415" t="s">
        <v>469</v>
      </c>
      <c r="C415" t="s">
        <v>1061</v>
      </c>
      <c r="D415" t="b">
        <f t="shared" si="186"/>
        <v>0</v>
      </c>
      <c r="E415" t="str">
        <f t="array" ref="E415:F415">IF(D415=TRUE,LOGEST(D62:M62,$D$1:$M$1,TRUE,FALSE),"")</f>
        <v/>
      </c>
      <c r="F415" t="str">
        <v/>
      </c>
    </row>
    <row r="416" spans="1:6" x14ac:dyDescent="0.25">
      <c r="A416" s="354" t="s">
        <v>1701</v>
      </c>
      <c r="B416" t="s">
        <v>273</v>
      </c>
      <c r="C416" t="s">
        <v>1061</v>
      </c>
      <c r="D416" t="b">
        <f t="shared" si="186"/>
        <v>0</v>
      </c>
      <c r="E416" t="str">
        <f t="array" ref="E416:F416">IF(D416=TRUE,LOGEST(D63:M63,$D$1:$M$1,TRUE,FALSE),"")</f>
        <v/>
      </c>
      <c r="F416" t="str">
        <v/>
      </c>
    </row>
    <row r="417" spans="1:6" x14ac:dyDescent="0.25">
      <c r="A417" s="354" t="s">
        <v>1702</v>
      </c>
      <c r="B417" t="s">
        <v>469</v>
      </c>
      <c r="C417" t="s">
        <v>1061</v>
      </c>
      <c r="D417" t="b">
        <f t="shared" si="186"/>
        <v>0</v>
      </c>
      <c r="E417" t="str">
        <f t="array" ref="E417:F417">IF(D417=TRUE,LOGEST(D64:M64,$D$1:$M$1,TRUE,FALSE),"")</f>
        <v/>
      </c>
      <c r="F417" t="str">
        <v/>
      </c>
    </row>
    <row r="418" spans="1:6" x14ac:dyDescent="0.25">
      <c r="A418" s="354" t="s">
        <v>1703</v>
      </c>
      <c r="B418" t="s">
        <v>459</v>
      </c>
      <c r="C418" t="s">
        <v>1061</v>
      </c>
      <c r="D418" t="b">
        <f t="shared" si="186"/>
        <v>0</v>
      </c>
      <c r="E418" t="str">
        <f t="array" ref="E418:F418">IF(D418=TRUE,LOGEST(D65:M65,$D$1:$M$1,TRUE,FALSE),"")</f>
        <v/>
      </c>
      <c r="F418" t="str">
        <v/>
      </c>
    </row>
    <row r="419" spans="1:6" x14ac:dyDescent="0.25">
      <c r="A419" s="354" t="s">
        <v>1704</v>
      </c>
      <c r="B419" t="s">
        <v>463</v>
      </c>
      <c r="C419" t="s">
        <v>1061</v>
      </c>
      <c r="D419" t="b">
        <f t="shared" si="186"/>
        <v>0</v>
      </c>
      <c r="E419" t="str">
        <f t="array" ref="E419:F419">IF(D419=TRUE,LOGEST(D66:M66,$D$1:$M$1,TRUE,FALSE),"")</f>
        <v/>
      </c>
      <c r="F419" t="str">
        <v/>
      </c>
    </row>
    <row r="420" spans="1:6" x14ac:dyDescent="0.25">
      <c r="A420" s="354" t="s">
        <v>1705</v>
      </c>
      <c r="B420" t="s">
        <v>463</v>
      </c>
      <c r="C420" t="s">
        <v>1061</v>
      </c>
      <c r="D420" t="b">
        <f t="shared" ref="D420:D483" si="187">IF((M67-D67)&lt;0,TRUE,FALSE)</f>
        <v>0</v>
      </c>
      <c r="E420" t="str">
        <f t="array" ref="E420:F420">IF(D420=TRUE,LOGEST(D67:M67,$D$1:$M$1,TRUE,FALSE),"")</f>
        <v/>
      </c>
      <c r="F420" t="str">
        <v/>
      </c>
    </row>
    <row r="421" spans="1:6" x14ac:dyDescent="0.25">
      <c r="A421" s="354" t="s">
        <v>1706</v>
      </c>
      <c r="B421" t="s">
        <v>469</v>
      </c>
      <c r="C421" t="s">
        <v>1061</v>
      </c>
      <c r="D421" t="b">
        <f t="shared" si="187"/>
        <v>0</v>
      </c>
      <c r="E421" t="str">
        <f t="array" ref="E421:F421">IF(D421=TRUE,LOGEST(D68:M68,$D$1:$M$1,TRUE,FALSE),"")</f>
        <v/>
      </c>
      <c r="F421" t="str">
        <v/>
      </c>
    </row>
    <row r="422" spans="1:6" x14ac:dyDescent="0.25">
      <c r="A422" s="354" t="s">
        <v>1971</v>
      </c>
      <c r="B422" t="s">
        <v>469</v>
      </c>
      <c r="C422" t="s">
        <v>1061</v>
      </c>
      <c r="D422" t="b">
        <f t="shared" si="187"/>
        <v>0</v>
      </c>
      <c r="E422" t="str">
        <f t="array" ref="E422:F422">IF(D422=TRUE,LOGEST(D69:M69,$D$1:$M$1,TRUE,FALSE),"")</f>
        <v/>
      </c>
      <c r="F422" t="str">
        <v/>
      </c>
    </row>
    <row r="423" spans="1:6" x14ac:dyDescent="0.25">
      <c r="A423" s="354" t="s">
        <v>1972</v>
      </c>
      <c r="B423" t="s">
        <v>469</v>
      </c>
      <c r="C423" t="s">
        <v>1061</v>
      </c>
      <c r="D423" t="b">
        <f t="shared" si="187"/>
        <v>0</v>
      </c>
      <c r="E423" t="str">
        <f t="array" ref="E423:F423">IF(D423=TRUE,LOGEST(D70:M70,$D$1:$M$1,TRUE,FALSE),"")</f>
        <v/>
      </c>
      <c r="F423" t="str">
        <v/>
      </c>
    </row>
    <row r="424" spans="1:6" x14ac:dyDescent="0.25">
      <c r="A424" s="354" t="s">
        <v>1973</v>
      </c>
      <c r="B424" t="s">
        <v>469</v>
      </c>
      <c r="C424" t="s">
        <v>1061</v>
      </c>
      <c r="D424" t="b">
        <f t="shared" si="187"/>
        <v>0</v>
      </c>
      <c r="E424" t="str">
        <f t="array" ref="E424:F424">IF(D424=TRUE,LOGEST(D71:M71,$D$1:$M$1,TRUE,FALSE),"")</f>
        <v/>
      </c>
      <c r="F424" t="str">
        <v/>
      </c>
    </row>
    <row r="425" spans="1:6" x14ac:dyDescent="0.25">
      <c r="A425" s="354" t="s">
        <v>1974</v>
      </c>
      <c r="B425" t="s">
        <v>469</v>
      </c>
      <c r="C425" t="s">
        <v>1061</v>
      </c>
      <c r="D425" t="b">
        <f t="shared" si="187"/>
        <v>0</v>
      </c>
      <c r="E425" t="str">
        <f t="array" ref="E425:F425">IF(D425=TRUE,LOGEST(D72:M72,$D$1:$M$1,TRUE,FALSE),"")</f>
        <v/>
      </c>
      <c r="F425" t="str">
        <v/>
      </c>
    </row>
    <row r="426" spans="1:6" x14ac:dyDescent="0.25">
      <c r="A426" s="354" t="s">
        <v>1976</v>
      </c>
      <c r="B426" t="s">
        <v>469</v>
      </c>
      <c r="C426" t="s">
        <v>1061</v>
      </c>
      <c r="D426" t="b">
        <f t="shared" si="187"/>
        <v>0</v>
      </c>
      <c r="E426" t="str">
        <f t="array" ref="E426:F426">IF(D426=TRUE,LOGEST(D73:M73,$D$1:$M$1,TRUE,FALSE),"")</f>
        <v/>
      </c>
      <c r="F426" t="str">
        <v/>
      </c>
    </row>
    <row r="427" spans="1:6" x14ac:dyDescent="0.25">
      <c r="A427" s="354" t="s">
        <v>1688</v>
      </c>
      <c r="B427" t="s">
        <v>1709</v>
      </c>
      <c r="C427" t="s">
        <v>1779</v>
      </c>
      <c r="D427" t="b">
        <f t="shared" si="187"/>
        <v>0</v>
      </c>
      <c r="E427" t="str">
        <f t="array" ref="E427:F427">IF(D427=TRUE,LOGEST(D74:M74,$D$1:$M$1,TRUE,FALSE),"")</f>
        <v/>
      </c>
      <c r="F427" t="str">
        <v/>
      </c>
    </row>
    <row r="428" spans="1:6" x14ac:dyDescent="0.25">
      <c r="A428" s="354" t="s">
        <v>1689</v>
      </c>
      <c r="B428" t="s">
        <v>273</v>
      </c>
      <c r="C428" t="s">
        <v>1779</v>
      </c>
      <c r="D428" t="b">
        <f t="shared" si="187"/>
        <v>0</v>
      </c>
      <c r="E428" t="str">
        <f t="array" ref="E428:F428">IF(D428=TRUE,LOGEST(D75:M75,$D$1:$M$1,TRUE,FALSE),"")</f>
        <v/>
      </c>
      <c r="F428" t="str">
        <v/>
      </c>
    </row>
    <row r="429" spans="1:6" x14ac:dyDescent="0.25">
      <c r="A429" s="355" t="s">
        <v>1978</v>
      </c>
      <c r="B429" t="s">
        <v>469</v>
      </c>
      <c r="C429" t="s">
        <v>1779</v>
      </c>
      <c r="D429" t="b">
        <f t="shared" si="187"/>
        <v>0</v>
      </c>
      <c r="E429" t="str">
        <f t="array" ref="E429:F429">IF(D429=TRUE,LOGEST(D76:M76,$D$1:$M$1,TRUE,FALSE),"")</f>
        <v/>
      </c>
      <c r="F429" t="str">
        <v/>
      </c>
    </row>
    <row r="430" spans="1:6" x14ac:dyDescent="0.25">
      <c r="A430" s="354" t="s">
        <v>1975</v>
      </c>
      <c r="B430" t="s">
        <v>469</v>
      </c>
      <c r="C430" t="s">
        <v>1779</v>
      </c>
      <c r="D430" t="b">
        <f t="shared" si="187"/>
        <v>0</v>
      </c>
      <c r="E430" t="str">
        <f t="array" ref="E430:F430">IF(D430=TRUE,LOGEST(D77:M77,$D$1:$M$1,TRUE,FALSE),"")</f>
        <v/>
      </c>
      <c r="F430" t="str">
        <v/>
      </c>
    </row>
    <row r="431" spans="1:6" x14ac:dyDescent="0.25">
      <c r="A431" s="354" t="s">
        <v>1692</v>
      </c>
      <c r="B431" t="s">
        <v>1710</v>
      </c>
      <c r="C431" t="s">
        <v>1779</v>
      </c>
      <c r="D431" t="b">
        <f t="shared" si="187"/>
        <v>0</v>
      </c>
      <c r="E431" t="str">
        <f t="array" ref="E431:F431">IF(D431=TRUE,LOGEST(D78:M78,$D$1:$M$1,TRUE,FALSE),"")</f>
        <v/>
      </c>
      <c r="F431" t="str">
        <v/>
      </c>
    </row>
    <row r="432" spans="1:6" x14ac:dyDescent="0.25">
      <c r="A432" s="354" t="s">
        <v>1693</v>
      </c>
      <c r="B432" t="s">
        <v>1710</v>
      </c>
      <c r="C432" t="s">
        <v>1779</v>
      </c>
      <c r="D432" t="b">
        <f t="shared" si="187"/>
        <v>0</v>
      </c>
      <c r="E432" t="str">
        <f t="array" ref="E432:F432">IF(D432=TRUE,LOGEST(D79:M79,$D$1:$M$1,TRUE,FALSE),"")</f>
        <v/>
      </c>
      <c r="F432" t="str">
        <v/>
      </c>
    </row>
    <row r="433" spans="1:6" x14ac:dyDescent="0.25">
      <c r="A433" s="354" t="s">
        <v>1694</v>
      </c>
      <c r="B433" t="s">
        <v>273</v>
      </c>
      <c r="C433" t="s">
        <v>1779</v>
      </c>
      <c r="D433" t="b">
        <f t="shared" si="187"/>
        <v>0</v>
      </c>
      <c r="E433" t="str">
        <f t="array" ref="E433:F433">IF(D433=TRUE,LOGEST(D80:M80,$D$1:$M$1,TRUE,FALSE),"")</f>
        <v/>
      </c>
      <c r="F433" t="str">
        <v/>
      </c>
    </row>
    <row r="434" spans="1:6" x14ac:dyDescent="0.25">
      <c r="A434" s="355" t="s">
        <v>1977</v>
      </c>
      <c r="B434" t="s">
        <v>469</v>
      </c>
      <c r="C434" t="s">
        <v>1779</v>
      </c>
      <c r="D434" t="b">
        <f t="shared" si="187"/>
        <v>0</v>
      </c>
      <c r="E434" t="str">
        <f t="array" ref="E434:F434">IF(D434=TRUE,LOGEST(D81:M81,$D$1:$M$1,TRUE,FALSE),"")</f>
        <v/>
      </c>
      <c r="F434" t="str">
        <v/>
      </c>
    </row>
    <row r="435" spans="1:6" x14ac:dyDescent="0.25">
      <c r="A435" s="354" t="s">
        <v>1696</v>
      </c>
      <c r="B435" t="s">
        <v>273</v>
      </c>
      <c r="C435" t="s">
        <v>1779</v>
      </c>
      <c r="D435" t="b">
        <f t="shared" si="187"/>
        <v>0</v>
      </c>
      <c r="E435" t="str">
        <f t="array" ref="E435:F435">IF(D435=TRUE,LOGEST(D82:M82,$D$1:$M$1,TRUE,FALSE),"")</f>
        <v/>
      </c>
      <c r="F435" t="str">
        <v/>
      </c>
    </row>
    <row r="436" spans="1:6" x14ac:dyDescent="0.25">
      <c r="A436" s="354" t="s">
        <v>1697</v>
      </c>
      <c r="B436" t="s">
        <v>272</v>
      </c>
      <c r="C436" t="s">
        <v>1779</v>
      </c>
      <c r="D436" t="b">
        <f t="shared" si="187"/>
        <v>0</v>
      </c>
      <c r="E436" t="str">
        <f t="array" ref="E436:F436">IF(D436=TRUE,LOGEST(D83:M83,$D$1:$M$1,TRUE,FALSE),"")</f>
        <v/>
      </c>
      <c r="F436" t="str">
        <v/>
      </c>
    </row>
    <row r="437" spans="1:6" x14ac:dyDescent="0.25">
      <c r="A437" s="354" t="s">
        <v>1698</v>
      </c>
      <c r="B437" t="s">
        <v>469</v>
      </c>
      <c r="C437" t="s">
        <v>1779</v>
      </c>
      <c r="D437" t="b">
        <f t="shared" si="187"/>
        <v>0</v>
      </c>
      <c r="E437" t="str">
        <f t="array" ref="E437:F437">IF(D437=TRUE,LOGEST(D84:M84,$D$1:$M$1,TRUE,FALSE),"")</f>
        <v/>
      </c>
      <c r="F437" t="str">
        <v/>
      </c>
    </row>
    <row r="438" spans="1:6" x14ac:dyDescent="0.25">
      <c r="A438" s="354" t="s">
        <v>1699</v>
      </c>
      <c r="B438" t="s">
        <v>469</v>
      </c>
      <c r="C438" t="s">
        <v>1779</v>
      </c>
      <c r="D438" t="b">
        <f t="shared" si="187"/>
        <v>0</v>
      </c>
      <c r="E438" t="str">
        <f t="array" ref="E438:F438">IF(D438=TRUE,LOGEST(D85:M85,$D$1:$M$1,TRUE,FALSE),"")</f>
        <v/>
      </c>
      <c r="F438" t="str">
        <v/>
      </c>
    </row>
    <row r="439" spans="1:6" x14ac:dyDescent="0.25">
      <c r="A439" s="354" t="s">
        <v>1700</v>
      </c>
      <c r="B439" t="s">
        <v>469</v>
      </c>
      <c r="C439" t="s">
        <v>1779</v>
      </c>
      <c r="D439" t="b">
        <f t="shared" si="187"/>
        <v>0</v>
      </c>
      <c r="E439" t="str">
        <f t="array" ref="E439:F439">IF(D439=TRUE,LOGEST(D86:M86,$D$1:$M$1,TRUE,FALSE),"")</f>
        <v/>
      </c>
      <c r="F439" t="str">
        <v/>
      </c>
    </row>
    <row r="440" spans="1:6" x14ac:dyDescent="0.25">
      <c r="A440" s="354" t="s">
        <v>1701</v>
      </c>
      <c r="B440" t="s">
        <v>273</v>
      </c>
      <c r="C440" t="s">
        <v>1779</v>
      </c>
      <c r="D440" t="b">
        <f t="shared" si="187"/>
        <v>0</v>
      </c>
      <c r="E440" t="str">
        <f t="array" ref="E440:F440">IF(D440=TRUE,LOGEST(D87:M87,$D$1:$M$1,TRUE,FALSE),"")</f>
        <v/>
      </c>
      <c r="F440" t="str">
        <v/>
      </c>
    </row>
    <row r="441" spans="1:6" x14ac:dyDescent="0.25">
      <c r="A441" s="354" t="s">
        <v>1702</v>
      </c>
      <c r="B441" t="s">
        <v>469</v>
      </c>
      <c r="C441" t="s">
        <v>1779</v>
      </c>
      <c r="D441" t="b">
        <f t="shared" si="187"/>
        <v>0</v>
      </c>
      <c r="E441" t="str">
        <f t="array" ref="E441:F441">IF(D441=TRUE,LOGEST(D88:M88,$D$1:$M$1,TRUE,FALSE),"")</f>
        <v/>
      </c>
      <c r="F441" t="str">
        <v/>
      </c>
    </row>
    <row r="442" spans="1:6" x14ac:dyDescent="0.25">
      <c r="A442" s="354" t="s">
        <v>1703</v>
      </c>
      <c r="B442" t="s">
        <v>459</v>
      </c>
      <c r="C442" t="s">
        <v>1779</v>
      </c>
      <c r="D442" t="b">
        <f t="shared" si="187"/>
        <v>0</v>
      </c>
      <c r="E442" t="str">
        <f t="array" ref="E442:F442">IF(D442=TRUE,LOGEST(D89:M89,$D$1:$M$1,TRUE,FALSE),"")</f>
        <v/>
      </c>
      <c r="F442" t="str">
        <v/>
      </c>
    </row>
    <row r="443" spans="1:6" x14ac:dyDescent="0.25">
      <c r="A443" s="354" t="s">
        <v>1704</v>
      </c>
      <c r="B443" t="s">
        <v>463</v>
      </c>
      <c r="C443" t="s">
        <v>1779</v>
      </c>
      <c r="D443" t="b">
        <f t="shared" si="187"/>
        <v>0</v>
      </c>
      <c r="E443" t="str">
        <f t="array" ref="E443:F443">IF(D443=TRUE,LOGEST(D90:M90,$D$1:$M$1,TRUE,FALSE),"")</f>
        <v/>
      </c>
      <c r="F443" t="str">
        <v/>
      </c>
    </row>
    <row r="444" spans="1:6" x14ac:dyDescent="0.25">
      <c r="A444" s="354" t="s">
        <v>1705</v>
      </c>
      <c r="B444" t="s">
        <v>463</v>
      </c>
      <c r="C444" t="s">
        <v>1779</v>
      </c>
      <c r="D444" t="b">
        <f t="shared" si="187"/>
        <v>0</v>
      </c>
      <c r="E444" t="str">
        <f t="array" ref="E444:F444">IF(D444=TRUE,LOGEST(D91:M91,$D$1:$M$1,TRUE,FALSE),"")</f>
        <v/>
      </c>
      <c r="F444" t="str">
        <v/>
      </c>
    </row>
    <row r="445" spans="1:6" x14ac:dyDescent="0.25">
      <c r="A445" s="354" t="s">
        <v>1706</v>
      </c>
      <c r="B445" t="s">
        <v>469</v>
      </c>
      <c r="C445" t="s">
        <v>1779</v>
      </c>
      <c r="D445" t="b">
        <f t="shared" si="187"/>
        <v>0</v>
      </c>
      <c r="E445" t="str">
        <f t="array" ref="E445:F445">IF(D445=TRUE,LOGEST(D92:M92,$D$1:$M$1,TRUE,FALSE),"")</f>
        <v/>
      </c>
      <c r="F445" t="str">
        <v/>
      </c>
    </row>
    <row r="446" spans="1:6" x14ac:dyDescent="0.25">
      <c r="A446" s="354" t="s">
        <v>1971</v>
      </c>
      <c r="B446" t="s">
        <v>469</v>
      </c>
      <c r="C446" t="s">
        <v>1779</v>
      </c>
      <c r="D446" t="b">
        <f t="shared" si="187"/>
        <v>0</v>
      </c>
      <c r="E446" t="str">
        <f t="array" ref="E446:F446">IF(D446=TRUE,LOGEST(D93:M93,$D$1:$M$1,TRUE,FALSE),"")</f>
        <v/>
      </c>
      <c r="F446" t="str">
        <v/>
      </c>
    </row>
    <row r="447" spans="1:6" x14ac:dyDescent="0.25">
      <c r="A447" s="354" t="s">
        <v>1972</v>
      </c>
      <c r="B447" t="s">
        <v>469</v>
      </c>
      <c r="C447" t="s">
        <v>1779</v>
      </c>
      <c r="D447" t="b">
        <f t="shared" si="187"/>
        <v>0</v>
      </c>
      <c r="E447" t="str">
        <f t="array" ref="E447:F447">IF(D447=TRUE,LOGEST(D94:M94,$D$1:$M$1,TRUE,FALSE),"")</f>
        <v/>
      </c>
      <c r="F447" t="str">
        <v/>
      </c>
    </row>
    <row r="448" spans="1:6" x14ac:dyDescent="0.25">
      <c r="A448" s="354" t="s">
        <v>1973</v>
      </c>
      <c r="B448" t="s">
        <v>469</v>
      </c>
      <c r="C448" t="s">
        <v>1779</v>
      </c>
      <c r="D448" t="b">
        <f t="shared" si="187"/>
        <v>0</v>
      </c>
      <c r="E448" t="str">
        <f t="array" ref="E448:F448">IF(D448=TRUE,LOGEST(D95:M95,$D$1:$M$1,TRUE,FALSE),"")</f>
        <v/>
      </c>
      <c r="F448" t="str">
        <v/>
      </c>
    </row>
    <row r="449" spans="1:6" x14ac:dyDescent="0.25">
      <c r="A449" s="354" t="s">
        <v>1974</v>
      </c>
      <c r="B449" t="s">
        <v>469</v>
      </c>
      <c r="C449" t="s">
        <v>1779</v>
      </c>
      <c r="D449" t="b">
        <f t="shared" si="187"/>
        <v>0</v>
      </c>
      <c r="E449" t="str">
        <f t="array" ref="E449:F449">IF(D449=TRUE,LOGEST(D96:M96,$D$1:$M$1,TRUE,FALSE),"")</f>
        <v/>
      </c>
      <c r="F449" t="str">
        <v/>
      </c>
    </row>
    <row r="450" spans="1:6" x14ac:dyDescent="0.25">
      <c r="A450" s="354" t="s">
        <v>1976</v>
      </c>
      <c r="B450" t="s">
        <v>469</v>
      </c>
      <c r="C450" t="s">
        <v>1779</v>
      </c>
      <c r="D450" t="b">
        <f t="shared" si="187"/>
        <v>0</v>
      </c>
      <c r="E450" t="str">
        <f t="array" ref="E450:F450">IF(D450=TRUE,LOGEST(D97:M97,$D$1:$M$1,TRUE,FALSE),"")</f>
        <v/>
      </c>
      <c r="F450" t="str">
        <v/>
      </c>
    </row>
    <row r="451" spans="1:6" x14ac:dyDescent="0.25">
      <c r="A451" s="354" t="s">
        <v>1688</v>
      </c>
      <c r="B451" t="s">
        <v>1709</v>
      </c>
      <c r="C451" t="s">
        <v>1780</v>
      </c>
      <c r="D451" t="b">
        <f t="shared" si="187"/>
        <v>0</v>
      </c>
      <c r="E451" t="str">
        <f t="array" ref="E451:F451">IF(D451=TRUE,LOGEST(D98:M98,$D$1:$M$1,TRUE,FALSE),"")</f>
        <v/>
      </c>
      <c r="F451" t="str">
        <v/>
      </c>
    </row>
    <row r="452" spans="1:6" x14ac:dyDescent="0.25">
      <c r="A452" s="354" t="s">
        <v>1689</v>
      </c>
      <c r="B452" t="s">
        <v>273</v>
      </c>
      <c r="C452" t="s">
        <v>1780</v>
      </c>
      <c r="D452" t="b">
        <f t="shared" si="187"/>
        <v>0</v>
      </c>
      <c r="E452" t="str">
        <f t="array" ref="E452:F452">IF(D452=TRUE,LOGEST(D99:M99,$D$1:$M$1,TRUE,FALSE),"")</f>
        <v/>
      </c>
      <c r="F452" t="str">
        <v/>
      </c>
    </row>
    <row r="453" spans="1:6" x14ac:dyDescent="0.25">
      <c r="A453" s="355" t="s">
        <v>1978</v>
      </c>
      <c r="B453" t="s">
        <v>469</v>
      </c>
      <c r="C453" t="s">
        <v>1780</v>
      </c>
      <c r="D453" t="b">
        <f t="shared" si="187"/>
        <v>0</v>
      </c>
      <c r="E453" t="str">
        <f t="array" ref="E453:F453">IF(D453=TRUE,LOGEST(D100:M100,$D$1:$M$1,TRUE,FALSE),"")</f>
        <v/>
      </c>
      <c r="F453" t="str">
        <v/>
      </c>
    </row>
    <row r="454" spans="1:6" x14ac:dyDescent="0.25">
      <c r="A454" s="354" t="s">
        <v>1975</v>
      </c>
      <c r="B454" t="s">
        <v>469</v>
      </c>
      <c r="C454" t="s">
        <v>1780</v>
      </c>
      <c r="D454" t="b">
        <f t="shared" si="187"/>
        <v>0</v>
      </c>
      <c r="E454" t="str">
        <f t="array" ref="E454:F454">IF(D454=TRUE,LOGEST(D101:M101,$D$1:$M$1,TRUE,FALSE),"")</f>
        <v/>
      </c>
      <c r="F454" t="str">
        <v/>
      </c>
    </row>
    <row r="455" spans="1:6" x14ac:dyDescent="0.25">
      <c r="A455" s="354" t="s">
        <v>1692</v>
      </c>
      <c r="B455" t="s">
        <v>1710</v>
      </c>
      <c r="C455" t="s">
        <v>1780</v>
      </c>
      <c r="D455" t="b">
        <f t="shared" si="187"/>
        <v>0</v>
      </c>
      <c r="E455" t="str">
        <f t="array" ref="E455:F455">IF(D455=TRUE,LOGEST(D102:M102,$D$1:$M$1,TRUE,FALSE),"")</f>
        <v/>
      </c>
      <c r="F455" t="str">
        <v/>
      </c>
    </row>
    <row r="456" spans="1:6" x14ac:dyDescent="0.25">
      <c r="A456" s="354" t="s">
        <v>1693</v>
      </c>
      <c r="B456" t="s">
        <v>1710</v>
      </c>
      <c r="C456" t="s">
        <v>1780</v>
      </c>
      <c r="D456" t="b">
        <f t="shared" si="187"/>
        <v>0</v>
      </c>
      <c r="E456" t="str">
        <f t="array" ref="E456:F456">IF(D456=TRUE,LOGEST(D103:M103,$D$1:$M$1,TRUE,FALSE),"")</f>
        <v/>
      </c>
      <c r="F456" t="str">
        <v/>
      </c>
    </row>
    <row r="457" spans="1:6" x14ac:dyDescent="0.25">
      <c r="A457" s="354" t="s">
        <v>1694</v>
      </c>
      <c r="B457" t="s">
        <v>273</v>
      </c>
      <c r="C457" t="s">
        <v>1780</v>
      </c>
      <c r="D457" t="b">
        <f t="shared" si="187"/>
        <v>0</v>
      </c>
      <c r="E457" t="str">
        <f t="array" ref="E457:F457">IF(D457=TRUE,LOGEST(D104:M104,$D$1:$M$1,TRUE,FALSE),"")</f>
        <v/>
      </c>
      <c r="F457" t="str">
        <v/>
      </c>
    </row>
    <row r="458" spans="1:6" x14ac:dyDescent="0.25">
      <c r="A458" s="355" t="s">
        <v>1977</v>
      </c>
      <c r="B458" t="s">
        <v>469</v>
      </c>
      <c r="C458" t="s">
        <v>1780</v>
      </c>
      <c r="D458" t="b">
        <f t="shared" si="187"/>
        <v>0</v>
      </c>
      <c r="E458" t="str">
        <f t="array" ref="E458:F458">IF(D458=TRUE,LOGEST(D105:M105,$D$1:$M$1,TRUE,FALSE),"")</f>
        <v/>
      </c>
      <c r="F458" t="str">
        <v/>
      </c>
    </row>
    <row r="459" spans="1:6" x14ac:dyDescent="0.25">
      <c r="A459" s="354" t="s">
        <v>1696</v>
      </c>
      <c r="B459" t="s">
        <v>273</v>
      </c>
      <c r="C459" t="s">
        <v>1780</v>
      </c>
      <c r="D459" t="b">
        <f t="shared" si="187"/>
        <v>0</v>
      </c>
      <c r="E459" t="str">
        <f t="array" ref="E459:F459">IF(D459=TRUE,LOGEST(D106:M106,$D$1:$M$1,TRUE,FALSE),"")</f>
        <v/>
      </c>
      <c r="F459" t="str">
        <v/>
      </c>
    </row>
    <row r="460" spans="1:6" x14ac:dyDescent="0.25">
      <c r="A460" s="354" t="s">
        <v>1697</v>
      </c>
      <c r="B460" t="s">
        <v>272</v>
      </c>
      <c r="C460" t="s">
        <v>1780</v>
      </c>
      <c r="D460" t="b">
        <f t="shared" si="187"/>
        <v>0</v>
      </c>
      <c r="E460" t="str">
        <f t="array" ref="E460:F460">IF(D460=TRUE,LOGEST(D107:M107,$D$1:$M$1,TRUE,FALSE),"")</f>
        <v/>
      </c>
      <c r="F460" t="str">
        <v/>
      </c>
    </row>
    <row r="461" spans="1:6" x14ac:dyDescent="0.25">
      <c r="A461" s="354" t="s">
        <v>1698</v>
      </c>
      <c r="B461" t="s">
        <v>469</v>
      </c>
      <c r="C461" t="s">
        <v>1780</v>
      </c>
      <c r="D461" t="b">
        <f t="shared" si="187"/>
        <v>0</v>
      </c>
      <c r="E461" t="str">
        <f t="array" ref="E461:F461">IF(D461=TRUE,LOGEST(D108:M108,$D$1:$M$1,TRUE,FALSE),"")</f>
        <v/>
      </c>
      <c r="F461" t="str">
        <v/>
      </c>
    </row>
    <row r="462" spans="1:6" x14ac:dyDescent="0.25">
      <c r="A462" s="354" t="s">
        <v>1699</v>
      </c>
      <c r="B462" t="s">
        <v>469</v>
      </c>
      <c r="C462" t="s">
        <v>1780</v>
      </c>
      <c r="D462" t="b">
        <f t="shared" si="187"/>
        <v>0</v>
      </c>
      <c r="E462" t="str">
        <f t="array" ref="E462:F462">IF(D462=TRUE,LOGEST(D109:M109,$D$1:$M$1,TRUE,FALSE),"")</f>
        <v/>
      </c>
      <c r="F462" t="str">
        <v/>
      </c>
    </row>
    <row r="463" spans="1:6" x14ac:dyDescent="0.25">
      <c r="A463" s="354" t="s">
        <v>1700</v>
      </c>
      <c r="B463" t="s">
        <v>469</v>
      </c>
      <c r="C463" t="s">
        <v>1780</v>
      </c>
      <c r="D463" t="b">
        <f t="shared" si="187"/>
        <v>0</v>
      </c>
      <c r="E463" t="str">
        <f t="array" ref="E463:F463">IF(D463=TRUE,LOGEST(D110:M110,$D$1:$M$1,TRUE,FALSE),"")</f>
        <v/>
      </c>
      <c r="F463" t="str">
        <v/>
      </c>
    </row>
    <row r="464" spans="1:6" x14ac:dyDescent="0.25">
      <c r="A464" s="354" t="s">
        <v>1701</v>
      </c>
      <c r="B464" t="s">
        <v>273</v>
      </c>
      <c r="C464" t="s">
        <v>1780</v>
      </c>
      <c r="D464" t="b">
        <f t="shared" si="187"/>
        <v>0</v>
      </c>
      <c r="E464" t="str">
        <f t="array" ref="E464:F464">IF(D464=TRUE,LOGEST(D111:M111,$D$1:$M$1,TRUE,FALSE),"")</f>
        <v/>
      </c>
      <c r="F464" t="str">
        <v/>
      </c>
    </row>
    <row r="465" spans="1:6" x14ac:dyDescent="0.25">
      <c r="A465" s="354" t="s">
        <v>1702</v>
      </c>
      <c r="B465" t="s">
        <v>469</v>
      </c>
      <c r="C465" t="s">
        <v>1780</v>
      </c>
      <c r="D465" t="b">
        <f t="shared" si="187"/>
        <v>0</v>
      </c>
      <c r="E465" t="str">
        <f t="array" ref="E465:F465">IF(D465=TRUE,LOGEST(D112:M112,$D$1:$M$1,TRUE,FALSE),"")</f>
        <v/>
      </c>
      <c r="F465" t="str">
        <v/>
      </c>
    </row>
    <row r="466" spans="1:6" x14ac:dyDescent="0.25">
      <c r="A466" s="354" t="s">
        <v>1703</v>
      </c>
      <c r="B466" t="s">
        <v>459</v>
      </c>
      <c r="C466" t="s">
        <v>1780</v>
      </c>
      <c r="D466" t="b">
        <f t="shared" si="187"/>
        <v>0</v>
      </c>
      <c r="E466" t="str">
        <f t="array" ref="E466:F466">IF(D466=TRUE,LOGEST(D113:M113,$D$1:$M$1,TRUE,FALSE),"")</f>
        <v/>
      </c>
      <c r="F466" t="str">
        <v/>
      </c>
    </row>
    <row r="467" spans="1:6" x14ac:dyDescent="0.25">
      <c r="A467" s="354" t="s">
        <v>1704</v>
      </c>
      <c r="B467" t="s">
        <v>463</v>
      </c>
      <c r="C467" t="s">
        <v>1780</v>
      </c>
      <c r="D467" t="b">
        <f t="shared" si="187"/>
        <v>0</v>
      </c>
      <c r="E467" t="str">
        <f t="array" ref="E467:F467">IF(D467=TRUE,LOGEST(D114:M114,$D$1:$M$1,TRUE,FALSE),"")</f>
        <v/>
      </c>
      <c r="F467" t="str">
        <v/>
      </c>
    </row>
    <row r="468" spans="1:6" x14ac:dyDescent="0.25">
      <c r="A468" s="354" t="s">
        <v>1705</v>
      </c>
      <c r="B468" t="s">
        <v>463</v>
      </c>
      <c r="C468" t="s">
        <v>1780</v>
      </c>
      <c r="D468" t="b">
        <f t="shared" si="187"/>
        <v>0</v>
      </c>
      <c r="E468" t="str">
        <f t="array" ref="E468:F468">IF(D468=TRUE,LOGEST(D115:M115,$D$1:$M$1,TRUE,FALSE),"")</f>
        <v/>
      </c>
      <c r="F468" t="str">
        <v/>
      </c>
    </row>
    <row r="469" spans="1:6" x14ac:dyDescent="0.25">
      <c r="A469" s="354" t="s">
        <v>1706</v>
      </c>
      <c r="B469" t="s">
        <v>469</v>
      </c>
      <c r="C469" t="s">
        <v>1780</v>
      </c>
      <c r="D469" t="b">
        <f t="shared" si="187"/>
        <v>0</v>
      </c>
      <c r="E469" t="str">
        <f t="array" ref="E469:F469">IF(D469=TRUE,LOGEST(D116:M116,$D$1:$M$1,TRUE,FALSE),"")</f>
        <v/>
      </c>
      <c r="F469" t="str">
        <v/>
      </c>
    </row>
    <row r="470" spans="1:6" x14ac:dyDescent="0.25">
      <c r="A470" s="354" t="s">
        <v>1971</v>
      </c>
      <c r="B470" t="s">
        <v>469</v>
      </c>
      <c r="D470" t="b">
        <f t="shared" si="187"/>
        <v>0</v>
      </c>
      <c r="E470" t="str">
        <f t="array" ref="E470:F470">IF(D470=TRUE,LOGEST(D117:M117,$D$1:$M$1,TRUE,FALSE),"")</f>
        <v/>
      </c>
      <c r="F470" t="str">
        <v/>
      </c>
    </row>
    <row r="471" spans="1:6" x14ac:dyDescent="0.25">
      <c r="A471" s="354" t="s">
        <v>1972</v>
      </c>
      <c r="B471" t="s">
        <v>469</v>
      </c>
      <c r="D471" t="b">
        <f t="shared" si="187"/>
        <v>0</v>
      </c>
      <c r="E471" t="str">
        <f t="array" ref="E471:F471">IF(D471=TRUE,LOGEST(D118:M118,$D$1:$M$1,TRUE,FALSE),"")</f>
        <v/>
      </c>
      <c r="F471" t="str">
        <v/>
      </c>
    </row>
    <row r="472" spans="1:6" x14ac:dyDescent="0.25">
      <c r="A472" s="354" t="s">
        <v>1973</v>
      </c>
      <c r="B472" t="s">
        <v>469</v>
      </c>
      <c r="D472" t="b">
        <f t="shared" si="187"/>
        <v>0</v>
      </c>
      <c r="E472" t="str">
        <f t="array" ref="E472:F472">IF(D472=TRUE,LOGEST(D119:M119,$D$1:$M$1,TRUE,FALSE),"")</f>
        <v/>
      </c>
      <c r="F472" t="str">
        <v/>
      </c>
    </row>
    <row r="473" spans="1:6" x14ac:dyDescent="0.25">
      <c r="A473" s="354" t="s">
        <v>1974</v>
      </c>
      <c r="B473" t="s">
        <v>469</v>
      </c>
      <c r="D473" t="b">
        <f t="shared" si="187"/>
        <v>0</v>
      </c>
      <c r="E473" t="str">
        <f t="array" ref="E473:F473">IF(D473=TRUE,LOGEST(D120:M120,$D$1:$M$1,TRUE,FALSE),"")</f>
        <v/>
      </c>
      <c r="F473" t="str">
        <v/>
      </c>
    </row>
    <row r="474" spans="1:6" x14ac:dyDescent="0.25">
      <c r="A474" s="354" t="s">
        <v>1976</v>
      </c>
      <c r="B474" t="s">
        <v>469</v>
      </c>
      <c r="D474" t="b">
        <f t="shared" si="187"/>
        <v>0</v>
      </c>
      <c r="E474" t="str">
        <f t="array" ref="E474:F474">IF(D474=TRUE,LOGEST(D121:M121,$D$1:$M$1,TRUE,FALSE),"")</f>
        <v/>
      </c>
      <c r="F474" t="str">
        <v/>
      </c>
    </row>
    <row r="475" spans="1:6" x14ac:dyDescent="0.25">
      <c r="A475" s="354" t="s">
        <v>1688</v>
      </c>
      <c r="B475" t="s">
        <v>1709</v>
      </c>
      <c r="C475" t="s">
        <v>1781</v>
      </c>
      <c r="D475" t="b">
        <f t="shared" si="187"/>
        <v>0</v>
      </c>
      <c r="E475" t="str">
        <f t="array" ref="E475:F475">IF(D475=TRUE,LOGEST(D122:M122,$D$1:$M$1,TRUE,FALSE),"")</f>
        <v/>
      </c>
      <c r="F475" t="str">
        <v/>
      </c>
    </row>
    <row r="476" spans="1:6" x14ac:dyDescent="0.25">
      <c r="A476" s="354" t="s">
        <v>1689</v>
      </c>
      <c r="B476" t="s">
        <v>273</v>
      </c>
      <c r="C476" t="s">
        <v>1781</v>
      </c>
      <c r="D476" t="b">
        <f t="shared" si="187"/>
        <v>0</v>
      </c>
      <c r="E476" t="str">
        <f t="array" ref="E476:F476">IF(D476=TRUE,LOGEST(D123:M123,$D$1:$M$1,TRUE,FALSE),"")</f>
        <v/>
      </c>
      <c r="F476" t="str">
        <v/>
      </c>
    </row>
    <row r="477" spans="1:6" x14ac:dyDescent="0.25">
      <c r="A477" s="355" t="s">
        <v>1978</v>
      </c>
      <c r="B477" t="s">
        <v>469</v>
      </c>
      <c r="C477" t="s">
        <v>1781</v>
      </c>
      <c r="D477" t="b">
        <f t="shared" si="187"/>
        <v>0</v>
      </c>
      <c r="E477" t="str">
        <f t="array" ref="E477:F477">IF(D477=TRUE,LOGEST(D124:M124,$D$1:$M$1,TRUE,FALSE),"")</f>
        <v/>
      </c>
      <c r="F477" t="str">
        <v/>
      </c>
    </row>
    <row r="478" spans="1:6" x14ac:dyDescent="0.25">
      <c r="A478" s="354" t="s">
        <v>1975</v>
      </c>
      <c r="B478" t="s">
        <v>469</v>
      </c>
      <c r="C478" t="s">
        <v>1781</v>
      </c>
      <c r="D478" t="b">
        <f t="shared" si="187"/>
        <v>0</v>
      </c>
      <c r="E478" t="str">
        <f t="array" ref="E478:F478">IF(D478=TRUE,LOGEST(D125:M125,$D$1:$M$1,TRUE,FALSE),"")</f>
        <v/>
      </c>
      <c r="F478" t="str">
        <v/>
      </c>
    </row>
    <row r="479" spans="1:6" x14ac:dyDescent="0.25">
      <c r="A479" s="354" t="s">
        <v>1692</v>
      </c>
      <c r="B479" t="s">
        <v>1710</v>
      </c>
      <c r="C479" t="s">
        <v>1781</v>
      </c>
      <c r="D479" t="b">
        <f t="shared" si="187"/>
        <v>0</v>
      </c>
      <c r="E479" t="str">
        <f t="array" ref="E479:F479">IF(D479=TRUE,LOGEST(D126:M126,$D$1:$M$1,TRUE,FALSE),"")</f>
        <v/>
      </c>
      <c r="F479" t="str">
        <v/>
      </c>
    </row>
    <row r="480" spans="1:6" x14ac:dyDescent="0.25">
      <c r="A480" s="354" t="s">
        <v>1693</v>
      </c>
      <c r="B480" t="s">
        <v>1710</v>
      </c>
      <c r="C480" t="s">
        <v>1781</v>
      </c>
      <c r="D480" t="b">
        <f t="shared" si="187"/>
        <v>0</v>
      </c>
      <c r="E480" t="str">
        <f t="array" ref="E480:F480">IF(D480=TRUE,LOGEST(D127:M127,$D$1:$M$1,TRUE,FALSE),"")</f>
        <v/>
      </c>
      <c r="F480" t="str">
        <v/>
      </c>
    </row>
    <row r="481" spans="1:6" x14ac:dyDescent="0.25">
      <c r="A481" s="354" t="s">
        <v>1694</v>
      </c>
      <c r="B481" t="s">
        <v>273</v>
      </c>
      <c r="C481" t="s">
        <v>1781</v>
      </c>
      <c r="D481" t="b">
        <f t="shared" si="187"/>
        <v>0</v>
      </c>
      <c r="E481" t="str">
        <f t="array" ref="E481:F481">IF(D481=TRUE,LOGEST(D128:M128,$D$1:$M$1,TRUE,FALSE),"")</f>
        <v/>
      </c>
      <c r="F481" t="str">
        <v/>
      </c>
    </row>
    <row r="482" spans="1:6" x14ac:dyDescent="0.25">
      <c r="A482" s="355" t="s">
        <v>1977</v>
      </c>
      <c r="B482" t="s">
        <v>469</v>
      </c>
      <c r="C482" t="s">
        <v>1781</v>
      </c>
      <c r="D482" t="b">
        <f t="shared" si="187"/>
        <v>0</v>
      </c>
      <c r="E482" t="str">
        <f t="array" ref="E482:F482">IF(D482=TRUE,LOGEST(D129:M129,$D$1:$M$1,TRUE,FALSE),"")</f>
        <v/>
      </c>
      <c r="F482" t="str">
        <v/>
      </c>
    </row>
    <row r="483" spans="1:6" x14ac:dyDescent="0.25">
      <c r="A483" s="354" t="s">
        <v>1696</v>
      </c>
      <c r="B483" t="s">
        <v>273</v>
      </c>
      <c r="C483" t="s">
        <v>1781</v>
      </c>
      <c r="D483" t="b">
        <f t="shared" si="187"/>
        <v>0</v>
      </c>
      <c r="E483" t="str">
        <f t="array" ref="E483:F483">IF(D483=TRUE,LOGEST(D130:M130,$D$1:$M$1,TRUE,FALSE),"")</f>
        <v/>
      </c>
      <c r="F483" t="str">
        <v/>
      </c>
    </row>
    <row r="484" spans="1:6" x14ac:dyDescent="0.25">
      <c r="A484" s="354" t="s">
        <v>1697</v>
      </c>
      <c r="B484" t="s">
        <v>272</v>
      </c>
      <c r="C484" t="s">
        <v>1781</v>
      </c>
      <c r="D484" t="b">
        <f t="shared" ref="D484:D485" si="188">IF((M131-D131)&lt;0,TRUE,FALSE)</f>
        <v>0</v>
      </c>
      <c r="E484" t="str">
        <f t="array" ref="E484:F484">IF(D484=TRUE,LOGEST(D131:M131,$D$1:$M$1,TRUE,FALSE),"")</f>
        <v/>
      </c>
      <c r="F484" t="str">
        <v/>
      </c>
    </row>
    <row r="485" spans="1:6" x14ac:dyDescent="0.25">
      <c r="A485" s="354" t="s">
        <v>1698</v>
      </c>
      <c r="B485" t="s">
        <v>469</v>
      </c>
      <c r="C485" t="s">
        <v>1781</v>
      </c>
      <c r="D485" t="b">
        <f t="shared" si="188"/>
        <v>0</v>
      </c>
      <c r="E485" t="str">
        <f t="array" ref="E485:F485">IF(D485=TRUE,LOGEST(D132:M132,$D$1:$M$1,TRUE,FALSE),"")</f>
        <v/>
      </c>
      <c r="F485" t="str">
        <v/>
      </c>
    </row>
    <row r="486" spans="1:6" x14ac:dyDescent="0.25">
      <c r="A486" s="354" t="s">
        <v>1699</v>
      </c>
      <c r="B486" t="s">
        <v>469</v>
      </c>
      <c r="C486" t="s">
        <v>1781</v>
      </c>
      <c r="D486" t="b">
        <f t="shared" ref="D486:D520" si="189">IF((M133-D133)&lt;0,TRUE,FALSE)</f>
        <v>0</v>
      </c>
      <c r="E486" t="str">
        <f t="array" ref="E486:F486">IF(D486=TRUE,LOGEST(D133:M133,$D$1:$M$1,TRUE,FALSE),"")</f>
        <v/>
      </c>
      <c r="F486" t="str">
        <v/>
      </c>
    </row>
    <row r="487" spans="1:6" x14ac:dyDescent="0.25">
      <c r="A487" s="354" t="s">
        <v>1700</v>
      </c>
      <c r="B487" t="s">
        <v>469</v>
      </c>
      <c r="C487" t="s">
        <v>1781</v>
      </c>
      <c r="D487" t="b">
        <f t="shared" si="189"/>
        <v>0</v>
      </c>
      <c r="E487" t="str">
        <f t="array" ref="E487:F487">IF(D487=TRUE,LOGEST(D134:M134,$D$1:$M$1,TRUE,FALSE),"")</f>
        <v/>
      </c>
      <c r="F487" t="str">
        <v/>
      </c>
    </row>
    <row r="488" spans="1:6" x14ac:dyDescent="0.25">
      <c r="A488" s="354" t="s">
        <v>1701</v>
      </c>
      <c r="B488" t="s">
        <v>273</v>
      </c>
      <c r="C488" t="s">
        <v>1781</v>
      </c>
      <c r="D488" t="b">
        <f t="shared" si="189"/>
        <v>0</v>
      </c>
      <c r="E488" t="str">
        <f t="array" ref="E488:F488">IF(D488=TRUE,LOGEST(D135:M135,$D$1:$M$1,TRUE,FALSE),"")</f>
        <v/>
      </c>
      <c r="F488" t="str">
        <v/>
      </c>
    </row>
    <row r="489" spans="1:6" x14ac:dyDescent="0.25">
      <c r="A489" s="354" t="s">
        <v>1702</v>
      </c>
      <c r="B489" t="s">
        <v>469</v>
      </c>
      <c r="C489" t="s">
        <v>1781</v>
      </c>
      <c r="D489" t="b">
        <f t="shared" si="189"/>
        <v>0</v>
      </c>
      <c r="E489" t="str">
        <f t="array" ref="E489:F489">IF(D489=TRUE,LOGEST(D136:M136,$D$1:$M$1,TRUE,FALSE),"")</f>
        <v/>
      </c>
      <c r="F489" t="str">
        <v/>
      </c>
    </row>
    <row r="490" spans="1:6" x14ac:dyDescent="0.25">
      <c r="A490" s="354" t="s">
        <v>1703</v>
      </c>
      <c r="B490" t="s">
        <v>459</v>
      </c>
      <c r="C490" t="s">
        <v>1781</v>
      </c>
      <c r="D490" t="b">
        <f t="shared" si="189"/>
        <v>0</v>
      </c>
      <c r="E490" t="str">
        <f t="array" ref="E490:F490">IF(D490=TRUE,LOGEST(D137:M137,$D$1:$M$1,TRUE,FALSE),"")</f>
        <v/>
      </c>
      <c r="F490" t="str">
        <v/>
      </c>
    </row>
    <row r="491" spans="1:6" x14ac:dyDescent="0.25">
      <c r="A491" s="354" t="s">
        <v>1704</v>
      </c>
      <c r="B491" t="s">
        <v>463</v>
      </c>
      <c r="C491" t="s">
        <v>1781</v>
      </c>
      <c r="D491" t="b">
        <f t="shared" si="189"/>
        <v>0</v>
      </c>
      <c r="E491" t="str">
        <f t="array" ref="E491:F491">IF(D491=TRUE,LOGEST(D138:M138,$D$1:$M$1,TRUE,FALSE),"")</f>
        <v/>
      </c>
      <c r="F491" t="str">
        <v/>
      </c>
    </row>
    <row r="492" spans="1:6" x14ac:dyDescent="0.25">
      <c r="A492" s="354" t="s">
        <v>1705</v>
      </c>
      <c r="B492" t="s">
        <v>463</v>
      </c>
      <c r="C492" t="s">
        <v>1781</v>
      </c>
      <c r="D492" t="b">
        <f t="shared" si="189"/>
        <v>0</v>
      </c>
      <c r="E492" t="str">
        <f t="array" ref="E492:F492">IF(D492=TRUE,LOGEST(D139:M139,$D$1:$M$1,TRUE,FALSE),"")</f>
        <v/>
      </c>
      <c r="F492" t="str">
        <v/>
      </c>
    </row>
    <row r="493" spans="1:6" x14ac:dyDescent="0.25">
      <c r="A493" s="354" t="s">
        <v>1706</v>
      </c>
      <c r="B493" t="s">
        <v>469</v>
      </c>
      <c r="C493" t="s">
        <v>1781</v>
      </c>
      <c r="D493" t="b">
        <f t="shared" si="189"/>
        <v>0</v>
      </c>
      <c r="E493" t="str">
        <f t="array" ref="E493:F493">IF(D493=TRUE,LOGEST(D140:M140,$D$1:$M$1,TRUE,FALSE),"")</f>
        <v/>
      </c>
      <c r="F493" t="str">
        <v/>
      </c>
    </row>
    <row r="494" spans="1:6" x14ac:dyDescent="0.25">
      <c r="A494" s="354" t="s">
        <v>1971</v>
      </c>
      <c r="B494" t="s">
        <v>469</v>
      </c>
      <c r="C494" t="s">
        <v>1781</v>
      </c>
      <c r="D494" t="b">
        <f t="shared" si="189"/>
        <v>0</v>
      </c>
      <c r="E494" t="str">
        <f t="array" ref="E494:F494">IF(D494=TRUE,LOGEST(D141:M141,$D$1:$M$1,TRUE,FALSE),"")</f>
        <v/>
      </c>
      <c r="F494" t="str">
        <v/>
      </c>
    </row>
    <row r="495" spans="1:6" x14ac:dyDescent="0.25">
      <c r="A495" s="354" t="s">
        <v>1972</v>
      </c>
      <c r="B495" t="s">
        <v>469</v>
      </c>
      <c r="C495" t="s">
        <v>1781</v>
      </c>
      <c r="D495" t="b">
        <f t="shared" si="189"/>
        <v>0</v>
      </c>
      <c r="E495" t="str">
        <f t="array" ref="E495:F495">IF(D495=TRUE,LOGEST(D142:M142,$D$1:$M$1,TRUE,FALSE),"")</f>
        <v/>
      </c>
      <c r="F495" t="str">
        <v/>
      </c>
    </row>
    <row r="496" spans="1:6" x14ac:dyDescent="0.25">
      <c r="A496" s="354" t="s">
        <v>1973</v>
      </c>
      <c r="B496" t="s">
        <v>469</v>
      </c>
      <c r="C496" t="s">
        <v>1781</v>
      </c>
      <c r="D496" t="b">
        <f t="shared" si="189"/>
        <v>0</v>
      </c>
      <c r="E496" t="str">
        <f t="array" ref="E496:F496">IF(D496=TRUE,LOGEST(D143:M143,$D$1:$M$1,TRUE,FALSE),"")</f>
        <v/>
      </c>
      <c r="F496" t="str">
        <v/>
      </c>
    </row>
    <row r="497" spans="1:6" x14ac:dyDescent="0.25">
      <c r="A497" s="354" t="s">
        <v>1974</v>
      </c>
      <c r="B497" t="s">
        <v>469</v>
      </c>
      <c r="C497" t="s">
        <v>1781</v>
      </c>
      <c r="D497" t="b">
        <f t="shared" si="189"/>
        <v>0</v>
      </c>
      <c r="E497" t="str">
        <f t="array" ref="E497:F497">IF(D497=TRUE,LOGEST(D144:M144,$D$1:$M$1,TRUE,FALSE),"")</f>
        <v/>
      </c>
      <c r="F497" t="str">
        <v/>
      </c>
    </row>
    <row r="498" spans="1:6" x14ac:dyDescent="0.25">
      <c r="A498" s="354" t="s">
        <v>1688</v>
      </c>
      <c r="B498" t="s">
        <v>1709</v>
      </c>
      <c r="C498" t="s">
        <v>1782</v>
      </c>
      <c r="D498" t="b">
        <f t="shared" si="189"/>
        <v>0</v>
      </c>
      <c r="E498" t="str">
        <f t="array" ref="E498:F498">IF(D498=TRUE,LOGEST(D145:M145,$D$1:$M$1,TRUE,FALSE),"")</f>
        <v/>
      </c>
      <c r="F498" t="str">
        <v/>
      </c>
    </row>
    <row r="499" spans="1:6" x14ac:dyDescent="0.25">
      <c r="A499" s="354" t="s">
        <v>1689</v>
      </c>
      <c r="B499" t="s">
        <v>273</v>
      </c>
      <c r="C499" t="s">
        <v>1782</v>
      </c>
      <c r="D499" t="b">
        <f t="shared" si="189"/>
        <v>0</v>
      </c>
      <c r="E499" t="str">
        <f t="array" ref="E499:F499">IF(D499=TRUE,LOGEST(D146:M146,$D$1:$M$1,TRUE,FALSE),"")</f>
        <v/>
      </c>
      <c r="F499" t="str">
        <v/>
      </c>
    </row>
    <row r="500" spans="1:6" x14ac:dyDescent="0.25">
      <c r="A500" s="355" t="s">
        <v>1978</v>
      </c>
      <c r="B500" t="s">
        <v>469</v>
      </c>
      <c r="C500" t="s">
        <v>1782</v>
      </c>
      <c r="D500" t="b">
        <f t="shared" si="189"/>
        <v>0</v>
      </c>
      <c r="E500" t="str">
        <f t="array" ref="E500:F500">IF(D500=TRUE,LOGEST(D147:M147,$D$1:$M$1,TRUE,FALSE),"")</f>
        <v/>
      </c>
      <c r="F500" t="str">
        <v/>
      </c>
    </row>
    <row r="501" spans="1:6" x14ac:dyDescent="0.25">
      <c r="A501" s="354" t="s">
        <v>1975</v>
      </c>
      <c r="B501" t="s">
        <v>469</v>
      </c>
      <c r="C501" t="s">
        <v>1782</v>
      </c>
      <c r="D501" t="b">
        <f t="shared" si="189"/>
        <v>0</v>
      </c>
      <c r="E501" t="str">
        <f t="array" ref="E501:F501">IF(D501=TRUE,LOGEST(D148:M148,$D$1:$M$1,TRUE,FALSE),"")</f>
        <v/>
      </c>
      <c r="F501" t="str">
        <v/>
      </c>
    </row>
    <row r="502" spans="1:6" x14ac:dyDescent="0.25">
      <c r="A502" s="354" t="s">
        <v>1692</v>
      </c>
      <c r="B502" t="s">
        <v>1710</v>
      </c>
      <c r="C502" t="s">
        <v>1782</v>
      </c>
      <c r="D502" t="b">
        <f t="shared" si="189"/>
        <v>0</v>
      </c>
      <c r="E502" t="str">
        <f t="array" ref="E502:F502">IF(D502=TRUE,LOGEST(D149:M149,$D$1:$M$1,TRUE,FALSE),"")</f>
        <v/>
      </c>
      <c r="F502" t="str">
        <v/>
      </c>
    </row>
    <row r="503" spans="1:6" x14ac:dyDescent="0.25">
      <c r="A503" s="354" t="s">
        <v>1693</v>
      </c>
      <c r="B503" t="s">
        <v>1710</v>
      </c>
      <c r="C503" t="s">
        <v>1782</v>
      </c>
      <c r="D503" t="b">
        <f t="shared" si="189"/>
        <v>0</v>
      </c>
      <c r="E503" t="str">
        <f t="array" ref="E503:F503">IF(D503=TRUE,LOGEST(D150:M150,$D$1:$M$1,TRUE,FALSE),"")</f>
        <v/>
      </c>
      <c r="F503" t="str">
        <v/>
      </c>
    </row>
    <row r="504" spans="1:6" x14ac:dyDescent="0.25">
      <c r="A504" s="354" t="s">
        <v>1694</v>
      </c>
      <c r="B504" t="s">
        <v>273</v>
      </c>
      <c r="C504" t="s">
        <v>1782</v>
      </c>
      <c r="D504" t="b">
        <f t="shared" si="189"/>
        <v>0</v>
      </c>
      <c r="E504" t="str">
        <f t="array" ref="E504:F504">IF(D504=TRUE,LOGEST(D151:M151,$D$1:$M$1,TRUE,FALSE),"")</f>
        <v/>
      </c>
      <c r="F504" t="str">
        <v/>
      </c>
    </row>
    <row r="505" spans="1:6" x14ac:dyDescent="0.25">
      <c r="A505" s="355" t="s">
        <v>1977</v>
      </c>
      <c r="B505" t="s">
        <v>469</v>
      </c>
      <c r="C505" t="s">
        <v>1782</v>
      </c>
      <c r="D505" t="b">
        <f t="shared" si="189"/>
        <v>0</v>
      </c>
      <c r="E505" t="str">
        <f t="array" ref="E505:F505">IF(D505=TRUE,LOGEST(D152:M152,$D$1:$M$1,TRUE,FALSE),"")</f>
        <v/>
      </c>
      <c r="F505" t="str">
        <v/>
      </c>
    </row>
    <row r="506" spans="1:6" x14ac:dyDescent="0.25">
      <c r="A506" s="354" t="s">
        <v>1696</v>
      </c>
      <c r="B506" t="s">
        <v>273</v>
      </c>
      <c r="C506" t="s">
        <v>1782</v>
      </c>
      <c r="D506" t="b">
        <f t="shared" si="189"/>
        <v>0</v>
      </c>
      <c r="E506" t="str">
        <f t="array" ref="E506:F506">IF(D506=TRUE,LOGEST(D153:M153,$D$1:$M$1,TRUE,FALSE),"")</f>
        <v/>
      </c>
      <c r="F506" t="str">
        <v/>
      </c>
    </row>
    <row r="507" spans="1:6" x14ac:dyDescent="0.25">
      <c r="A507" s="354" t="s">
        <v>1697</v>
      </c>
      <c r="B507" t="s">
        <v>272</v>
      </c>
      <c r="C507" t="s">
        <v>1782</v>
      </c>
      <c r="D507" t="b">
        <f t="shared" si="189"/>
        <v>0</v>
      </c>
      <c r="E507" t="str">
        <f t="array" ref="E507:F507">IF(D507=TRUE,LOGEST(D154:M154,$D$1:$M$1,TRUE,FALSE),"")</f>
        <v/>
      </c>
      <c r="F507" t="str">
        <v/>
      </c>
    </row>
    <row r="508" spans="1:6" x14ac:dyDescent="0.25">
      <c r="A508" s="354" t="s">
        <v>1698</v>
      </c>
      <c r="B508" t="s">
        <v>469</v>
      </c>
      <c r="C508" t="s">
        <v>1782</v>
      </c>
      <c r="D508" t="b">
        <f t="shared" si="189"/>
        <v>0</v>
      </c>
      <c r="E508" t="str">
        <f t="array" ref="E508:F508">IF(D508=TRUE,LOGEST(D155:M155,$D$1:$M$1,TRUE,FALSE),"")</f>
        <v/>
      </c>
      <c r="F508" t="str">
        <v/>
      </c>
    </row>
    <row r="509" spans="1:6" x14ac:dyDescent="0.25">
      <c r="A509" s="354" t="s">
        <v>1699</v>
      </c>
      <c r="B509" t="s">
        <v>469</v>
      </c>
      <c r="C509" t="s">
        <v>1782</v>
      </c>
      <c r="D509" t="b">
        <f t="shared" si="189"/>
        <v>0</v>
      </c>
      <c r="E509" t="str">
        <f t="array" ref="E509:F509">IF(D509=TRUE,LOGEST(D156:M156,$D$1:$M$1,TRUE,FALSE),"")</f>
        <v/>
      </c>
      <c r="F509" t="str">
        <v/>
      </c>
    </row>
    <row r="510" spans="1:6" x14ac:dyDescent="0.25">
      <c r="A510" s="354" t="s">
        <v>1700</v>
      </c>
      <c r="B510" t="s">
        <v>469</v>
      </c>
      <c r="C510" t="s">
        <v>1782</v>
      </c>
      <c r="D510" t="b">
        <f t="shared" si="189"/>
        <v>0</v>
      </c>
      <c r="E510" t="str">
        <f t="array" ref="E510:F510">IF(D510=TRUE,LOGEST(D157:M157,$D$1:$M$1,TRUE,FALSE),"")</f>
        <v/>
      </c>
      <c r="F510" t="str">
        <v/>
      </c>
    </row>
    <row r="511" spans="1:6" x14ac:dyDescent="0.25">
      <c r="A511" s="354" t="s">
        <v>1701</v>
      </c>
      <c r="B511" t="s">
        <v>273</v>
      </c>
      <c r="C511" t="s">
        <v>1782</v>
      </c>
      <c r="D511" t="b">
        <f t="shared" si="189"/>
        <v>0</v>
      </c>
      <c r="E511" t="str">
        <f t="array" ref="E511:F511">IF(D511=TRUE,LOGEST(D158:M158,$D$1:$M$1,TRUE,FALSE),"")</f>
        <v/>
      </c>
      <c r="F511" t="str">
        <v/>
      </c>
    </row>
    <row r="512" spans="1:6" x14ac:dyDescent="0.25">
      <c r="A512" s="354" t="s">
        <v>1702</v>
      </c>
      <c r="B512" t="s">
        <v>469</v>
      </c>
      <c r="C512" t="s">
        <v>1782</v>
      </c>
      <c r="D512" t="b">
        <f t="shared" si="189"/>
        <v>0</v>
      </c>
      <c r="E512" t="str">
        <f t="array" ref="E512:F512">IF(D512=TRUE,LOGEST(D159:M159,$D$1:$M$1,TRUE,FALSE),"")</f>
        <v/>
      </c>
      <c r="F512" t="str">
        <v/>
      </c>
    </row>
    <row r="513" spans="1:38" x14ac:dyDescent="0.25">
      <c r="A513" s="354" t="s">
        <v>1703</v>
      </c>
      <c r="B513" t="s">
        <v>459</v>
      </c>
      <c r="C513" t="s">
        <v>1782</v>
      </c>
      <c r="D513" t="b">
        <f t="shared" si="189"/>
        <v>0</v>
      </c>
      <c r="E513" t="str">
        <f t="array" ref="E513:F513">IF(D513=TRUE,LOGEST(D160:M160,$D$1:$M$1,TRUE,FALSE),"")</f>
        <v/>
      </c>
      <c r="F513" t="str">
        <v/>
      </c>
    </row>
    <row r="514" spans="1:38" x14ac:dyDescent="0.25">
      <c r="A514" s="354" t="s">
        <v>1704</v>
      </c>
      <c r="B514" t="s">
        <v>463</v>
      </c>
      <c r="C514" t="s">
        <v>1782</v>
      </c>
      <c r="D514" t="b">
        <f t="shared" si="189"/>
        <v>0</v>
      </c>
      <c r="E514" t="str">
        <f t="array" ref="E514:F514">IF(D514=TRUE,LOGEST(D161:M161,$D$1:$M$1,TRUE,FALSE),"")</f>
        <v/>
      </c>
      <c r="F514" t="str">
        <v/>
      </c>
    </row>
    <row r="515" spans="1:38" x14ac:dyDescent="0.25">
      <c r="A515" s="354" t="s">
        <v>1705</v>
      </c>
      <c r="B515" t="s">
        <v>463</v>
      </c>
      <c r="C515" t="s">
        <v>1782</v>
      </c>
      <c r="D515" t="b">
        <f t="shared" si="189"/>
        <v>0</v>
      </c>
      <c r="E515" t="str">
        <f t="array" ref="E515:F515">IF(D515=TRUE,LOGEST(D162:M162,$D$1:$M$1,TRUE,FALSE),"")</f>
        <v/>
      </c>
      <c r="F515" t="str">
        <v/>
      </c>
    </row>
    <row r="516" spans="1:38" x14ac:dyDescent="0.25">
      <c r="A516" s="354" t="s">
        <v>1706</v>
      </c>
      <c r="B516" t="s">
        <v>469</v>
      </c>
      <c r="C516" t="s">
        <v>1782</v>
      </c>
      <c r="D516" t="b">
        <f t="shared" si="189"/>
        <v>0</v>
      </c>
      <c r="E516" t="str">
        <f t="array" ref="E516:F516">IF(D516=TRUE,LOGEST(D163:M163,$D$1:$M$1,TRUE,FALSE),"")</f>
        <v/>
      </c>
      <c r="F516" t="str">
        <v/>
      </c>
    </row>
    <row r="517" spans="1:38" x14ac:dyDescent="0.25">
      <c r="A517" s="354" t="s">
        <v>1971</v>
      </c>
      <c r="B517" t="s">
        <v>469</v>
      </c>
      <c r="C517" t="s">
        <v>1782</v>
      </c>
      <c r="D517" t="b">
        <f t="shared" si="189"/>
        <v>0</v>
      </c>
      <c r="E517" t="str">
        <f t="array" ref="E517:F517">IF(D517=TRUE,LOGEST(D164:M164,$D$1:$M$1,TRUE,FALSE),"")</f>
        <v/>
      </c>
      <c r="F517" t="str">
        <v/>
      </c>
    </row>
    <row r="518" spans="1:38" x14ac:dyDescent="0.25">
      <c r="A518" s="354" t="s">
        <v>1972</v>
      </c>
      <c r="B518" t="s">
        <v>469</v>
      </c>
      <c r="C518" t="s">
        <v>1782</v>
      </c>
      <c r="D518" t="b">
        <f t="shared" si="189"/>
        <v>0</v>
      </c>
      <c r="E518" t="str">
        <f t="array" ref="E518:F518">IF(D518=TRUE,LOGEST(D165:M165,$D$1:$M$1,TRUE,FALSE),"")</f>
        <v/>
      </c>
      <c r="F518" t="str">
        <v/>
      </c>
    </row>
    <row r="519" spans="1:38" x14ac:dyDescent="0.25">
      <c r="A519" s="354" t="s">
        <v>1973</v>
      </c>
      <c r="B519" t="s">
        <v>469</v>
      </c>
      <c r="C519" t="s">
        <v>1782</v>
      </c>
      <c r="D519" t="b">
        <f t="shared" si="189"/>
        <v>0</v>
      </c>
      <c r="E519" t="str">
        <f t="array" ref="E519:F519">IF(D519=TRUE,LOGEST(D166:M166,$D$1:$M$1,TRUE,FALSE),"")</f>
        <v/>
      </c>
      <c r="F519" t="str">
        <v/>
      </c>
    </row>
    <row r="520" spans="1:38" x14ac:dyDescent="0.25">
      <c r="A520" s="354" t="s">
        <v>1974</v>
      </c>
      <c r="B520" t="s">
        <v>469</v>
      </c>
      <c r="C520" t="s">
        <v>1782</v>
      </c>
      <c r="D520" t="b">
        <f t="shared" si="189"/>
        <v>0</v>
      </c>
      <c r="E520" t="str">
        <f t="array" ref="E520:F520">IF(D520=TRUE,LOGEST(D167:M167,$D$1:$M$1,TRUE,FALSE),"")</f>
        <v/>
      </c>
      <c r="F520" t="str">
        <v/>
      </c>
    </row>
    <row r="522" spans="1:38" x14ac:dyDescent="0.25">
      <c r="A522" s="335" t="s">
        <v>1708</v>
      </c>
      <c r="B522" s="335" t="s">
        <v>1063</v>
      </c>
      <c r="C522" t="s">
        <v>1793</v>
      </c>
      <c r="D522" t="s">
        <v>1794</v>
      </c>
      <c r="E522" t="s">
        <v>1795</v>
      </c>
      <c r="F522" t="s">
        <v>1796</v>
      </c>
      <c r="G522" t="s">
        <v>1797</v>
      </c>
      <c r="H522" t="s">
        <v>1798</v>
      </c>
      <c r="I522" t="s">
        <v>1799</v>
      </c>
      <c r="J522" t="s">
        <v>1800</v>
      </c>
      <c r="K522" t="s">
        <v>1801</v>
      </c>
      <c r="L522" t="s">
        <v>1802</v>
      </c>
      <c r="M522" t="s">
        <v>1803</v>
      </c>
      <c r="N522" t="s">
        <v>1804</v>
      </c>
      <c r="O522" t="s">
        <v>1805</v>
      </c>
      <c r="P522" t="s">
        <v>1806</v>
      </c>
      <c r="Q522" t="s">
        <v>1807</v>
      </c>
      <c r="R522" t="s">
        <v>1808</v>
      </c>
      <c r="S522" t="s">
        <v>1809</v>
      </c>
      <c r="T522" t="s">
        <v>1810</v>
      </c>
      <c r="U522" t="s">
        <v>1811</v>
      </c>
      <c r="V522" t="s">
        <v>1812</v>
      </c>
      <c r="W522" t="s">
        <v>1813</v>
      </c>
      <c r="X522" t="s">
        <v>1814</v>
      </c>
      <c r="Y522" t="s">
        <v>1815</v>
      </c>
      <c r="Z522" t="s">
        <v>1816</v>
      </c>
      <c r="AA522" t="s">
        <v>1817</v>
      </c>
      <c r="AB522" t="s">
        <v>1818</v>
      </c>
      <c r="AC522" t="s">
        <v>1819</v>
      </c>
      <c r="AD522" t="s">
        <v>1820</v>
      </c>
      <c r="AE522" t="s">
        <v>1821</v>
      </c>
      <c r="AF522" t="s">
        <v>1822</v>
      </c>
      <c r="AG522" t="s">
        <v>1823</v>
      </c>
      <c r="AH522" t="s">
        <v>1824</v>
      </c>
      <c r="AI522" t="s">
        <v>1825</v>
      </c>
      <c r="AJ522" t="s">
        <v>1826</v>
      </c>
      <c r="AK522" t="s">
        <v>1827</v>
      </c>
      <c r="AL522" t="s">
        <v>1828</v>
      </c>
    </row>
    <row r="523" spans="1:38" x14ac:dyDescent="0.25">
      <c r="A523" t="s">
        <v>459</v>
      </c>
      <c r="B523" t="s">
        <v>1060</v>
      </c>
      <c r="C523" s="2">
        <v>11</v>
      </c>
      <c r="D523" s="2">
        <v>11</v>
      </c>
      <c r="E523" s="2">
        <v>11</v>
      </c>
      <c r="F523" s="2">
        <v>11</v>
      </c>
      <c r="G523" s="2">
        <v>11</v>
      </c>
      <c r="H523" s="2">
        <v>11</v>
      </c>
      <c r="I523" s="2">
        <v>11</v>
      </c>
      <c r="J523" s="2">
        <v>11</v>
      </c>
      <c r="K523" s="2">
        <v>11</v>
      </c>
      <c r="L523" s="2">
        <v>11</v>
      </c>
      <c r="M523" s="2">
        <v>11</v>
      </c>
      <c r="N523" s="2">
        <v>11</v>
      </c>
      <c r="O523" s="2">
        <v>11</v>
      </c>
      <c r="P523" s="2">
        <v>11</v>
      </c>
      <c r="Q523" s="2">
        <v>11</v>
      </c>
      <c r="R523" s="2">
        <v>11</v>
      </c>
      <c r="S523" s="2">
        <v>11</v>
      </c>
      <c r="T523" s="2">
        <v>11</v>
      </c>
      <c r="U523" s="2">
        <v>11</v>
      </c>
      <c r="V523" s="2">
        <v>11</v>
      </c>
      <c r="W523" s="2">
        <v>11</v>
      </c>
      <c r="X523" s="2">
        <v>11</v>
      </c>
      <c r="Y523" s="2">
        <v>11</v>
      </c>
      <c r="Z523" s="2">
        <v>11</v>
      </c>
      <c r="AA523" s="2">
        <v>11</v>
      </c>
      <c r="AB523" s="2">
        <v>11</v>
      </c>
      <c r="AC523" s="2">
        <v>11</v>
      </c>
      <c r="AD523" s="2">
        <v>11</v>
      </c>
      <c r="AE523" s="2">
        <v>11</v>
      </c>
      <c r="AF523" s="2">
        <v>11</v>
      </c>
      <c r="AG523" s="2">
        <v>11</v>
      </c>
      <c r="AH523" s="2">
        <v>11</v>
      </c>
      <c r="AI523" s="2">
        <v>11</v>
      </c>
      <c r="AJ523" s="2">
        <v>11</v>
      </c>
      <c r="AK523" s="2">
        <v>11</v>
      </c>
      <c r="AL523" s="2">
        <v>11</v>
      </c>
    </row>
    <row r="524" spans="1:38" x14ac:dyDescent="0.25">
      <c r="A524" t="s">
        <v>1710</v>
      </c>
      <c r="B524" t="s">
        <v>1051</v>
      </c>
      <c r="C524" s="2">
        <v>24578</v>
      </c>
      <c r="D524" s="2">
        <v>25044.191060047018</v>
      </c>
      <c r="E524" s="2">
        <v>25402.330784276041</v>
      </c>
      <c r="F524" s="2">
        <v>25760.960921122729</v>
      </c>
      <c r="G524" s="2">
        <v>26120.078500346062</v>
      </c>
      <c r="H524" s="2">
        <v>26479.680569694618</v>
      </c>
      <c r="I524" s="2">
        <v>26839.764194797623</v>
      </c>
      <c r="J524" s="2">
        <v>27200.326459056683</v>
      </c>
      <c r="K524" s="2">
        <v>27561.364463538092</v>
      </c>
      <c r="L524" s="2">
        <v>27922.875326865898</v>
      </c>
      <c r="M524" s="2">
        <v>28284.856185115525</v>
      </c>
      <c r="N524" s="2">
        <v>28647.304191708092</v>
      </c>
      <c r="O524" s="2">
        <v>29010.216517305344</v>
      </c>
      <c r="P524" s="2">
        <v>29373.590349705264</v>
      </c>
      <c r="Q524" s="2">
        <v>29737.42289373825</v>
      </c>
      <c r="R524" s="2">
        <v>30101.711371163961</v>
      </c>
      <c r="S524" s="2">
        <v>30466.453020568806</v>
      </c>
      <c r="T524" s="2">
        <v>30831.64509726402</v>
      </c>
      <c r="U524" s="2">
        <v>31197.284873184348</v>
      </c>
      <c r="V524" s="2">
        <v>31563.369636787382</v>
      </c>
      <c r="W524" s="2">
        <v>31929.896692953502</v>
      </c>
      <c r="X524" s="2">
        <v>32296.863362886379</v>
      </c>
      <c r="Y524" s="2">
        <v>32664.266984014128</v>
      </c>
      <c r="Z524" s="2">
        <v>33032.104909891044</v>
      </c>
      <c r="AA524" s="2">
        <v>33400.374510099915</v>
      </c>
      <c r="AB524" s="2">
        <v>33769.073170154981</v>
      </c>
      <c r="AC524" s="2">
        <v>34138.198291405402</v>
      </c>
      <c r="AD524" s="2">
        <v>34507.747290939369</v>
      </c>
      <c r="AE524" s="2">
        <v>34877.717601488774</v>
      </c>
      <c r="AF524" s="2">
        <v>35248.106671334477</v>
      </c>
      <c r="AG524" s="2">
        <v>35618.91196421213</v>
      </c>
      <c r="AH524" s="2">
        <v>35990.130959218543</v>
      </c>
      <c r="AI524" s="2">
        <v>36361.761150718681</v>
      </c>
      <c r="AJ524" s="2">
        <v>36733.800048253193</v>
      </c>
      <c r="AK524" s="2">
        <v>37106.245176446449</v>
      </c>
      <c r="AL524" s="2">
        <v>37479.094074915236</v>
      </c>
    </row>
    <row r="525" spans="1:38" x14ac:dyDescent="0.25">
      <c r="A525" t="s">
        <v>273</v>
      </c>
      <c r="B525" t="s">
        <v>1051</v>
      </c>
      <c r="C525" s="2">
        <v>14587</v>
      </c>
      <c r="D525" s="2">
        <v>14791.096983832553</v>
      </c>
      <c r="E525" s="2">
        <v>14992.835194158337</v>
      </c>
      <c r="F525" s="2">
        <v>15194.743678397366</v>
      </c>
      <c r="G525" s="2">
        <v>15396.820876913789</v>
      </c>
      <c r="H525" s="2">
        <v>15599.065245949863</v>
      </c>
      <c r="I525" s="2">
        <v>15801.475257456568</v>
      </c>
      <c r="J525" s="2">
        <v>16004.049398926018</v>
      </c>
      <c r="K525" s="2">
        <v>16206.786173225715</v>
      </c>
      <c r="L525" s="2">
        <v>16409.684098434602</v>
      </c>
      <c r="M525" s="2">
        <v>16612.741707680907</v>
      </c>
      <c r="N525" s="2">
        <v>16815.957548981725</v>
      </c>
      <c r="O525" s="2">
        <v>17019.33018508436</v>
      </c>
      <c r="P525" s="2">
        <v>17222.858193309399</v>
      </c>
      <c r="Q525" s="2">
        <v>17426.540165395465</v>
      </c>
      <c r="R525" s="2">
        <v>17630.374707345694</v>
      </c>
      <c r="S525" s="2">
        <v>17834.360439275821</v>
      </c>
      <c r="T525" s="2">
        <v>18038.495995263995</v>
      </c>
      <c r="U525" s="2">
        <v>18242.780023202147</v>
      </c>
      <c r="V525" s="2">
        <v>18447.211184649033</v>
      </c>
      <c r="W525" s="2">
        <v>18651.788154684826</v>
      </c>
      <c r="X525" s="2">
        <v>18856.509621767327</v>
      </c>
      <c r="Y525" s="2">
        <v>19061.374287589719</v>
      </c>
      <c r="Z525" s="2">
        <v>19266.380866939835</v>
      </c>
      <c r="AA525" s="2">
        <v>19471.528087561019</v>
      </c>
      <c r="AB525" s="2">
        <v>19676.814690014446</v>
      </c>
      <c r="AC525" s="2">
        <v>19882.239427542954</v>
      </c>
      <c r="AD525" s="2">
        <v>20087.801065936346</v>
      </c>
      <c r="AE525" s="2">
        <v>20293.498383398168</v>
      </c>
      <c r="AF525" s="2">
        <v>20499.330170413923</v>
      </c>
      <c r="AG525" s="2">
        <v>20705.295229620708</v>
      </c>
      <c r="AH525" s="2">
        <v>20911.392375678271</v>
      </c>
      <c r="AI525" s="2">
        <v>21117.620435141489</v>
      </c>
      <c r="AJ525" s="2">
        <v>21323.978246334191</v>
      </c>
      <c r="AK525" s="2">
        <v>21530.464659224363</v>
      </c>
      <c r="AL525" s="2">
        <v>21737.078535300723</v>
      </c>
    </row>
    <row r="526" spans="1:38" x14ac:dyDescent="0.25">
      <c r="A526" t="s">
        <v>273</v>
      </c>
      <c r="B526" t="s">
        <v>1061</v>
      </c>
      <c r="C526" s="2">
        <v>39</v>
      </c>
      <c r="D526" s="2">
        <v>39.222222222222221</v>
      </c>
      <c r="E526" s="2">
        <v>39.444444444444443</v>
      </c>
      <c r="F526" s="2">
        <v>39.666666666666664</v>
      </c>
      <c r="G526" s="2">
        <v>39.888888888888886</v>
      </c>
      <c r="H526" s="2">
        <v>40.111111111111107</v>
      </c>
      <c r="I526" s="2">
        <v>40.333333333333329</v>
      </c>
      <c r="J526" s="2">
        <v>40.55555555555555</v>
      </c>
      <c r="K526" s="2">
        <v>40.777777777777771</v>
      </c>
      <c r="L526" s="2">
        <v>40.999999999999993</v>
      </c>
      <c r="M526" s="2">
        <v>41.222222222222214</v>
      </c>
      <c r="N526" s="2">
        <v>41.444444444444436</v>
      </c>
      <c r="O526" s="2">
        <v>41.666666666666657</v>
      </c>
      <c r="P526" s="2">
        <v>41.888888888888879</v>
      </c>
      <c r="Q526" s="2">
        <v>42.1111111111111</v>
      </c>
      <c r="R526" s="2">
        <v>42.333333333333321</v>
      </c>
      <c r="S526" s="2">
        <v>42.555555555555543</v>
      </c>
      <c r="T526" s="2">
        <v>42.777777777777764</v>
      </c>
      <c r="U526" s="2">
        <v>42.999999999999986</v>
      </c>
      <c r="V526" s="2">
        <v>43.222222222222207</v>
      </c>
      <c r="W526" s="2">
        <v>43.444444444444429</v>
      </c>
      <c r="X526" s="2">
        <v>43.66666666666665</v>
      </c>
      <c r="Y526" s="2">
        <v>43.888888888888872</v>
      </c>
      <c r="Z526" s="2">
        <v>44.111111111111093</v>
      </c>
      <c r="AA526" s="2">
        <v>44.333333333333314</v>
      </c>
      <c r="AB526" s="2">
        <v>44.555555555555536</v>
      </c>
      <c r="AC526" s="2">
        <v>44.777777777777757</v>
      </c>
      <c r="AD526" s="2">
        <v>44.999999999999979</v>
      </c>
      <c r="AE526" s="2">
        <v>45.2222222222222</v>
      </c>
      <c r="AF526" s="2">
        <v>45.444444444444422</v>
      </c>
      <c r="AG526" s="2">
        <v>45.666666666666643</v>
      </c>
      <c r="AH526" s="2">
        <v>45.888888888888864</v>
      </c>
      <c r="AI526" s="2">
        <v>46.111111111111086</v>
      </c>
      <c r="AJ526" s="2">
        <v>46.333333333333307</v>
      </c>
      <c r="AK526" s="2">
        <v>46.555555555555529</v>
      </c>
      <c r="AL526" s="2">
        <v>46.77777777777775</v>
      </c>
    </row>
    <row r="527" spans="1:38" x14ac:dyDescent="0.25">
      <c r="A527" t="s">
        <v>1709</v>
      </c>
      <c r="B527" t="s">
        <v>1060</v>
      </c>
      <c r="C527" s="2">
        <v>256</v>
      </c>
      <c r="D527" s="2">
        <v>251.78896332499687</v>
      </c>
      <c r="E527" s="2">
        <v>251.23395377271197</v>
      </c>
      <c r="F527" s="2">
        <v>250.6801676084543</v>
      </c>
      <c r="G527" s="2">
        <v>250.12760213555271</v>
      </c>
      <c r="H527" s="2">
        <v>249.5762546632802</v>
      </c>
      <c r="I527" s="2">
        <v>249.02612250684075</v>
      </c>
      <c r="J527" s="2">
        <v>248.47720298735663</v>
      </c>
      <c r="K527" s="2">
        <v>247.92949343185475</v>
      </c>
      <c r="L527" s="2">
        <v>247.38299117325397</v>
      </c>
      <c r="M527" s="2">
        <v>246.83769355035247</v>
      </c>
      <c r="N527" s="2">
        <v>246.2935979078139</v>
      </c>
      <c r="O527" s="2">
        <v>245.75070159615538</v>
      </c>
      <c r="P527" s="2">
        <v>245.20900197173407</v>
      </c>
      <c r="Q527" s="2">
        <v>244.66849639673433</v>
      </c>
      <c r="R527" s="2">
        <v>244.12918223915509</v>
      </c>
      <c r="S527" s="2">
        <v>243.59105687279674</v>
      </c>
      <c r="T527" s="2">
        <v>243.0541176772488</v>
      </c>
      <c r="U527" s="2">
        <v>242.51836203787656</v>
      </c>
      <c r="V527" s="2">
        <v>241.98378734580882</v>
      </c>
      <c r="W527" s="2">
        <v>241.45039099792498</v>
      </c>
      <c r="X527" s="2">
        <v>240.91817039684247</v>
      </c>
      <c r="Y527" s="2">
        <v>240.38712295090389</v>
      </c>
      <c r="Z527" s="2">
        <v>239.85724607416478</v>
      </c>
      <c r="AA527" s="2">
        <v>239.32853718638046</v>
      </c>
      <c r="AB527" s="2">
        <v>238.80099371299414</v>
      </c>
      <c r="AC527" s="2">
        <v>238.27461308512372</v>
      </c>
      <c r="AD527" s="2">
        <v>237.74939273954988</v>
      </c>
      <c r="AE527" s="2">
        <v>237.22533011870306</v>
      </c>
      <c r="AF527" s="2">
        <v>236.70242267065154</v>
      </c>
      <c r="AG527" s="2">
        <v>236.18066784908834</v>
      </c>
      <c r="AH527" s="2">
        <v>235.66006311331975</v>
      </c>
      <c r="AI527" s="2">
        <v>235.14060592825183</v>
      </c>
      <c r="AJ527" s="2">
        <v>234.62229376437907</v>
      </c>
      <c r="AK527" s="2">
        <v>234.10512409777161</v>
      </c>
      <c r="AL527" s="2">
        <v>233.58909441006284</v>
      </c>
    </row>
    <row r="528" spans="1:38" x14ac:dyDescent="0.25">
      <c r="A528" t="s">
        <v>272</v>
      </c>
      <c r="B528" t="s">
        <v>1060</v>
      </c>
      <c r="C528" s="2">
        <v>7</v>
      </c>
      <c r="D528" s="2">
        <v>7.5555555555555554</v>
      </c>
      <c r="E528" s="2">
        <v>8.1111111111111107</v>
      </c>
      <c r="F528" s="2">
        <v>8.6666666666666661</v>
      </c>
      <c r="G528" s="2">
        <v>9.2222222222222214</v>
      </c>
      <c r="H528" s="2">
        <v>9.7777777777777768</v>
      </c>
      <c r="I528" s="2">
        <v>10.333333333333332</v>
      </c>
      <c r="J528" s="2">
        <v>10.888888888888888</v>
      </c>
      <c r="K528" s="2">
        <v>11.444444444444443</v>
      </c>
      <c r="L528" s="2">
        <v>11.999999999999998</v>
      </c>
      <c r="M528" s="2">
        <v>12.555555555555554</v>
      </c>
      <c r="N528" s="2">
        <v>13.111111111111109</v>
      </c>
      <c r="O528" s="2">
        <v>13.666666666666664</v>
      </c>
      <c r="P528" s="2">
        <v>14.22222222222222</v>
      </c>
      <c r="Q528" s="2">
        <v>14.777777777777775</v>
      </c>
      <c r="R528" s="2">
        <v>15.33333333333333</v>
      </c>
      <c r="S528" s="2">
        <v>15.888888888888886</v>
      </c>
      <c r="T528" s="2">
        <v>16.444444444444443</v>
      </c>
      <c r="U528" s="2">
        <v>17</v>
      </c>
      <c r="V528" s="2">
        <v>17.555555555555557</v>
      </c>
      <c r="W528" s="2">
        <v>18.111111111111114</v>
      </c>
      <c r="X528" s="2">
        <v>18.666666666666671</v>
      </c>
      <c r="Y528" s="2">
        <v>19.222222222222229</v>
      </c>
      <c r="Z528" s="2">
        <v>19.777777777777786</v>
      </c>
      <c r="AA528" s="2">
        <v>20.333333333333343</v>
      </c>
      <c r="AB528" s="2">
        <v>20.8888888888889</v>
      </c>
      <c r="AC528" s="2">
        <v>21.444444444444457</v>
      </c>
      <c r="AD528" s="2">
        <v>22.000000000000014</v>
      </c>
      <c r="AE528" s="2">
        <v>22.555555555555571</v>
      </c>
      <c r="AF528" s="2">
        <v>23.111111111111128</v>
      </c>
      <c r="AG528" s="2">
        <v>23.666666666666686</v>
      </c>
      <c r="AH528" s="2">
        <v>24.222222222222243</v>
      </c>
      <c r="AI528" s="2">
        <v>24.7777777777778</v>
      </c>
      <c r="AJ528" s="2">
        <v>25.333333333333357</v>
      </c>
      <c r="AK528" s="2">
        <v>25.888888888888914</v>
      </c>
      <c r="AL528" s="2">
        <v>26.444444444444471</v>
      </c>
    </row>
    <row r="529" spans="1:38" x14ac:dyDescent="0.25">
      <c r="A529" t="s">
        <v>272</v>
      </c>
      <c r="B529" t="s">
        <v>1051</v>
      </c>
      <c r="C529" s="2">
        <v>28062</v>
      </c>
      <c r="D529" s="2">
        <v>28159.222222222223</v>
      </c>
      <c r="E529" s="2">
        <v>28256.444444444445</v>
      </c>
      <c r="F529" s="2">
        <v>28353.666666666668</v>
      </c>
      <c r="G529" s="2">
        <v>28450.888888888891</v>
      </c>
      <c r="H529" s="2">
        <v>28548.111111111113</v>
      </c>
      <c r="I529" s="2">
        <v>28645.333333333336</v>
      </c>
      <c r="J529" s="2">
        <v>28742.555555555558</v>
      </c>
      <c r="K529" s="2">
        <v>28839.777777777781</v>
      </c>
      <c r="L529" s="2">
        <v>28937.000000000004</v>
      </c>
      <c r="M529" s="2">
        <v>29034.222222222226</v>
      </c>
      <c r="N529" s="2">
        <v>29131.444444444449</v>
      </c>
      <c r="O529" s="2">
        <v>29228.666666666672</v>
      </c>
      <c r="P529" s="2">
        <v>29325.888888888894</v>
      </c>
      <c r="Q529" s="2">
        <v>29423.111111111117</v>
      </c>
      <c r="R529" s="2">
        <v>29520.333333333339</v>
      </c>
      <c r="S529" s="2">
        <v>29617.555555555562</v>
      </c>
      <c r="T529" s="2">
        <v>29714.777777777785</v>
      </c>
      <c r="U529" s="2">
        <v>29812.000000000007</v>
      </c>
      <c r="V529" s="2">
        <v>29909.22222222223</v>
      </c>
      <c r="W529" s="2">
        <v>30006.444444444453</v>
      </c>
      <c r="X529" s="2">
        <v>30103.666666666675</v>
      </c>
      <c r="Y529" s="2">
        <v>30200.888888888898</v>
      </c>
      <c r="Z529" s="2">
        <v>30298.11111111112</v>
      </c>
      <c r="AA529" s="2">
        <v>30395.333333333343</v>
      </c>
      <c r="AB529" s="2">
        <v>30492.555555555566</v>
      </c>
      <c r="AC529" s="2">
        <v>30589.777777777788</v>
      </c>
      <c r="AD529" s="2">
        <v>30687.000000000011</v>
      </c>
      <c r="AE529" s="2">
        <v>30784.222222222234</v>
      </c>
      <c r="AF529" s="2">
        <v>30881.444444444456</v>
      </c>
      <c r="AG529" s="2">
        <v>30978.666666666679</v>
      </c>
      <c r="AH529" s="2">
        <v>31075.888888888901</v>
      </c>
      <c r="AI529" s="2">
        <v>31173.111111111124</v>
      </c>
      <c r="AJ529" s="2">
        <v>31270.333333333347</v>
      </c>
      <c r="AK529" s="2">
        <v>31367.555555555569</v>
      </c>
      <c r="AL529" s="2">
        <v>31464.777777777792</v>
      </c>
    </row>
    <row r="530" spans="1:38" x14ac:dyDescent="0.25">
      <c r="A530" t="s">
        <v>469</v>
      </c>
      <c r="B530" t="s">
        <v>1060</v>
      </c>
      <c r="C530" s="2">
        <v>1</v>
      </c>
      <c r="D530" s="2">
        <v>1.1111111111111112</v>
      </c>
      <c r="E530" s="2">
        <v>1.2222222222222223</v>
      </c>
      <c r="F530" s="2">
        <v>1.3333333333333335</v>
      </c>
      <c r="G530" s="2">
        <v>1.4444444444444446</v>
      </c>
      <c r="H530" s="2">
        <v>1.5555555555555558</v>
      </c>
      <c r="I530" s="2">
        <v>1.666666666666667</v>
      </c>
      <c r="J530" s="2">
        <v>1.7777777777777781</v>
      </c>
      <c r="K530" s="2">
        <v>1.8888888888888893</v>
      </c>
      <c r="L530" s="2">
        <v>2.0000000000000004</v>
      </c>
      <c r="M530" s="2">
        <v>2.1111111111111116</v>
      </c>
      <c r="N530" s="2">
        <v>2.2222222222222228</v>
      </c>
      <c r="O530" s="2">
        <v>2.3333333333333339</v>
      </c>
      <c r="P530" s="2">
        <v>2.4444444444444451</v>
      </c>
      <c r="Q530" s="2">
        <v>2.5555555555555562</v>
      </c>
      <c r="R530" s="2">
        <v>2.6666666666666674</v>
      </c>
      <c r="S530" s="2">
        <v>2.7777777777777786</v>
      </c>
      <c r="T530" s="2">
        <v>2.8888888888888897</v>
      </c>
      <c r="U530" s="2">
        <v>3.0000000000000009</v>
      </c>
      <c r="V530" s="2">
        <v>3.111111111111112</v>
      </c>
      <c r="W530" s="2">
        <v>3.2222222222222232</v>
      </c>
      <c r="X530" s="2">
        <v>3.3333333333333344</v>
      </c>
      <c r="Y530" s="2">
        <v>3.4444444444444455</v>
      </c>
      <c r="Z530" s="2">
        <v>3.5555555555555567</v>
      </c>
      <c r="AA530" s="2">
        <v>3.6666666666666679</v>
      </c>
      <c r="AB530" s="2">
        <v>3.777777777777779</v>
      </c>
      <c r="AC530" s="2">
        <v>3.8888888888888902</v>
      </c>
      <c r="AD530" s="2">
        <v>4.0000000000000009</v>
      </c>
      <c r="AE530" s="2">
        <v>4.1111111111111116</v>
      </c>
      <c r="AF530" s="2">
        <v>4.2222222222222223</v>
      </c>
      <c r="AG530" s="2">
        <v>4.333333333333333</v>
      </c>
      <c r="AH530" s="2">
        <v>4.4444444444444438</v>
      </c>
      <c r="AI530" s="2">
        <v>4.5555555555555545</v>
      </c>
      <c r="AJ530" s="2">
        <v>4.6666666666666652</v>
      </c>
      <c r="AK530" s="2">
        <v>4.7777777777777759</v>
      </c>
      <c r="AL530" s="2">
        <v>4.8888888888888866</v>
      </c>
    </row>
    <row r="531" spans="1:38" x14ac:dyDescent="0.25">
      <c r="A531" t="s">
        <v>469</v>
      </c>
      <c r="B531" t="s">
        <v>1051</v>
      </c>
      <c r="C531" s="2">
        <v>20746</v>
      </c>
      <c r="D531" s="2">
        <v>22024.951262916205</v>
      </c>
      <c r="E531" s="2">
        <v>22203.235639551025</v>
      </c>
      <c r="F531" s="2">
        <v>22404.00921370124</v>
      </c>
      <c r="G531" s="2">
        <v>22625.09138894251</v>
      </c>
      <c r="H531" s="2">
        <v>22864.529773500886</v>
      </c>
      <c r="I531" s="2">
        <v>23120.575923946599</v>
      </c>
      <c r="J531" s="2">
        <v>23391.663676682743</v>
      </c>
      <c r="K531" s="2">
        <v>23676.389790884874</v>
      </c>
      <c r="L531" s="2">
        <v>23973.496656065669</v>
      </c>
      <c r="M531" s="2">
        <v>24281.856843803373</v>
      </c>
      <c r="N531" s="2">
        <v>24600.45930672111</v>
      </c>
      <c r="O531" s="2">
        <v>24928.397048836818</v>
      </c>
      <c r="P531" s="2">
        <v>25264.856110189659</v>
      </c>
      <c r="Q531" s="2">
        <v>25609.105725428028</v>
      </c>
      <c r="R531" s="2">
        <v>25960.489531030886</v>
      </c>
      <c r="S531" s="2">
        <v>26318.417709220383</v>
      </c>
      <c r="T531" s="2">
        <v>26682.359968579422</v>
      </c>
      <c r="U531" s="2">
        <v>27051.839272066889</v>
      </c>
      <c r="V531" s="2">
        <v>27426.426232661328</v>
      </c>
      <c r="W531" s="2">
        <v>27805.734105383126</v>
      </c>
      <c r="X531" s="2">
        <v>28189.414312054454</v>
      </c>
      <c r="Y531" s="2">
        <v>28577.152441952865</v>
      </c>
      <c r="Z531" s="2">
        <v>28968.664677584577</v>
      </c>
      <c r="AA531" s="2">
        <v>29363.694600225961</v>
      </c>
      <c r="AB531" s="2">
        <v>29762.010334724044</v>
      </c>
      <c r="AC531" s="2">
        <v>30163.401997373105</v>
      </c>
      <c r="AD531" s="2">
        <v>30567.679414547354</v>
      </c>
      <c r="AE531" s="2">
        <v>30974.670083221012</v>
      </c>
      <c r="AF531" s="2">
        <v>31384.217347589201</v>
      </c>
      <c r="AG531" s="2">
        <v>31796.178768756101</v>
      </c>
      <c r="AH531" s="2">
        <v>32210.424666915911</v>
      </c>
      <c r="AI531" s="2">
        <v>32626.83681764856</v>
      </c>
      <c r="AJ531" s="2">
        <v>33045.30728591379</v>
      </c>
      <c r="AK531" s="2">
        <v>33465.737383079526</v>
      </c>
      <c r="AL531" s="2">
        <v>33888.036733885689</v>
      </c>
    </row>
    <row r="532" spans="1:38" x14ac:dyDescent="0.25">
      <c r="A532" t="s">
        <v>469</v>
      </c>
      <c r="B532" t="s">
        <v>1061</v>
      </c>
      <c r="C532" s="2">
        <v>14</v>
      </c>
      <c r="D532" s="2">
        <v>14</v>
      </c>
      <c r="E532" s="2">
        <v>14</v>
      </c>
      <c r="F532" s="2">
        <v>14</v>
      </c>
      <c r="G532" s="2">
        <v>14</v>
      </c>
      <c r="H532" s="2">
        <v>14</v>
      </c>
      <c r="I532" s="2">
        <v>14</v>
      </c>
      <c r="J532" s="2">
        <v>14</v>
      </c>
      <c r="K532" s="2">
        <v>14</v>
      </c>
      <c r="L532" s="2">
        <v>14</v>
      </c>
      <c r="M532" s="2">
        <v>14</v>
      </c>
      <c r="N532" s="2">
        <v>14</v>
      </c>
      <c r="O532" s="2">
        <v>14</v>
      </c>
      <c r="P532" s="2">
        <v>14</v>
      </c>
      <c r="Q532" s="2">
        <v>14</v>
      </c>
      <c r="R532" s="2">
        <v>14</v>
      </c>
      <c r="S532" s="2">
        <v>14</v>
      </c>
      <c r="T532" s="2">
        <v>14</v>
      </c>
      <c r="U532" s="2">
        <v>14</v>
      </c>
      <c r="V532" s="2">
        <v>14</v>
      </c>
      <c r="W532" s="2">
        <v>14</v>
      </c>
      <c r="X532" s="2">
        <v>14</v>
      </c>
      <c r="Y532" s="2">
        <v>14</v>
      </c>
      <c r="Z532" s="2">
        <v>14</v>
      </c>
      <c r="AA532" s="2">
        <v>14</v>
      </c>
      <c r="AB532" s="2">
        <v>14</v>
      </c>
      <c r="AC532" s="2">
        <v>14</v>
      </c>
      <c r="AD532" s="2">
        <v>14</v>
      </c>
      <c r="AE532" s="2">
        <v>14</v>
      </c>
      <c r="AF532" s="2">
        <v>14</v>
      </c>
      <c r="AG532" s="2">
        <v>14</v>
      </c>
      <c r="AH532" s="2">
        <v>14</v>
      </c>
      <c r="AI532" s="2">
        <v>14</v>
      </c>
      <c r="AJ532" s="2">
        <v>14</v>
      </c>
      <c r="AK532" s="2">
        <v>14</v>
      </c>
      <c r="AL532" s="2">
        <v>14</v>
      </c>
    </row>
    <row r="533" spans="1:38" x14ac:dyDescent="0.25">
      <c r="A533" t="s">
        <v>463</v>
      </c>
      <c r="B533" t="s">
        <v>1060</v>
      </c>
      <c r="C533" s="2">
        <v>84</v>
      </c>
      <c r="D533" s="2">
        <v>85</v>
      </c>
      <c r="E533" s="2">
        <v>86</v>
      </c>
      <c r="F533" s="2">
        <v>87</v>
      </c>
      <c r="G533" s="2">
        <v>88</v>
      </c>
      <c r="H533" s="2">
        <v>89</v>
      </c>
      <c r="I533" s="2">
        <v>90</v>
      </c>
      <c r="J533" s="2">
        <v>91</v>
      </c>
      <c r="K533" s="2">
        <v>92</v>
      </c>
      <c r="L533" s="2">
        <v>93</v>
      </c>
      <c r="M533" s="2">
        <v>94</v>
      </c>
      <c r="N533" s="2">
        <v>95</v>
      </c>
      <c r="O533" s="2">
        <v>96</v>
      </c>
      <c r="P533" s="2">
        <v>97</v>
      </c>
      <c r="Q533" s="2">
        <v>98</v>
      </c>
      <c r="R533" s="2">
        <v>99</v>
      </c>
      <c r="S533" s="2">
        <v>100</v>
      </c>
      <c r="T533" s="2">
        <v>101</v>
      </c>
      <c r="U533" s="2">
        <v>102</v>
      </c>
      <c r="V533" s="2">
        <v>103</v>
      </c>
      <c r="W533" s="2">
        <v>104</v>
      </c>
      <c r="X533" s="2">
        <v>105</v>
      </c>
      <c r="Y533" s="2">
        <v>106</v>
      </c>
      <c r="Z533" s="2">
        <v>107</v>
      </c>
      <c r="AA533" s="2">
        <v>108</v>
      </c>
      <c r="AB533" s="2">
        <v>109</v>
      </c>
      <c r="AC533" s="2">
        <v>110</v>
      </c>
      <c r="AD533" s="2">
        <v>111</v>
      </c>
      <c r="AE533" s="2">
        <v>112</v>
      </c>
      <c r="AF533" s="2">
        <v>113</v>
      </c>
      <c r="AG533" s="2">
        <v>114</v>
      </c>
      <c r="AH533" s="2">
        <v>115</v>
      </c>
      <c r="AI533" s="2">
        <v>116</v>
      </c>
      <c r="AJ533" s="2">
        <v>117</v>
      </c>
      <c r="AK533" s="2">
        <v>118</v>
      </c>
      <c r="AL533" s="2">
        <v>119</v>
      </c>
    </row>
    <row r="534" spans="1:38" x14ac:dyDescent="0.25">
      <c r="A534" t="s">
        <v>463</v>
      </c>
      <c r="B534" t="s">
        <v>1061</v>
      </c>
      <c r="C534" s="2">
        <v>6</v>
      </c>
      <c r="D534" s="2">
        <v>6</v>
      </c>
      <c r="E534" s="2">
        <v>6</v>
      </c>
      <c r="F534" s="2">
        <v>6</v>
      </c>
      <c r="G534" s="2">
        <v>6</v>
      </c>
      <c r="H534" s="2">
        <v>6</v>
      </c>
      <c r="I534" s="2">
        <v>6</v>
      </c>
      <c r="J534" s="2">
        <v>6</v>
      </c>
      <c r="K534" s="2">
        <v>6</v>
      </c>
      <c r="L534" s="2">
        <v>6</v>
      </c>
      <c r="M534" s="2">
        <v>6</v>
      </c>
      <c r="N534" s="2">
        <v>6</v>
      </c>
      <c r="O534" s="2">
        <v>6</v>
      </c>
      <c r="P534" s="2">
        <v>6</v>
      </c>
      <c r="Q534" s="2">
        <v>6</v>
      </c>
      <c r="R534" s="2">
        <v>6</v>
      </c>
      <c r="S534" s="2">
        <v>6</v>
      </c>
      <c r="T534" s="2">
        <v>6</v>
      </c>
      <c r="U534" s="2">
        <v>6</v>
      </c>
      <c r="V534" s="2">
        <v>6</v>
      </c>
      <c r="W534" s="2">
        <v>6</v>
      </c>
      <c r="X534" s="2">
        <v>6</v>
      </c>
      <c r="Y534" s="2">
        <v>6</v>
      </c>
      <c r="Z534" s="2">
        <v>6</v>
      </c>
      <c r="AA534" s="2">
        <v>6</v>
      </c>
      <c r="AB534" s="2">
        <v>6</v>
      </c>
      <c r="AC534" s="2">
        <v>6</v>
      </c>
      <c r="AD534" s="2">
        <v>6</v>
      </c>
      <c r="AE534" s="2">
        <v>6</v>
      </c>
      <c r="AF534" s="2">
        <v>6</v>
      </c>
      <c r="AG534" s="2">
        <v>6</v>
      </c>
      <c r="AH534" s="2">
        <v>6</v>
      </c>
      <c r="AI534" s="2">
        <v>6</v>
      </c>
      <c r="AJ534" s="2">
        <v>6</v>
      </c>
      <c r="AK534" s="2">
        <v>6</v>
      </c>
      <c r="AL534" s="2">
        <v>6</v>
      </c>
    </row>
  </sheetData>
  <mergeCells count="1">
    <mergeCell ref="A351:J351"/>
  </mergeCell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outlinePr summaryBelow="0"/>
  </sheetPr>
  <dimension ref="A1:AK85"/>
  <sheetViews>
    <sheetView zoomScaleNormal="100" workbookViewId="0">
      <selection activeCell="A32" sqref="A32"/>
    </sheetView>
  </sheetViews>
  <sheetFormatPr defaultColWidth="12.5703125" defaultRowHeight="15" x14ac:dyDescent="0.25"/>
  <cols>
    <col min="1" max="1" width="61.28515625" style="108" customWidth="1"/>
    <col min="2" max="10" width="12.5703125" style="108"/>
    <col min="11" max="11" width="10.28515625" style="108" customWidth="1"/>
    <col min="12" max="12" width="10.42578125" style="110" customWidth="1"/>
    <col min="13" max="16384" width="12.5703125" style="108"/>
  </cols>
  <sheetData>
    <row r="1" spans="1:37" x14ac:dyDescent="0.25">
      <c r="A1" s="109" t="s">
        <v>1009</v>
      </c>
    </row>
    <row r="2" spans="1:37" x14ac:dyDescent="0.25">
      <c r="A2" s="111"/>
      <c r="B2" s="112">
        <v>2015</v>
      </c>
      <c r="C2" s="112">
        <v>2016</v>
      </c>
      <c r="D2" s="112">
        <v>2017</v>
      </c>
      <c r="E2" s="112">
        <v>2018</v>
      </c>
      <c r="F2" s="112">
        <v>2019</v>
      </c>
      <c r="G2" s="112">
        <v>2020</v>
      </c>
      <c r="H2" s="112">
        <v>2021</v>
      </c>
      <c r="I2" s="112">
        <v>2022</v>
      </c>
      <c r="J2" s="112">
        <v>2023</v>
      </c>
      <c r="K2" s="112">
        <v>2024</v>
      </c>
      <c r="L2" s="112">
        <v>2025</v>
      </c>
      <c r="M2" s="112">
        <v>2026</v>
      </c>
      <c r="N2" s="112">
        <v>2027</v>
      </c>
      <c r="O2" s="112">
        <v>2028</v>
      </c>
      <c r="P2" s="112">
        <v>2029</v>
      </c>
      <c r="Q2" s="112">
        <v>2030</v>
      </c>
      <c r="R2" s="112">
        <v>2031</v>
      </c>
      <c r="S2" s="112">
        <v>2032</v>
      </c>
      <c r="T2" s="112">
        <v>2033</v>
      </c>
      <c r="U2" s="112">
        <v>2034</v>
      </c>
      <c r="V2" s="112">
        <v>2035</v>
      </c>
      <c r="W2" s="112">
        <v>2036</v>
      </c>
      <c r="X2" s="112">
        <v>2037</v>
      </c>
      <c r="Y2" s="112">
        <v>2038</v>
      </c>
      <c r="Z2" s="112">
        <v>2039</v>
      </c>
      <c r="AA2" s="112">
        <v>2040</v>
      </c>
      <c r="AB2" s="112">
        <v>2041</v>
      </c>
      <c r="AC2" s="112">
        <v>2042</v>
      </c>
      <c r="AD2" s="112">
        <v>2043</v>
      </c>
      <c r="AE2" s="112">
        <v>2044</v>
      </c>
      <c r="AF2" s="112">
        <v>2045</v>
      </c>
      <c r="AG2" s="112">
        <v>2046</v>
      </c>
      <c r="AH2" s="112">
        <v>2047</v>
      </c>
      <c r="AI2" s="112">
        <v>2048</v>
      </c>
      <c r="AJ2" s="112">
        <v>2049</v>
      </c>
      <c r="AK2" s="112">
        <v>2050</v>
      </c>
    </row>
    <row r="3" spans="1:37" x14ac:dyDescent="0.25">
      <c r="A3" s="113" t="s">
        <v>1010</v>
      </c>
      <c r="B3" s="114"/>
      <c r="C3" s="114"/>
      <c r="D3" s="114"/>
      <c r="E3" s="114"/>
      <c r="F3" s="114"/>
      <c r="G3" s="114"/>
      <c r="H3" s="114"/>
      <c r="I3" s="114"/>
      <c r="J3" s="114"/>
    </row>
    <row r="4" spans="1:37" x14ac:dyDescent="0.25">
      <c r="A4" s="115" t="s">
        <v>1011</v>
      </c>
      <c r="B4" s="117">
        <f>SUM(B5:B6)</f>
        <v>64.113200000000006</v>
      </c>
      <c r="C4" s="117">
        <f t="shared" ref="C4:AK4" si="0">SUM(C5:C6)</f>
        <v>67.382133565598735</v>
      </c>
      <c r="D4" s="117">
        <f t="shared" si="0"/>
        <v>70.158319780576662</v>
      </c>
      <c r="E4" s="117">
        <f t="shared" si="0"/>
        <v>71.442561791409062</v>
      </c>
      <c r="F4" s="117">
        <f t="shared" si="0"/>
        <v>72.391312255816757</v>
      </c>
      <c r="G4" s="117">
        <f t="shared" si="0"/>
        <v>73.028005846222143</v>
      </c>
      <c r="H4" s="117">
        <f t="shared" si="0"/>
        <v>75.01487210845147</v>
      </c>
      <c r="I4" s="117">
        <f t="shared" si="0"/>
        <v>76.689695980782773</v>
      </c>
      <c r="J4" s="117">
        <f t="shared" si="0"/>
        <v>78.194125781029925</v>
      </c>
      <c r="K4" s="117">
        <f t="shared" si="0"/>
        <v>79.390504705510551</v>
      </c>
      <c r="L4" s="117">
        <f t="shared" si="0"/>
        <v>80.232675083555236</v>
      </c>
      <c r="M4" s="117">
        <f t="shared" si="0"/>
        <v>81.304032801247118</v>
      </c>
      <c r="N4" s="117">
        <f t="shared" si="0"/>
        <v>82.223847258781376</v>
      </c>
      <c r="O4" s="117">
        <f t="shared" si="0"/>
        <v>83.022443953523947</v>
      </c>
      <c r="P4" s="117">
        <f t="shared" si="0"/>
        <v>83.830060425828421</v>
      </c>
      <c r="Q4" s="117">
        <f t="shared" si="0"/>
        <v>84.963119260613794</v>
      </c>
      <c r="R4" s="117">
        <f t="shared" si="0"/>
        <v>86.14020642480358</v>
      </c>
      <c r="S4" s="117">
        <f t="shared" si="0"/>
        <v>87.038950159076848</v>
      </c>
      <c r="T4" s="117">
        <f t="shared" si="0"/>
        <v>88.390765467783027</v>
      </c>
      <c r="U4" s="117">
        <f t="shared" si="0"/>
        <v>90.035749146702429</v>
      </c>
      <c r="V4" s="117">
        <f t="shared" si="0"/>
        <v>91.624242722503567</v>
      </c>
      <c r="W4" s="117">
        <f t="shared" si="0"/>
        <v>93.329582587617324</v>
      </c>
      <c r="X4" s="117">
        <f t="shared" si="0"/>
        <v>95.090653373688127</v>
      </c>
      <c r="Y4" s="117">
        <f t="shared" si="0"/>
        <v>96.690979767213008</v>
      </c>
      <c r="Z4" s="117">
        <f t="shared" si="0"/>
        <v>98.473733837572269</v>
      </c>
      <c r="AA4" s="117">
        <f t="shared" si="0"/>
        <v>100.6374733426251</v>
      </c>
      <c r="AB4" s="117">
        <f t="shared" si="0"/>
        <v>102.70887651374638</v>
      </c>
      <c r="AC4" s="117">
        <f t="shared" si="0"/>
        <v>104.52413594124164</v>
      </c>
      <c r="AD4" s="117">
        <f t="shared" si="0"/>
        <v>106.82291702006344</v>
      </c>
      <c r="AE4" s="117">
        <f t="shared" si="0"/>
        <v>109.33232341760106</v>
      </c>
      <c r="AF4" s="117">
        <f t="shared" si="0"/>
        <v>111.64535772222756</v>
      </c>
      <c r="AG4" s="117">
        <f t="shared" si="0"/>
        <v>113.97386239837851</v>
      </c>
      <c r="AH4" s="117">
        <f t="shared" si="0"/>
        <v>116.06862861510373</v>
      </c>
      <c r="AI4" s="117">
        <f t="shared" si="0"/>
        <v>118.14172545810118</v>
      </c>
      <c r="AJ4" s="117">
        <f t="shared" si="0"/>
        <v>120.35608958565032</v>
      </c>
      <c r="AK4" s="117">
        <f t="shared" si="0"/>
        <v>122.52783427804377</v>
      </c>
    </row>
    <row r="5" spans="1:37" x14ac:dyDescent="0.25">
      <c r="A5" s="138" t="s">
        <v>1830</v>
      </c>
      <c r="B5" s="336">
        <f>'Cement CO2 Emissions'!B11</f>
        <v>39.535200000000003</v>
      </c>
      <c r="C5" s="336">
        <f>'Cement CO2 Emissions'!C11</f>
        <v>42.337942505551709</v>
      </c>
      <c r="D5" s="336">
        <f>'Cement CO2 Emissions'!D11</f>
        <v>44.755988996300623</v>
      </c>
      <c r="E5" s="336">
        <f>'Cement CO2 Emissions'!E11</f>
        <v>45.681600870286339</v>
      </c>
      <c r="F5" s="336">
        <f>'Cement CO2 Emissions'!F11</f>
        <v>46.271233755470703</v>
      </c>
      <c r="G5" s="336">
        <f>'Cement CO2 Emissions'!G11</f>
        <v>46.548325276527528</v>
      </c>
      <c r="H5" s="336">
        <f>'Cement CO2 Emissions'!H11</f>
        <v>48.175107913653846</v>
      </c>
      <c r="I5" s="336">
        <f>'Cement CO2 Emissions'!I11</f>
        <v>49.489369521726083</v>
      </c>
      <c r="J5" s="336">
        <f>'Cement CO2 Emissions'!J11</f>
        <v>50.632761317491834</v>
      </c>
      <c r="K5" s="336">
        <f>'Cement CO2 Emissions'!K11</f>
        <v>51.467629378644652</v>
      </c>
      <c r="L5" s="336">
        <f>'Cement CO2 Emissions'!L11</f>
        <v>51.947818898439706</v>
      </c>
      <c r="M5" s="336">
        <f>'Cement CO2 Emissions'!M11</f>
        <v>52.656728609539023</v>
      </c>
      <c r="N5" s="336">
        <f>'Cement CO2 Emissions'!N11</f>
        <v>53.213630741476031</v>
      </c>
      <c r="O5" s="336">
        <f>'Cement CO2 Emissions'!O11</f>
        <v>53.648853603818687</v>
      </c>
      <c r="P5" s="336">
        <f>'Cement CO2 Emissions'!P11</f>
        <v>54.092637532090166</v>
      </c>
      <c r="Q5" s="336">
        <f>'Cement CO2 Emissions'!Q11</f>
        <v>54.861407889449836</v>
      </c>
      <c r="R5" s="336">
        <f>'Cement CO2 Emissions'!R11</f>
        <v>55.673753404234773</v>
      </c>
      <c r="S5" s="336">
        <f>'Cement CO2 Emissions'!S11</f>
        <v>56.207305061812825</v>
      </c>
      <c r="T5" s="336">
        <f>'Cement CO2 Emissions'!T11</f>
        <v>57.193480594598675</v>
      </c>
      <c r="U5" s="336">
        <f>'Cement CO2 Emissions'!U11</f>
        <v>58.472379509915044</v>
      </c>
      <c r="V5" s="336">
        <f>'Cement CO2 Emissions'!V11</f>
        <v>59.694346029550061</v>
      </c>
      <c r="W5" s="336">
        <f>'Cement CO2 Emissions'!W11</f>
        <v>61.032719224730947</v>
      </c>
      <c r="X5" s="336">
        <f>'Cement CO2 Emissions'!X11</f>
        <v>62.426386389674008</v>
      </c>
      <c r="Y5" s="336">
        <f>'Cement CO2 Emissions'!Y11</f>
        <v>63.658874857321969</v>
      </c>
      <c r="Z5" s="336">
        <f>'Cement CO2 Emissions'!Z11</f>
        <v>65.073359327472346</v>
      </c>
      <c r="AA5" s="336">
        <f>'Cement CO2 Emissions'!AA11</f>
        <v>66.868400172470118</v>
      </c>
      <c r="AB5" s="336">
        <f>'Cement CO2 Emissions'!AB11</f>
        <v>68.570678222340973</v>
      </c>
      <c r="AC5" s="336">
        <f>'Cement CO2 Emissions'!AC11</f>
        <v>70.016388650302275</v>
      </c>
      <c r="AD5" s="336">
        <f>'Cement CO2 Emissions'!AD11</f>
        <v>71.94519941857466</v>
      </c>
      <c r="AE5" s="336">
        <f>'Cement CO2 Emissions'!AE11</f>
        <v>74.084216746266577</v>
      </c>
      <c r="AF5" s="336">
        <f>'Cement CO2 Emissions'!AF11</f>
        <v>76.026445758015427</v>
      </c>
      <c r="AG5" s="336">
        <f>'Cement CO2 Emissions'!AG11</f>
        <v>77.983731439159968</v>
      </c>
      <c r="AH5" s="336">
        <f>'Cement CO2 Emissions'!AH11</f>
        <v>79.706867464385056</v>
      </c>
      <c r="AI5" s="336">
        <f>'Cement CO2 Emissions'!AI11</f>
        <v>81.407925409847991</v>
      </c>
      <c r="AJ5" s="336">
        <f>'Cement CO2 Emissions'!AJ11</f>
        <v>83.249844409203874</v>
      </c>
      <c r="AK5" s="336">
        <f>'Cement CO2 Emissions'!AK11</f>
        <v>85.048740203128531</v>
      </c>
    </row>
    <row r="6" spans="1:37" x14ac:dyDescent="0.25">
      <c r="A6" s="138" t="s">
        <v>1829</v>
      </c>
      <c r="B6" s="336">
        <f>'Other Industrial Processes'!C524/1000</f>
        <v>24.577999999999999</v>
      </c>
      <c r="C6" s="336">
        <f>'Other Industrial Processes'!D524/1000</f>
        <v>25.044191060047019</v>
      </c>
      <c r="D6" s="336">
        <f>'Other Industrial Processes'!E524/1000</f>
        <v>25.402330784276039</v>
      </c>
      <c r="E6" s="336">
        <f>'Other Industrial Processes'!F524/1000</f>
        <v>25.760960921122727</v>
      </c>
      <c r="F6" s="336">
        <f>'Other Industrial Processes'!G524/1000</f>
        <v>26.120078500346061</v>
      </c>
      <c r="G6" s="336">
        <f>'Other Industrial Processes'!H524/1000</f>
        <v>26.479680569694619</v>
      </c>
      <c r="H6" s="336">
        <f>'Other Industrial Processes'!I524/1000</f>
        <v>26.839764194797624</v>
      </c>
      <c r="I6" s="336">
        <f>'Other Industrial Processes'!J524/1000</f>
        <v>27.200326459056683</v>
      </c>
      <c r="J6" s="336">
        <f>'Other Industrial Processes'!K524/1000</f>
        <v>27.561364463538091</v>
      </c>
      <c r="K6" s="336">
        <f>'Other Industrial Processes'!L524/1000</f>
        <v>27.922875326865899</v>
      </c>
      <c r="L6" s="336">
        <f>'Other Industrial Processes'!M524/1000</f>
        <v>28.284856185115526</v>
      </c>
      <c r="M6" s="336">
        <f>'Other Industrial Processes'!N524/1000</f>
        <v>28.647304191708091</v>
      </c>
      <c r="N6" s="336">
        <f>'Other Industrial Processes'!O524/1000</f>
        <v>29.010216517305345</v>
      </c>
      <c r="O6" s="336">
        <f>'Other Industrial Processes'!P524/1000</f>
        <v>29.373590349705264</v>
      </c>
      <c r="P6" s="336">
        <f>'Other Industrial Processes'!Q524/1000</f>
        <v>29.737422893738252</v>
      </c>
      <c r="Q6" s="336">
        <f>'Other Industrial Processes'!R524/1000</f>
        <v>30.101711371163962</v>
      </c>
      <c r="R6" s="336">
        <f>'Other Industrial Processes'!S524/1000</f>
        <v>30.466453020568807</v>
      </c>
      <c r="S6" s="336">
        <f>'Other Industrial Processes'!T524/1000</f>
        <v>30.831645097264019</v>
      </c>
      <c r="T6" s="336">
        <f>'Other Industrial Processes'!U524/1000</f>
        <v>31.197284873184348</v>
      </c>
      <c r="U6" s="336">
        <f>'Other Industrial Processes'!V524/1000</f>
        <v>31.563369636787382</v>
      </c>
      <c r="V6" s="336">
        <f>'Other Industrial Processes'!W524/1000</f>
        <v>31.929896692953502</v>
      </c>
      <c r="W6" s="336">
        <f>'Other Industrial Processes'!X524/1000</f>
        <v>32.296863362886377</v>
      </c>
      <c r="X6" s="336">
        <f>'Other Industrial Processes'!Y524/1000</f>
        <v>32.664266984014127</v>
      </c>
      <c r="Y6" s="336">
        <f>'Other Industrial Processes'!Z524/1000</f>
        <v>33.032104909891046</v>
      </c>
      <c r="Z6" s="336">
        <f>'Other Industrial Processes'!AA524/1000</f>
        <v>33.400374510099915</v>
      </c>
      <c r="AA6" s="336">
        <f>'Other Industrial Processes'!AB524/1000</f>
        <v>33.769073170154982</v>
      </c>
      <c r="AB6" s="336">
        <f>'Other Industrial Processes'!AC524/1000</f>
        <v>34.138198291405402</v>
      </c>
      <c r="AC6" s="336">
        <f>'Other Industrial Processes'!AD524/1000</f>
        <v>34.507747290939371</v>
      </c>
      <c r="AD6" s="336">
        <f>'Other Industrial Processes'!AE524/1000</f>
        <v>34.877717601488776</v>
      </c>
      <c r="AE6" s="336">
        <f>'Other Industrial Processes'!AF524/1000</f>
        <v>35.248106671334476</v>
      </c>
      <c r="AF6" s="336">
        <f>'Other Industrial Processes'!AG524/1000</f>
        <v>35.618911964212131</v>
      </c>
      <c r="AG6" s="336">
        <f>'Other Industrial Processes'!AH524/1000</f>
        <v>35.99013095921854</v>
      </c>
      <c r="AH6" s="336">
        <f>'Other Industrial Processes'!AI524/1000</f>
        <v>36.361761150718678</v>
      </c>
      <c r="AI6" s="336">
        <f>'Other Industrial Processes'!AJ524/1000</f>
        <v>36.733800048253194</v>
      </c>
      <c r="AJ6" s="336">
        <f>'Other Industrial Processes'!AK524/1000</f>
        <v>37.10624517644645</v>
      </c>
      <c r="AK6" s="336">
        <f>'Other Industrial Processes'!AL524/1000</f>
        <v>37.479094074915238</v>
      </c>
    </row>
    <row r="7" spans="1:37" x14ac:dyDescent="0.25">
      <c r="A7" s="113"/>
      <c r="B7" s="119"/>
      <c r="C7" s="118"/>
      <c r="D7" s="118"/>
      <c r="E7" s="118"/>
      <c r="F7" s="118"/>
      <c r="G7" s="118"/>
      <c r="H7" s="118"/>
      <c r="I7" s="118"/>
      <c r="J7" s="118"/>
    </row>
    <row r="8" spans="1:37" x14ac:dyDescent="0.25">
      <c r="A8" s="113" t="s">
        <v>1012</v>
      </c>
      <c r="B8" s="119"/>
      <c r="C8" s="118"/>
      <c r="D8" s="118"/>
      <c r="E8" s="118"/>
      <c r="F8" s="118"/>
      <c r="G8" s="118"/>
      <c r="H8" s="118"/>
      <c r="I8" s="118"/>
      <c r="J8" s="118"/>
    </row>
    <row r="9" spans="1:37" x14ac:dyDescent="0.25">
      <c r="A9" s="115" t="s">
        <v>1013</v>
      </c>
      <c r="B9" s="119">
        <f>SUM(B11,B13,B15)</f>
        <v>226.77237018115744</v>
      </c>
      <c r="C9" s="119">
        <f t="shared" ref="C9:AK9" si="1">SUM(C11,C13,C15)</f>
        <v>239.98443561065</v>
      </c>
      <c r="D9" s="119">
        <f t="shared" si="1"/>
        <v>243.55627670715967</v>
      </c>
      <c r="E9" s="119">
        <f t="shared" si="1"/>
        <v>254.49643510941112</v>
      </c>
      <c r="F9" s="119">
        <f t="shared" si="1"/>
        <v>261.63180381051626</v>
      </c>
      <c r="G9" s="119">
        <f t="shared" si="1"/>
        <v>266.29305174123118</v>
      </c>
      <c r="H9" s="119">
        <f t="shared" si="1"/>
        <v>269.11366584410894</v>
      </c>
      <c r="I9" s="119">
        <f t="shared" si="1"/>
        <v>271.27727274483397</v>
      </c>
      <c r="J9" s="119">
        <f t="shared" si="1"/>
        <v>274.99155191439604</v>
      </c>
      <c r="K9" s="119">
        <f t="shared" si="1"/>
        <v>278.12876044723066</v>
      </c>
      <c r="L9" s="119">
        <f t="shared" si="1"/>
        <v>281.26059098412537</v>
      </c>
      <c r="M9" s="119">
        <f t="shared" si="1"/>
        <v>284.92432121808548</v>
      </c>
      <c r="N9" s="119">
        <f t="shared" si="1"/>
        <v>286.52544938102739</v>
      </c>
      <c r="O9" s="119">
        <f t="shared" si="1"/>
        <v>287.63044476169426</v>
      </c>
      <c r="P9" s="119">
        <f t="shared" si="1"/>
        <v>288.74962095136601</v>
      </c>
      <c r="Q9" s="119">
        <f t="shared" si="1"/>
        <v>289.42433817507441</v>
      </c>
      <c r="R9" s="119">
        <f t="shared" si="1"/>
        <v>289.88227232092237</v>
      </c>
      <c r="S9" s="119">
        <f t="shared" si="1"/>
        <v>290.63641260114326</v>
      </c>
      <c r="T9" s="119">
        <f t="shared" si="1"/>
        <v>290.83724499247649</v>
      </c>
      <c r="U9" s="119">
        <f t="shared" si="1"/>
        <v>292.58099109113579</v>
      </c>
      <c r="V9" s="119">
        <f t="shared" si="1"/>
        <v>295.23222775693222</v>
      </c>
      <c r="W9" s="119">
        <f t="shared" si="1"/>
        <v>298.12983287285186</v>
      </c>
      <c r="X9" s="119">
        <f t="shared" si="1"/>
        <v>300.5170984873082</v>
      </c>
      <c r="Y9" s="119">
        <f t="shared" si="1"/>
        <v>302.89158519320955</v>
      </c>
      <c r="Z9" s="119">
        <f t="shared" si="1"/>
        <v>304.95350304410664</v>
      </c>
      <c r="AA9" s="119">
        <f t="shared" si="1"/>
        <v>306.31446642211262</v>
      </c>
      <c r="AB9" s="119">
        <f t="shared" si="1"/>
        <v>307.39052077252586</v>
      </c>
      <c r="AC9" s="119">
        <f t="shared" si="1"/>
        <v>308.06045061935635</v>
      </c>
      <c r="AD9" s="119">
        <f t="shared" si="1"/>
        <v>309.11667637066097</v>
      </c>
      <c r="AE9" s="119">
        <f t="shared" si="1"/>
        <v>310.53031996961522</v>
      </c>
      <c r="AF9" s="119">
        <f t="shared" si="1"/>
        <v>312.07926382946488</v>
      </c>
      <c r="AG9" s="119">
        <f t="shared" si="1"/>
        <v>313.56491251224571</v>
      </c>
      <c r="AH9" s="119">
        <f t="shared" si="1"/>
        <v>314.63648793366929</v>
      </c>
      <c r="AI9" s="119">
        <f t="shared" si="1"/>
        <v>315.65375654199391</v>
      </c>
      <c r="AJ9" s="119">
        <f t="shared" si="1"/>
        <v>316.22245260539847</v>
      </c>
      <c r="AK9" s="119">
        <f t="shared" si="1"/>
        <v>317.58465463057917</v>
      </c>
    </row>
    <row r="10" spans="1:37" x14ac:dyDescent="0.25">
      <c r="A10" s="115" t="s">
        <v>1014</v>
      </c>
      <c r="B10" s="119">
        <f>B12+B14+B16</f>
        <v>73.940991268518161</v>
      </c>
      <c r="C10" s="119">
        <f t="shared" ref="C10:AK10" si="2">C12+C14+C16</f>
        <v>74.519531417968381</v>
      </c>
      <c r="D10" s="119">
        <f t="shared" si="2"/>
        <v>76.744509227937613</v>
      </c>
      <c r="E10" s="119">
        <f t="shared" si="2"/>
        <v>78.925300216208214</v>
      </c>
      <c r="F10" s="119">
        <f t="shared" si="2"/>
        <v>80.463673479183072</v>
      </c>
      <c r="G10" s="119">
        <f t="shared" si="2"/>
        <v>81.78959019909658</v>
      </c>
      <c r="H10" s="119">
        <f t="shared" si="2"/>
        <v>82.159352931150266</v>
      </c>
      <c r="I10" s="119">
        <f t="shared" si="2"/>
        <v>82.983771509016094</v>
      </c>
      <c r="J10" s="119">
        <f t="shared" si="2"/>
        <v>84.012206548259698</v>
      </c>
      <c r="K10" s="119">
        <f t="shared" si="2"/>
        <v>84.972805976000302</v>
      </c>
      <c r="L10" s="119">
        <f t="shared" si="2"/>
        <v>85.856746339003038</v>
      </c>
      <c r="M10" s="119">
        <f t="shared" si="2"/>
        <v>86.722638052426731</v>
      </c>
      <c r="N10" s="119">
        <f t="shared" si="2"/>
        <v>87.094048511732097</v>
      </c>
      <c r="O10" s="119">
        <f t="shared" si="2"/>
        <v>87.576041000440057</v>
      </c>
      <c r="P10" s="119">
        <f t="shared" si="2"/>
        <v>88.027142557225972</v>
      </c>
      <c r="Q10" s="119">
        <f t="shared" si="2"/>
        <v>88.368733280329053</v>
      </c>
      <c r="R10" s="119">
        <f t="shared" si="2"/>
        <v>88.706948703006219</v>
      </c>
      <c r="S10" s="119">
        <f t="shared" si="2"/>
        <v>89.189625344080838</v>
      </c>
      <c r="T10" s="119">
        <f t="shared" si="2"/>
        <v>89.664433445604061</v>
      </c>
      <c r="U10" s="119">
        <f t="shared" si="2"/>
        <v>90.351315429227029</v>
      </c>
      <c r="V10" s="119">
        <f t="shared" si="2"/>
        <v>91.264437546412964</v>
      </c>
      <c r="W10" s="119">
        <f t="shared" si="2"/>
        <v>92.015953587401526</v>
      </c>
      <c r="X10" s="119">
        <f t="shared" si="2"/>
        <v>92.697086786021643</v>
      </c>
      <c r="Y10" s="119">
        <f t="shared" si="2"/>
        <v>93.197625046753302</v>
      </c>
      <c r="Z10" s="119">
        <f t="shared" si="2"/>
        <v>93.871019438033073</v>
      </c>
      <c r="AA10" s="119">
        <f t="shared" si="2"/>
        <v>94.283392066988668</v>
      </c>
      <c r="AB10" s="119">
        <f t="shared" si="2"/>
        <v>94.652164362637308</v>
      </c>
      <c r="AC10" s="119">
        <f t="shared" si="2"/>
        <v>94.940515753402281</v>
      </c>
      <c r="AD10" s="119">
        <f t="shared" si="2"/>
        <v>95.32174218009331</v>
      </c>
      <c r="AE10" s="119">
        <f t="shared" si="2"/>
        <v>95.864033214992617</v>
      </c>
      <c r="AF10" s="119">
        <f t="shared" si="2"/>
        <v>96.392585447407384</v>
      </c>
      <c r="AG10" s="119">
        <f t="shared" si="2"/>
        <v>96.874638952829912</v>
      </c>
      <c r="AH10" s="119">
        <f t="shared" si="2"/>
        <v>97.412700695064018</v>
      </c>
      <c r="AI10" s="119">
        <f t="shared" si="2"/>
        <v>97.842181144290009</v>
      </c>
      <c r="AJ10" s="119">
        <f t="shared" si="2"/>
        <v>98.277876840047469</v>
      </c>
      <c r="AK10" s="119">
        <f t="shared" si="2"/>
        <v>98.843997491845059</v>
      </c>
    </row>
    <row r="11" spans="1:37" x14ac:dyDescent="0.25">
      <c r="A11" s="122" t="s">
        <v>1048</v>
      </c>
      <c r="B11" s="121">
        <f>'Petroleum Systems'!B53*'Cross-Page Data'!$C$12/1000</f>
        <v>44.66</v>
      </c>
      <c r="C11" s="121">
        <f>'Petroleum Systems'!C53*'Cross-Page Data'!$C$12/1000</f>
        <v>60.124338995707888</v>
      </c>
      <c r="D11" s="121">
        <f>'Petroleum Systems'!D53*'Cross-Page Data'!$C$12/1000</f>
        <v>59.839382887777759</v>
      </c>
      <c r="E11" s="121">
        <f>'Petroleum Systems'!E53*'Cross-Page Data'!$C$12/1000</f>
        <v>64.036107693418998</v>
      </c>
      <c r="F11" s="121">
        <f>'Petroleum Systems'!F53*'Cross-Page Data'!$C$12/1000</f>
        <v>66.53531135546433</v>
      </c>
      <c r="G11" s="121">
        <f>'Petroleum Systems'!G53*'Cross-Page Data'!$C$12/1000</f>
        <v>67.87584689811672</v>
      </c>
      <c r="H11" s="121">
        <f>'Petroleum Systems'!H53*'Cross-Page Data'!$C$12/1000</f>
        <v>68.917191466444592</v>
      </c>
      <c r="I11" s="121">
        <f>'Petroleum Systems'!I53*'Cross-Page Data'!$C$12/1000</f>
        <v>69.696803410067929</v>
      </c>
      <c r="J11" s="121">
        <f>'Petroleum Systems'!J53*'Cross-Page Data'!$C$12/1000</f>
        <v>70.759191956069017</v>
      </c>
      <c r="K11" s="121">
        <f>'Petroleum Systems'!K53*'Cross-Page Data'!$C$12/1000</f>
        <v>71.022128035420266</v>
      </c>
      <c r="L11" s="121">
        <f>'Petroleum Systems'!L53*'Cross-Page Data'!$C$12/1000</f>
        <v>71.255802782485262</v>
      </c>
      <c r="M11" s="121">
        <f>'Petroleum Systems'!M53*'Cross-Page Data'!$C$12/1000</f>
        <v>72.252400764311503</v>
      </c>
      <c r="N11" s="121">
        <f>'Petroleum Systems'!N53*'Cross-Page Data'!$C$12/1000</f>
        <v>72.35036283356726</v>
      </c>
      <c r="O11" s="121">
        <f>'Petroleum Systems'!O53*'Cross-Page Data'!$C$12/1000</f>
        <v>72.304010281121236</v>
      </c>
      <c r="P11" s="121">
        <f>'Petroleum Systems'!P53*'Cross-Page Data'!$C$12/1000</f>
        <v>72.321837285723191</v>
      </c>
      <c r="Q11" s="121">
        <f>'Petroleum Systems'!Q53*'Cross-Page Data'!$C$12/1000</f>
        <v>72.267638518015914</v>
      </c>
      <c r="R11" s="121">
        <f>'Petroleum Systems'!R53*'Cross-Page Data'!$C$12/1000</f>
        <v>71.951293990017376</v>
      </c>
      <c r="S11" s="121">
        <f>'Petroleum Systems'!S53*'Cross-Page Data'!$C$12/1000</f>
        <v>71.503259578140685</v>
      </c>
      <c r="T11" s="121">
        <f>'Petroleum Systems'!T53*'Cross-Page Data'!$C$12/1000</f>
        <v>70.285334371809569</v>
      </c>
      <c r="U11" s="121">
        <f>'Petroleum Systems'!U53*'Cross-Page Data'!$C$12/1000</f>
        <v>70.081633220796178</v>
      </c>
      <c r="V11" s="121">
        <f>'Petroleum Systems'!V53*'Cross-Page Data'!$C$12/1000</f>
        <v>70.0169198272241</v>
      </c>
      <c r="W11" s="121">
        <f>'Petroleum Systems'!W53*'Cross-Page Data'!$C$12/1000</f>
        <v>70.29502640201602</v>
      </c>
      <c r="X11" s="121">
        <f>'Petroleum Systems'!X53*'Cross-Page Data'!$C$12/1000</f>
        <v>70.489505794420182</v>
      </c>
      <c r="Y11" s="121">
        <f>'Petroleum Systems'!Y53*'Cross-Page Data'!$C$12/1000</f>
        <v>70.977559650325389</v>
      </c>
      <c r="Z11" s="121">
        <f>'Petroleum Systems'!Z53*'Cross-Page Data'!$C$12/1000</f>
        <v>71.009920554690254</v>
      </c>
      <c r="AA11" s="121">
        <f>'Petroleum Systems'!AA53*'Cross-Page Data'!$C$12/1000</f>
        <v>70.845780522658089</v>
      </c>
      <c r="AB11" s="121">
        <f>'Petroleum Systems'!AB53*'Cross-Page Data'!$C$12/1000</f>
        <v>70.744414124859745</v>
      </c>
      <c r="AC11" s="121">
        <f>'Petroleum Systems'!AC53*'Cross-Page Data'!$C$12/1000</f>
        <v>70.484808182121526</v>
      </c>
      <c r="AD11" s="121">
        <f>'Petroleum Systems'!AD53*'Cross-Page Data'!$C$12/1000</f>
        <v>70.465196587557344</v>
      </c>
      <c r="AE11" s="121">
        <f>'Petroleum Systems'!AE53*'Cross-Page Data'!$C$12/1000</f>
        <v>70.273511400025868</v>
      </c>
      <c r="AF11" s="121">
        <f>'Petroleum Systems'!AF53*'Cross-Page Data'!$C$12/1000</f>
        <v>70.034858998162932</v>
      </c>
      <c r="AG11" s="121">
        <f>'Petroleum Systems'!AG53*'Cross-Page Data'!$C$12/1000</f>
        <v>69.894030349844613</v>
      </c>
      <c r="AH11" s="121">
        <f>'Petroleum Systems'!AH53*'Cross-Page Data'!$C$12/1000</f>
        <v>69.327353749900567</v>
      </c>
      <c r="AI11" s="121">
        <f>'Petroleum Systems'!AI53*'Cross-Page Data'!$C$12/1000</f>
        <v>68.841740390786967</v>
      </c>
      <c r="AJ11" s="121">
        <f>'Petroleum Systems'!AJ53*'Cross-Page Data'!$C$12/1000</f>
        <v>67.993129510513342</v>
      </c>
      <c r="AK11" s="121">
        <f>'Petroleum Systems'!AK53*'Cross-Page Data'!$C$12/1000</f>
        <v>67.665907219227407</v>
      </c>
    </row>
    <row r="12" spans="1:37" x14ac:dyDescent="0.25">
      <c r="A12" s="136" t="s">
        <v>1050</v>
      </c>
      <c r="B12" s="121">
        <f>'Petroleum Systems'!B54</f>
        <v>3.5670000000000002</v>
      </c>
      <c r="C12" s="121">
        <f>'Petroleum Systems'!C54</f>
        <v>4.831868393507075</v>
      </c>
      <c r="D12" s="121">
        <f>'Petroleum Systems'!D54</f>
        <v>4.8843109863079652</v>
      </c>
      <c r="E12" s="121">
        <f>'Petroleum Systems'!E54</f>
        <v>4.9458566476311745</v>
      </c>
      <c r="F12" s="121">
        <f>'Petroleum Systems'!F54</f>
        <v>4.9975198969562404</v>
      </c>
      <c r="G12" s="121">
        <f>'Petroleum Systems'!G54</f>
        <v>4.9889673328930515</v>
      </c>
      <c r="H12" s="121">
        <f>'Petroleum Systems'!H54</f>
        <v>5.0637032082070306</v>
      </c>
      <c r="I12" s="121">
        <f>'Petroleum Systems'!I54</f>
        <v>5.1282116204286075</v>
      </c>
      <c r="J12" s="121">
        <f>'Petroleum Systems'!J54</f>
        <v>5.1780454030953722</v>
      </c>
      <c r="K12" s="121">
        <f>'Petroleum Systems'!K54</f>
        <v>5.2099791722065874</v>
      </c>
      <c r="L12" s="121">
        <f>'Petroleum Systems'!L54</f>
        <v>5.2212641400959612</v>
      </c>
      <c r="M12" s="121">
        <f>'Petroleum Systems'!M54</f>
        <v>5.2376909363923589</v>
      </c>
      <c r="N12" s="121">
        <f>'Petroleum Systems'!N54</f>
        <v>5.2163273629488343</v>
      </c>
      <c r="O12" s="121">
        <f>'Petroleum Systems'!O54</f>
        <v>5.1729190119969211</v>
      </c>
      <c r="P12" s="121">
        <f>'Petroleum Systems'!P54</f>
        <v>5.206669262455577</v>
      </c>
      <c r="Q12" s="121">
        <f>'Petroleum Systems'!Q54</f>
        <v>5.2389456907076601</v>
      </c>
      <c r="R12" s="121">
        <f>'Petroleum Systems'!R54</f>
        <v>5.2108066323318516</v>
      </c>
      <c r="S12" s="121">
        <f>'Petroleum Systems'!S54</f>
        <v>5.1993166392144765</v>
      </c>
      <c r="T12" s="121">
        <f>'Petroleum Systems'!T54</f>
        <v>5.1526119374788086</v>
      </c>
      <c r="U12" s="121">
        <f>'Petroleum Systems'!U54</f>
        <v>5.1651252519759154</v>
      </c>
      <c r="V12" s="121">
        <f>'Petroleum Systems'!V54</f>
        <v>5.1758040429906638</v>
      </c>
      <c r="W12" s="121">
        <f>'Petroleum Systems'!W54</f>
        <v>5.187869066401662</v>
      </c>
      <c r="X12" s="121">
        <f>'Petroleum Systems'!X54</f>
        <v>5.2127793309993304</v>
      </c>
      <c r="Y12" s="121">
        <f>'Petroleum Systems'!Y54</f>
        <v>5.1814867788282033</v>
      </c>
      <c r="Z12" s="121">
        <f>'Petroleum Systems'!Z54</f>
        <v>5.220357047932259</v>
      </c>
      <c r="AA12" s="121">
        <f>'Petroleum Systems'!AA54</f>
        <v>5.2467784906253012</v>
      </c>
      <c r="AB12" s="121">
        <f>'Petroleum Systems'!AB54</f>
        <v>5.2306749144266043</v>
      </c>
      <c r="AC12" s="121">
        <f>'Petroleum Systems'!AC54</f>
        <v>5.2479443682838705</v>
      </c>
      <c r="AD12" s="121">
        <f>'Petroleum Systems'!AD54</f>
        <v>5.2311407130172523</v>
      </c>
      <c r="AE12" s="121">
        <f>'Petroleum Systems'!AE54</f>
        <v>5.2432913856229186</v>
      </c>
      <c r="AF12" s="121">
        <f>'Petroleum Systems'!AF54</f>
        <v>5.2497986358833497</v>
      </c>
      <c r="AG12" s="121">
        <f>'Petroleum Systems'!AG54</f>
        <v>5.2655090719545958</v>
      </c>
      <c r="AH12" s="121">
        <f>'Petroleum Systems'!AH54</f>
        <v>5.2914979253962358</v>
      </c>
      <c r="AI12" s="121">
        <f>'Petroleum Systems'!AI54</f>
        <v>5.2802456319993381</v>
      </c>
      <c r="AJ12" s="121">
        <f>'Petroleum Systems'!AJ54</f>
        <v>5.2706521946494815</v>
      </c>
      <c r="AK12" s="121">
        <f>'Petroleum Systems'!AK54</f>
        <v>5.3007972990878178</v>
      </c>
    </row>
    <row r="13" spans="1:37" x14ac:dyDescent="0.25">
      <c r="A13" s="120" t="s">
        <v>1049</v>
      </c>
      <c r="B13" s="121">
        <f>'Natural Gas Systems'!B199*CH4_to_CO2e/1000</f>
        <v>181.91637018115745</v>
      </c>
      <c r="C13" s="121">
        <f>'Natural Gas Systems'!C199*CH4_to_CO2e/1000</f>
        <v>179.64854105938656</v>
      </c>
      <c r="D13" s="121">
        <f>'Natural Gas Systems'!D199*CH4_to_CO2e/1000</f>
        <v>183.48978270827081</v>
      </c>
      <c r="E13" s="121">
        <f>'Natural Gas Systems'!E199*CH4_to_CO2e/1000</f>
        <v>190.21766074932546</v>
      </c>
      <c r="F13" s="121">
        <f>'Natural Gas Systems'!F199*CH4_to_CO2e/1000</f>
        <v>194.8382702328297</v>
      </c>
      <c r="G13" s="121">
        <f>'Natural Gas Systems'!G199*CH4_to_CO2e/1000</f>
        <v>198.14342706533674</v>
      </c>
      <c r="H13" s="121">
        <f>'Natural Gas Systems'!H199*CH4_to_CO2e/1000</f>
        <v>199.90714104433101</v>
      </c>
      <c r="I13" s="121">
        <f>'Natural Gas Systems'!I199*CH4_to_CO2e/1000</f>
        <v>201.27558044587713</v>
      </c>
      <c r="J13" s="121">
        <f>'Natural Gas Systems'!J199*CH4_to_CO2e/1000</f>
        <v>203.9119155138826</v>
      </c>
      <c r="K13" s="121">
        <f>'Natural Gas Systems'!K199*CH4_to_CO2e/1000</f>
        <v>206.77063241181037</v>
      </c>
      <c r="L13" s="121">
        <f>'Natural Gas Systems'!L199*CH4_to_CO2e/1000</f>
        <v>209.6532326460846</v>
      </c>
      <c r="M13" s="121">
        <f>'Natural Gas Systems'!M199*CH4_to_CO2e/1000</f>
        <v>212.30480934266288</v>
      </c>
      <c r="N13" s="121">
        <f>'Natural Gas Systems'!N199*CH4_to_CO2e/1000</f>
        <v>213.7924198807934</v>
      </c>
      <c r="O13" s="121">
        <f>'Natural Gas Systems'!O199*CH4_to_CO2e/1000</f>
        <v>214.92821225835081</v>
      </c>
      <c r="P13" s="121">
        <f>'Natural Gas Systems'!P199*CH4_to_CO2e/1000</f>
        <v>216.01400588786504</v>
      </c>
      <c r="Q13" s="121">
        <f>'Natural Gas Systems'!Q199*CH4_to_CO2e/1000</f>
        <v>216.72736632372519</v>
      </c>
      <c r="R13" s="121">
        <f>'Natural Gas Systems'!R199*CH4_to_CO2e/1000</f>
        <v>217.48608944201607</v>
      </c>
      <c r="S13" s="121">
        <f>'Natural Gas Systems'!S199*CH4_to_CO2e/1000</f>
        <v>218.67270857855817</v>
      </c>
      <c r="T13" s="121">
        <f>'Natural Gas Systems'!T199*CH4_to_CO2e/1000</f>
        <v>220.07591062066692</v>
      </c>
      <c r="U13" s="121">
        <f>'Natural Gas Systems'!U199*CH4_to_CO2e/1000</f>
        <v>222.00780231478402</v>
      </c>
      <c r="V13" s="121">
        <f>'Natural Gas Systems'!V199*CH4_to_CO2e/1000</f>
        <v>224.708196818597</v>
      </c>
      <c r="W13" s="121">
        <f>'Natural Gas Systems'!W199*CH4_to_CO2e/1000</f>
        <v>227.31213980416914</v>
      </c>
      <c r="X13" s="121">
        <f>'Natural Gas Systems'!X199*CH4_to_CO2e/1000</f>
        <v>229.48937047066582</v>
      </c>
      <c r="Y13" s="121">
        <f>'Natural Gas Systems'!Y199*CH4_to_CO2e/1000</f>
        <v>231.36024776510638</v>
      </c>
      <c r="Z13" s="121">
        <f>'Natural Gas Systems'!Z199*CH4_to_CO2e/1000</f>
        <v>233.37424915608304</v>
      </c>
      <c r="AA13" s="121">
        <f>'Natural Gas Systems'!AA199*CH4_to_CO2e/1000</f>
        <v>234.88379701056567</v>
      </c>
      <c r="AB13" s="121">
        <f>'Natural Gas Systems'!AB199*CH4_to_CO2e/1000</f>
        <v>236.04566220322164</v>
      </c>
      <c r="AC13" s="121">
        <f>'Natural Gas Systems'!AC199*CH4_to_CO2e/1000</f>
        <v>236.95964243723483</v>
      </c>
      <c r="AD13" s="121">
        <f>'Natural Gas Systems'!AD199*CH4_to_CO2e/1000</f>
        <v>238.01992422754805</v>
      </c>
      <c r="AE13" s="121">
        <f>'Natural Gas Systems'!AE199*CH4_to_CO2e/1000</f>
        <v>239.60969745847828</v>
      </c>
      <c r="AF13" s="121">
        <f>'Natural Gas Systems'!AF199*CH4_to_CO2e/1000</f>
        <v>241.38173816463529</v>
      </c>
      <c r="AG13" s="121">
        <f>'Natural Gas Systems'!AG199*CH4_to_CO2e/1000</f>
        <v>242.99265994017884</v>
      </c>
      <c r="AH13" s="121">
        <f>'Natural Gas Systems'!AH199*CH4_to_CO2e/1000</f>
        <v>244.61535640599098</v>
      </c>
      <c r="AI13" s="121">
        <f>'Natural Gas Systems'!AI199*CH4_to_CO2e/1000</f>
        <v>246.10268281787361</v>
      </c>
      <c r="AJ13" s="121">
        <f>'Natural Gas Systems'!AJ199*CH4_to_CO2e/1000</f>
        <v>247.50443420599626</v>
      </c>
      <c r="AK13" s="121">
        <f>'Natural Gas Systems'!AK199*CH4_to_CO2e/1000</f>
        <v>249.1783029669073</v>
      </c>
    </row>
    <row r="14" spans="1:37" x14ac:dyDescent="0.25">
      <c r="A14" s="122" t="s">
        <v>1831</v>
      </c>
      <c r="B14" s="121">
        <f>'Other Industrial Processes'!C529/1000</f>
        <v>28.062000000000001</v>
      </c>
      <c r="C14" s="121">
        <f>'Other Industrial Processes'!D529/1000</f>
        <v>28.159222222222223</v>
      </c>
      <c r="D14" s="121">
        <f>'Other Industrial Processes'!E529/1000</f>
        <v>28.256444444444444</v>
      </c>
      <c r="E14" s="121">
        <f>'Other Industrial Processes'!F529/1000</f>
        <v>28.353666666666669</v>
      </c>
      <c r="F14" s="121">
        <f>'Other Industrial Processes'!G529/1000</f>
        <v>28.45088888888889</v>
      </c>
      <c r="G14" s="121">
        <f>'Other Industrial Processes'!H529/1000</f>
        <v>28.548111111111112</v>
      </c>
      <c r="H14" s="121">
        <f>'Other Industrial Processes'!I529/1000</f>
        <v>28.645333333333337</v>
      </c>
      <c r="I14" s="121">
        <f>'Other Industrial Processes'!J529/1000</f>
        <v>28.742555555555558</v>
      </c>
      <c r="J14" s="121">
        <f>'Other Industrial Processes'!K529/1000</f>
        <v>28.83977777777778</v>
      </c>
      <c r="K14" s="121">
        <f>'Other Industrial Processes'!L529/1000</f>
        <v>28.937000000000005</v>
      </c>
      <c r="L14" s="121">
        <f>'Other Industrial Processes'!M529/1000</f>
        <v>29.034222222222226</v>
      </c>
      <c r="M14" s="121">
        <f>'Other Industrial Processes'!N529/1000</f>
        <v>29.131444444444448</v>
      </c>
      <c r="N14" s="121">
        <f>'Other Industrial Processes'!O529/1000</f>
        <v>29.228666666666673</v>
      </c>
      <c r="O14" s="121">
        <f>'Other Industrial Processes'!P529/1000</f>
        <v>29.325888888888894</v>
      </c>
      <c r="P14" s="121">
        <f>'Other Industrial Processes'!Q529/1000</f>
        <v>29.423111111111115</v>
      </c>
      <c r="Q14" s="121">
        <f>'Other Industrial Processes'!R529/1000</f>
        <v>29.52033333333334</v>
      </c>
      <c r="R14" s="121">
        <f>'Other Industrial Processes'!S529/1000</f>
        <v>29.617555555555562</v>
      </c>
      <c r="S14" s="121">
        <f>'Other Industrial Processes'!T529/1000</f>
        <v>29.714777777777783</v>
      </c>
      <c r="T14" s="121">
        <f>'Other Industrial Processes'!U529/1000</f>
        <v>29.812000000000008</v>
      </c>
      <c r="U14" s="121">
        <f>'Other Industrial Processes'!V529/1000</f>
        <v>29.90922222222223</v>
      </c>
      <c r="V14" s="121">
        <f>'Other Industrial Processes'!W529/1000</f>
        <v>30.006444444444451</v>
      </c>
      <c r="W14" s="121">
        <f>'Other Industrial Processes'!X529/1000</f>
        <v>30.103666666666676</v>
      </c>
      <c r="X14" s="121">
        <f>'Other Industrial Processes'!Y529/1000</f>
        <v>30.200888888888898</v>
      </c>
      <c r="Y14" s="121">
        <f>'Other Industrial Processes'!Z529/1000</f>
        <v>30.298111111111119</v>
      </c>
      <c r="Z14" s="121">
        <f>'Other Industrial Processes'!AA529/1000</f>
        <v>30.395333333333344</v>
      </c>
      <c r="AA14" s="121">
        <f>'Other Industrial Processes'!AB529/1000</f>
        <v>30.492555555555565</v>
      </c>
      <c r="AB14" s="121">
        <f>'Other Industrial Processes'!AC529/1000</f>
        <v>30.589777777777787</v>
      </c>
      <c r="AC14" s="121">
        <f>'Other Industrial Processes'!AD529/1000</f>
        <v>30.687000000000012</v>
      </c>
      <c r="AD14" s="121">
        <f>'Other Industrial Processes'!AE529/1000</f>
        <v>30.784222222222233</v>
      </c>
      <c r="AE14" s="121">
        <f>'Other Industrial Processes'!AF529/1000</f>
        <v>30.881444444444455</v>
      </c>
      <c r="AF14" s="121">
        <f>'Other Industrial Processes'!AG529/1000</f>
        <v>30.97866666666668</v>
      </c>
      <c r="AG14" s="121">
        <f>'Other Industrial Processes'!AH529/1000</f>
        <v>31.075888888888901</v>
      </c>
      <c r="AH14" s="121">
        <f>'Other Industrial Processes'!AI529/1000</f>
        <v>31.173111111111123</v>
      </c>
      <c r="AI14" s="121">
        <f>'Other Industrial Processes'!AJ529/1000</f>
        <v>31.270333333333348</v>
      </c>
      <c r="AJ14" s="121">
        <f>'Other Industrial Processes'!AK529/1000</f>
        <v>31.367555555555569</v>
      </c>
      <c r="AK14" s="121">
        <f>'Other Industrial Processes'!AL529/1000</f>
        <v>31.46477777777779</v>
      </c>
    </row>
    <row r="15" spans="1:37" x14ac:dyDescent="0.25">
      <c r="A15" s="122" t="s">
        <v>1832</v>
      </c>
      <c r="B15" s="121">
        <f>'Other Industrial Processes'!C528/1000*CH4_to_CO2e</f>
        <v>0.19600000000000001</v>
      </c>
      <c r="C15" s="121">
        <f>'Other Industrial Processes'!D528/1000*CH4_to_CO2e</f>
        <v>0.21155555555555555</v>
      </c>
      <c r="D15" s="121">
        <f>'Other Industrial Processes'!E528/1000*CH4_to_CO2e</f>
        <v>0.2271111111111111</v>
      </c>
      <c r="E15" s="121">
        <f>'Other Industrial Processes'!F528/1000*CH4_to_CO2e</f>
        <v>0.24266666666666664</v>
      </c>
      <c r="F15" s="121">
        <f>'Other Industrial Processes'!G528/1000*CH4_to_CO2e</f>
        <v>0.25822222222222224</v>
      </c>
      <c r="G15" s="121">
        <f>'Other Industrial Processes'!H528/1000*CH4_to_CO2e</f>
        <v>0.27377777777777779</v>
      </c>
      <c r="H15" s="121">
        <f>'Other Industrial Processes'!I528/1000*CH4_to_CO2e</f>
        <v>0.28933333333333328</v>
      </c>
      <c r="I15" s="121">
        <f>'Other Industrial Processes'!J528/1000*CH4_to_CO2e</f>
        <v>0.30488888888888882</v>
      </c>
      <c r="J15" s="121">
        <f>'Other Industrial Processes'!K528/1000*CH4_to_CO2e</f>
        <v>0.32044444444444442</v>
      </c>
      <c r="K15" s="121">
        <f>'Other Industrial Processes'!L528/1000*CH4_to_CO2e</f>
        <v>0.33599999999999997</v>
      </c>
      <c r="L15" s="121">
        <f>'Other Industrial Processes'!M528/1000*CH4_to_CO2e</f>
        <v>0.35155555555555551</v>
      </c>
      <c r="M15" s="121">
        <f>'Other Industrial Processes'!N528/1000*CH4_to_CO2e</f>
        <v>0.36711111111111105</v>
      </c>
      <c r="N15" s="121">
        <f>'Other Industrial Processes'!O528/1000*CH4_to_CO2e</f>
        <v>0.3826666666666666</v>
      </c>
      <c r="O15" s="121">
        <f>'Other Industrial Processes'!P528/1000*CH4_to_CO2e</f>
        <v>0.39822222222222214</v>
      </c>
      <c r="P15" s="121">
        <f>'Other Industrial Processes'!Q528/1000*CH4_to_CO2e</f>
        <v>0.41377777777777769</v>
      </c>
      <c r="Q15" s="121">
        <f>'Other Industrial Processes'!R528/1000*CH4_to_CO2e</f>
        <v>0.42933333333333323</v>
      </c>
      <c r="R15" s="121">
        <f>'Other Industrial Processes'!S528/1000*CH4_to_CO2e</f>
        <v>0.44488888888888883</v>
      </c>
      <c r="S15" s="121">
        <f>'Other Industrial Processes'!T528/1000*CH4_to_CO2e</f>
        <v>0.46044444444444438</v>
      </c>
      <c r="T15" s="121">
        <f>'Other Industrial Processes'!U528/1000*CH4_to_CO2e</f>
        <v>0.47600000000000003</v>
      </c>
      <c r="U15" s="121">
        <f>'Other Industrial Processes'!V528/1000*CH4_to_CO2e</f>
        <v>0.49155555555555558</v>
      </c>
      <c r="V15" s="121">
        <f>'Other Industrial Processes'!W528/1000*CH4_to_CO2e</f>
        <v>0.50711111111111118</v>
      </c>
      <c r="W15" s="121">
        <f>'Other Industrial Processes'!X528/1000*CH4_to_CO2e</f>
        <v>0.52266666666666683</v>
      </c>
      <c r="X15" s="121">
        <f>'Other Industrial Processes'!Y528/1000*CH4_to_CO2e</f>
        <v>0.53822222222222238</v>
      </c>
      <c r="Y15" s="121">
        <f>'Other Industrial Processes'!Z528/1000*CH4_to_CO2e</f>
        <v>0.55377777777777804</v>
      </c>
      <c r="Z15" s="121">
        <f>'Other Industrial Processes'!AA528/1000*CH4_to_CO2e</f>
        <v>0.56933333333333358</v>
      </c>
      <c r="AA15" s="121">
        <f>'Other Industrial Processes'!AB528/1000*CH4_to_CO2e</f>
        <v>0.58488888888888924</v>
      </c>
      <c r="AB15" s="121">
        <f>'Other Industrial Processes'!AC528/1000*CH4_to_CO2e</f>
        <v>0.60044444444444478</v>
      </c>
      <c r="AC15" s="121">
        <f>'Other Industrial Processes'!AD528/1000*CH4_to_CO2e</f>
        <v>0.61600000000000033</v>
      </c>
      <c r="AD15" s="121">
        <f>'Other Industrial Processes'!AE528/1000*CH4_to_CO2e</f>
        <v>0.63155555555555598</v>
      </c>
      <c r="AE15" s="121">
        <f>'Other Industrial Processes'!AF528/1000*CH4_to_CO2e</f>
        <v>0.64711111111111153</v>
      </c>
      <c r="AF15" s="121">
        <f>'Other Industrial Processes'!AG528/1000*CH4_to_CO2e</f>
        <v>0.66266666666666718</v>
      </c>
      <c r="AG15" s="121">
        <f>'Other Industrial Processes'!AH528/1000*CH4_to_CO2e</f>
        <v>0.67822222222222273</v>
      </c>
      <c r="AH15" s="121">
        <f>'Other Industrial Processes'!AI528/1000*CH4_to_CO2e</f>
        <v>0.69377777777777849</v>
      </c>
      <c r="AI15" s="121">
        <f>'Other Industrial Processes'!AJ528/1000*CH4_to_CO2e</f>
        <v>0.70933333333333404</v>
      </c>
      <c r="AJ15" s="121">
        <f>'Other Industrial Processes'!AK528/1000*CH4_to_CO2e</f>
        <v>0.72488888888888958</v>
      </c>
      <c r="AK15" s="121">
        <f>'Other Industrial Processes'!AL528/1000*CH4_to_CO2e</f>
        <v>0.74044444444444524</v>
      </c>
    </row>
    <row r="16" spans="1:37" x14ac:dyDescent="0.25">
      <c r="A16" s="122" t="s">
        <v>1969</v>
      </c>
      <c r="B16" s="121">
        <f>'Natural Gas Systems'!B200</f>
        <v>42.311991268518163</v>
      </c>
      <c r="C16" s="121">
        <f>'Natural Gas Systems'!C200</f>
        <v>41.528440802239082</v>
      </c>
      <c r="D16" s="121">
        <f>'Natural Gas Systems'!D200</f>
        <v>43.603753797185206</v>
      </c>
      <c r="E16" s="121">
        <f>'Natural Gas Systems'!E200</f>
        <v>45.62577690191037</v>
      </c>
      <c r="F16" s="121">
        <f>'Natural Gas Systems'!F200</f>
        <v>47.01526469333794</v>
      </c>
      <c r="G16" s="121">
        <f>'Natural Gas Systems'!G200</f>
        <v>48.252511755092407</v>
      </c>
      <c r="H16" s="121">
        <f>'Natural Gas Systems'!H200</f>
        <v>48.450316389609895</v>
      </c>
      <c r="I16" s="121">
        <f>'Natural Gas Systems'!I200</f>
        <v>49.113004333031931</v>
      </c>
      <c r="J16" s="121">
        <f>'Natural Gas Systems'!J200</f>
        <v>49.994383367386547</v>
      </c>
      <c r="K16" s="121">
        <f>'Natural Gas Systems'!K200</f>
        <v>50.825826803793717</v>
      </c>
      <c r="L16" s="121">
        <f>'Natural Gas Systems'!L200</f>
        <v>51.601259976684851</v>
      </c>
      <c r="M16" s="121">
        <f>'Natural Gas Systems'!M200</f>
        <v>52.353502671589922</v>
      </c>
      <c r="N16" s="121">
        <f>'Natural Gas Systems'!N200</f>
        <v>52.649054482116583</v>
      </c>
      <c r="O16" s="121">
        <f>'Natural Gas Systems'!O200</f>
        <v>53.077233099554242</v>
      </c>
      <c r="P16" s="121">
        <f>'Natural Gas Systems'!P200</f>
        <v>53.397362183659283</v>
      </c>
      <c r="Q16" s="121">
        <f>'Natural Gas Systems'!Q200</f>
        <v>53.609454256288053</v>
      </c>
      <c r="R16" s="121">
        <f>'Natural Gas Systems'!R200</f>
        <v>53.878586515118798</v>
      </c>
      <c r="S16" s="121">
        <f>'Natural Gas Systems'!S200</f>
        <v>54.275530927088582</v>
      </c>
      <c r="T16" s="121">
        <f>'Natural Gas Systems'!T200</f>
        <v>54.69982150812524</v>
      </c>
      <c r="U16" s="121">
        <f>'Natural Gas Systems'!U200</f>
        <v>55.27696795502888</v>
      </c>
      <c r="V16" s="121">
        <f>'Natural Gas Systems'!V200</f>
        <v>56.082189058977846</v>
      </c>
      <c r="W16" s="121">
        <f>'Natural Gas Systems'!W200</f>
        <v>56.724417854333197</v>
      </c>
      <c r="X16" s="121">
        <f>'Natural Gas Systems'!X200</f>
        <v>57.283418566133413</v>
      </c>
      <c r="Y16" s="121">
        <f>'Natural Gas Systems'!Y200</f>
        <v>57.718027156813982</v>
      </c>
      <c r="Z16" s="121">
        <f>'Natural Gas Systems'!Z200</f>
        <v>58.255329056767465</v>
      </c>
      <c r="AA16" s="121">
        <f>'Natural Gas Systems'!AA200</f>
        <v>58.544058020807803</v>
      </c>
      <c r="AB16" s="121">
        <f>'Natural Gas Systems'!AB200</f>
        <v>58.83171167043291</v>
      </c>
      <c r="AC16" s="121">
        <f>'Natural Gas Systems'!AC200</f>
        <v>59.005571385118394</v>
      </c>
      <c r="AD16" s="121">
        <f>'Natural Gas Systems'!AD200</f>
        <v>59.306379244853822</v>
      </c>
      <c r="AE16" s="121">
        <f>'Natural Gas Systems'!AE200</f>
        <v>59.739297384925244</v>
      </c>
      <c r="AF16" s="121">
        <f>'Natural Gas Systems'!AF200</f>
        <v>60.164120144857364</v>
      </c>
      <c r="AG16" s="121">
        <f>'Natural Gas Systems'!AG200</f>
        <v>60.533240991986411</v>
      </c>
      <c r="AH16" s="121">
        <f>'Natural Gas Systems'!AH200</f>
        <v>60.94809165855667</v>
      </c>
      <c r="AI16" s="121">
        <f>'Natural Gas Systems'!AI200</f>
        <v>61.291602178957334</v>
      </c>
      <c r="AJ16" s="121">
        <f>'Natural Gas Systems'!AJ200</f>
        <v>61.639669089842421</v>
      </c>
      <c r="AK16" s="121">
        <f>'Natural Gas Systems'!AK200</f>
        <v>62.07842241497945</v>
      </c>
    </row>
    <row r="17" spans="1:37" x14ac:dyDescent="0.25">
      <c r="A17" s="123"/>
      <c r="B17" s="119"/>
      <c r="C17" s="119"/>
      <c r="D17" s="119"/>
      <c r="E17" s="119"/>
      <c r="F17" s="119"/>
      <c r="G17" s="119"/>
      <c r="H17" s="119"/>
      <c r="I17" s="119"/>
      <c r="J17" s="119"/>
    </row>
    <row r="18" spans="1:37" x14ac:dyDescent="0.25">
      <c r="A18" s="113" t="s">
        <v>1015</v>
      </c>
      <c r="B18" s="119"/>
      <c r="C18" s="328"/>
      <c r="D18" s="116"/>
      <c r="E18" s="116"/>
      <c r="F18" s="116"/>
      <c r="G18" s="116"/>
      <c r="H18" s="116"/>
      <c r="I18" s="116"/>
      <c r="J18" s="116"/>
    </row>
    <row r="19" spans="1:37" x14ac:dyDescent="0.25">
      <c r="A19" s="115" t="s">
        <v>1016</v>
      </c>
      <c r="B19" s="117">
        <f>SUM(B21:B22)</f>
        <v>61.677000000000007</v>
      </c>
      <c r="C19" s="117">
        <f t="shared" ref="C19:AK19" si="3">SUM(C21:C22)</f>
        <v>64.863010205368667</v>
      </c>
      <c r="D19" s="117">
        <f t="shared" si="3"/>
        <v>66.813195052640353</v>
      </c>
      <c r="E19" s="117">
        <f t="shared" si="3"/>
        <v>70.142077073939461</v>
      </c>
      <c r="F19" s="117">
        <f t="shared" si="3"/>
        <v>70.855946538546476</v>
      </c>
      <c r="G19" s="117">
        <f t="shared" si="3"/>
        <v>70.118097728749092</v>
      </c>
      <c r="H19" s="117">
        <f t="shared" si="3"/>
        <v>69.017344889072689</v>
      </c>
      <c r="I19" s="117">
        <f t="shared" si="3"/>
        <v>68.749153156973932</v>
      </c>
      <c r="J19" s="117">
        <f t="shared" si="3"/>
        <v>69.316398157044858</v>
      </c>
      <c r="K19" s="117">
        <f t="shared" si="3"/>
        <v>70.41764233814456</v>
      </c>
      <c r="L19" s="117">
        <f t="shared" si="3"/>
        <v>72.175870759615592</v>
      </c>
      <c r="M19" s="117">
        <f t="shared" si="3"/>
        <v>74.66628382550725</v>
      </c>
      <c r="N19" s="117">
        <f t="shared" si="3"/>
        <v>76.201000607606517</v>
      </c>
      <c r="O19" s="117">
        <f t="shared" si="3"/>
        <v>78.163345429057642</v>
      </c>
      <c r="P19" s="117">
        <f t="shared" si="3"/>
        <v>79.775566832805808</v>
      </c>
      <c r="Q19" s="117">
        <f t="shared" si="3"/>
        <v>81.499345090483303</v>
      </c>
      <c r="R19" s="117">
        <f t="shared" si="3"/>
        <v>84.089552676648111</v>
      </c>
      <c r="S19" s="117">
        <f t="shared" si="3"/>
        <v>86.119878843404706</v>
      </c>
      <c r="T19" s="117">
        <f t="shared" si="3"/>
        <v>86.906953561739641</v>
      </c>
      <c r="U19" s="117">
        <f t="shared" si="3"/>
        <v>88.439661147716862</v>
      </c>
      <c r="V19" s="117">
        <f t="shared" si="3"/>
        <v>89.576930154614061</v>
      </c>
      <c r="W19" s="117">
        <f t="shared" si="3"/>
        <v>91.566972634296576</v>
      </c>
      <c r="X19" s="117">
        <f t="shared" si="3"/>
        <v>92.357144417471631</v>
      </c>
      <c r="Y19" s="117">
        <f t="shared" si="3"/>
        <v>92.750902018292038</v>
      </c>
      <c r="Z19" s="117">
        <f t="shared" si="3"/>
        <v>94.524419007212103</v>
      </c>
      <c r="AA19" s="117">
        <f t="shared" si="3"/>
        <v>96.354535555339268</v>
      </c>
      <c r="AB19" s="117">
        <f t="shared" si="3"/>
        <v>98.34858268381025</v>
      </c>
      <c r="AC19" s="117">
        <f t="shared" si="3"/>
        <v>99.790607810245319</v>
      </c>
      <c r="AD19" s="117">
        <f t="shared" si="3"/>
        <v>100.9327478199511</v>
      </c>
      <c r="AE19" s="117">
        <f t="shared" si="3"/>
        <v>101.79302786632547</v>
      </c>
      <c r="AF19" s="117">
        <f t="shared" si="3"/>
        <v>102.37113024274927</v>
      </c>
      <c r="AG19" s="117">
        <f t="shared" si="3"/>
        <v>102.69075848965954</v>
      </c>
      <c r="AH19" s="117">
        <f t="shared" si="3"/>
        <v>103.38014938915734</v>
      </c>
      <c r="AI19" s="117">
        <f t="shared" si="3"/>
        <v>103.52124535731319</v>
      </c>
      <c r="AJ19" s="117">
        <f t="shared" si="3"/>
        <v>103.90066448400441</v>
      </c>
      <c r="AK19" s="117">
        <f t="shared" si="3"/>
        <v>104.23321308273142</v>
      </c>
    </row>
    <row r="20" spans="1:37" x14ac:dyDescent="0.25">
      <c r="A20" s="115" t="s">
        <v>1064</v>
      </c>
      <c r="B20" s="139">
        <f>B23</f>
        <v>8.4000000000000012E-3</v>
      </c>
      <c r="C20" s="139">
        <f t="shared" ref="C20:AK20" si="4">C23</f>
        <v>8.8871538818439712E-3</v>
      </c>
      <c r="D20" s="139">
        <f t="shared" si="4"/>
        <v>9.0285422187556929E-3</v>
      </c>
      <c r="E20" s="139">
        <f t="shared" si="4"/>
        <v>9.5093596422143115E-3</v>
      </c>
      <c r="F20" s="139">
        <f t="shared" si="4"/>
        <v>9.5370617270606594E-3</v>
      </c>
      <c r="G20" s="139">
        <f t="shared" si="4"/>
        <v>9.4001712972830512E-3</v>
      </c>
      <c r="H20" s="139">
        <f t="shared" si="4"/>
        <v>9.1701746764693785E-3</v>
      </c>
      <c r="I20" s="139">
        <f t="shared" si="4"/>
        <v>9.0664167229204118E-3</v>
      </c>
      <c r="J20" s="139">
        <f t="shared" si="4"/>
        <v>9.1111357408569377E-3</v>
      </c>
      <c r="K20" s="139">
        <f t="shared" si="4"/>
        <v>9.2632460354286454E-3</v>
      </c>
      <c r="L20" s="139">
        <f t="shared" si="4"/>
        <v>9.5410931503761322E-3</v>
      </c>
      <c r="M20" s="139">
        <f t="shared" si="4"/>
        <v>9.9400295263281681E-3</v>
      </c>
      <c r="N20" s="139">
        <f t="shared" si="4"/>
        <v>1.020156386354441E-2</v>
      </c>
      <c r="O20" s="139">
        <f t="shared" si="4"/>
        <v>1.0527976795521832E-2</v>
      </c>
      <c r="P20" s="139">
        <f t="shared" si="4"/>
        <v>1.0781914875685092E-2</v>
      </c>
      <c r="Q20" s="139">
        <f t="shared" si="4"/>
        <v>1.1052171794465816E-2</v>
      </c>
      <c r="R20" s="139">
        <f t="shared" si="4"/>
        <v>1.147434378166896E-2</v>
      </c>
      <c r="S20" s="139">
        <f t="shared" si="4"/>
        <v>1.1801358892449827E-2</v>
      </c>
      <c r="T20" s="139">
        <f t="shared" si="4"/>
        <v>1.1922282884583146E-2</v>
      </c>
      <c r="U20" s="139">
        <f t="shared" si="4"/>
        <v>1.2159414745645452E-2</v>
      </c>
      <c r="V20" s="139">
        <f t="shared" si="4"/>
        <v>1.233146902162716E-2</v>
      </c>
      <c r="W20" s="139">
        <f t="shared" si="4"/>
        <v>1.2644831778932851E-2</v>
      </c>
      <c r="X20" s="139">
        <f t="shared" si="4"/>
        <v>1.2756978195948931E-2</v>
      </c>
      <c r="Y20" s="139">
        <f t="shared" si="4"/>
        <v>1.2796364818106353E-2</v>
      </c>
      <c r="Z20" s="139">
        <f t="shared" si="4"/>
        <v>1.3066493630562871E-2</v>
      </c>
      <c r="AA20" s="139">
        <f t="shared" si="4"/>
        <v>1.3361127716944476E-2</v>
      </c>
      <c r="AB20" s="139">
        <f t="shared" si="4"/>
        <v>1.3696349863145541E-2</v>
      </c>
      <c r="AC20" s="139">
        <f t="shared" si="4"/>
        <v>1.3934475530702874E-2</v>
      </c>
      <c r="AD20" s="139">
        <f t="shared" si="4"/>
        <v>1.4117580331456084E-2</v>
      </c>
      <c r="AE20" s="139">
        <f t="shared" si="4"/>
        <v>1.4250905308370369E-2</v>
      </c>
      <c r="AF20" s="139">
        <f t="shared" si="4"/>
        <v>1.4333993140805143E-2</v>
      </c>
      <c r="AG20" s="139">
        <f t="shared" si="4"/>
        <v>1.4378127066181599E-2</v>
      </c>
      <c r="AH20" s="139">
        <f t="shared" si="4"/>
        <v>1.4473402500589864E-2</v>
      </c>
      <c r="AI20" s="139">
        <f t="shared" si="4"/>
        <v>1.4477474683508299E-2</v>
      </c>
      <c r="AJ20" s="139">
        <f t="shared" si="4"/>
        <v>1.451539837812546E-2</v>
      </c>
      <c r="AK20" s="139">
        <f t="shared" si="4"/>
        <v>1.4535252112067352E-2</v>
      </c>
    </row>
    <row r="21" spans="1:37" x14ac:dyDescent="0.25">
      <c r="A21" s="138" t="s">
        <v>1268</v>
      </c>
      <c r="B21" s="140">
        <f>'Non-Energy FF CO2 Emissions'!B31</f>
        <v>12.8</v>
      </c>
      <c r="C21" s="140">
        <f>'Non-Energy FF CO2 Emissions'!C31</f>
        <v>13.151412552643924</v>
      </c>
      <c r="D21" s="140">
        <f>'Non-Energy FF CO2 Emissions'!D31</f>
        <v>14.278902430482972</v>
      </c>
      <c r="E21" s="140">
        <f>'Non-Energy FF CO2 Emissions'!E31</f>
        <v>14.810056689116969</v>
      </c>
      <c r="F21" s="140">
        <f>'Non-Energy FF CO2 Emissions'!F31</f>
        <v>15.362736296457912</v>
      </c>
      <c r="G21" s="140">
        <f>'Non-Energy FF CO2 Emissions'!G31</f>
        <v>15.421410526689135</v>
      </c>
      <c r="H21" s="140">
        <f>'Non-Energy FF CO2 Emissions'!H31</f>
        <v>15.658936834097231</v>
      </c>
      <c r="I21" s="140">
        <f>'Non-Energy FF CO2 Emissions'!I31</f>
        <v>15.994480518142865</v>
      </c>
      <c r="J21" s="140">
        <f>'Non-Energy FF CO2 Emissions'!J31</f>
        <v>16.301519394441936</v>
      </c>
      <c r="K21" s="140">
        <f>'Non-Energy FF CO2 Emissions'!K31</f>
        <v>16.517680853186707</v>
      </c>
      <c r="L21" s="140">
        <f>'Non-Energy FF CO2 Emissions'!L31</f>
        <v>16.659202913075791</v>
      </c>
      <c r="M21" s="140">
        <f>'Non-Energy FF CO2 Emissions'!M31</f>
        <v>16.828328687609417</v>
      </c>
      <c r="N21" s="140">
        <f>'Non-Energy FF CO2 Emissions'!N31</f>
        <v>16.841258112551735</v>
      </c>
      <c r="O21" s="140">
        <f>'Non-Energy FF CO2 Emissions'!O31</f>
        <v>16.904307115400425</v>
      </c>
      <c r="P21" s="140">
        <f>'Non-Energy FF CO2 Emissions'!P31</f>
        <v>17.038941430560538</v>
      </c>
      <c r="Q21" s="140">
        <f>'Non-Energy FF CO2 Emissions'!Q31</f>
        <v>17.190178328804048</v>
      </c>
      <c r="R21" s="140">
        <f>'Non-Energy FF CO2 Emissions'!R31</f>
        <v>17.323897793715528</v>
      </c>
      <c r="S21" s="140">
        <f>'Non-Energy FF CO2 Emissions'!S31</f>
        <v>17.451424249801121</v>
      </c>
      <c r="T21" s="140">
        <f>'Non-Energy FF CO2 Emissions'!T31</f>
        <v>17.534879686766971</v>
      </c>
      <c r="U21" s="140">
        <f>'Non-Energy FF CO2 Emissions'!U31</f>
        <v>17.687790371179641</v>
      </c>
      <c r="V21" s="140">
        <f>'Non-Energy FF CO2 Emissions'!V31</f>
        <v>17.823928801034224</v>
      </c>
      <c r="W21" s="140">
        <f>'Non-Energy FF CO2 Emissions'!W31</f>
        <v>17.990610389189321</v>
      </c>
      <c r="X21" s="140">
        <f>'Non-Energy FF CO2 Emissions'!X31</f>
        <v>18.128236883734019</v>
      </c>
      <c r="Y21" s="140">
        <f>'Non-Energy FF CO2 Emissions'!Y31</f>
        <v>18.292815921317725</v>
      </c>
      <c r="Z21" s="140">
        <f>'Non-Energy FF CO2 Emissions'!Z31</f>
        <v>18.4945369618524</v>
      </c>
      <c r="AA21" s="140">
        <f>'Non-Energy FF CO2 Emissions'!AA31</f>
        <v>18.610268957589835</v>
      </c>
      <c r="AB21" s="140">
        <f>'Non-Energy FF CO2 Emissions'!AB31</f>
        <v>18.653762176552558</v>
      </c>
      <c r="AC21" s="140">
        <f>'Non-Energy FF CO2 Emissions'!AC31</f>
        <v>18.710207749035256</v>
      </c>
      <c r="AD21" s="140">
        <f>'Non-Energy FF CO2 Emissions'!AD31</f>
        <v>18.786917598453613</v>
      </c>
      <c r="AE21" s="140">
        <f>'Non-Energy FF CO2 Emissions'!AE31</f>
        <v>18.871420871418504</v>
      </c>
      <c r="AF21" s="140">
        <f>'Non-Energy FF CO2 Emissions'!AF31</f>
        <v>18.966060868566764</v>
      </c>
      <c r="AG21" s="140">
        <f>'Non-Energy FF CO2 Emissions'!AG31</f>
        <v>19.028887464212168</v>
      </c>
      <c r="AH21" s="140">
        <f>'Non-Energy FF CO2 Emissions'!AH31</f>
        <v>19.163900100903653</v>
      </c>
      <c r="AI21" s="140">
        <f>'Non-Energy FF CO2 Emissions'!AI31</f>
        <v>19.281301297094718</v>
      </c>
      <c r="AJ21" s="140">
        <f>'Non-Energy FF CO2 Emissions'!AJ31</f>
        <v>19.440054183095086</v>
      </c>
      <c r="AK21" s="140">
        <f>'Non-Energy FF CO2 Emissions'!AK31</f>
        <v>19.657080049217626</v>
      </c>
    </row>
    <row r="22" spans="1:37" x14ac:dyDescent="0.25">
      <c r="A22" s="136" t="s">
        <v>1669</v>
      </c>
      <c r="B22" s="140">
        <f>'Iron and Steel'!B8</f>
        <v>48.877000000000002</v>
      </c>
      <c r="C22" s="140">
        <f>'Iron and Steel'!C8</f>
        <v>51.711597652724741</v>
      </c>
      <c r="D22" s="140">
        <f>'Iron and Steel'!D8</f>
        <v>52.53429262215738</v>
      </c>
      <c r="E22" s="140">
        <f>'Iron and Steel'!E8</f>
        <v>55.332020384822492</v>
      </c>
      <c r="F22" s="140">
        <f>'Iron and Steel'!F8</f>
        <v>55.493210242088558</v>
      </c>
      <c r="G22" s="140">
        <f>'Iron and Steel'!G8</f>
        <v>54.696687202059962</v>
      </c>
      <c r="H22" s="140">
        <f>'Iron and Steel'!H8</f>
        <v>53.358408054975456</v>
      </c>
      <c r="I22" s="140">
        <f>'Iron and Steel'!I8</f>
        <v>52.754672638831067</v>
      </c>
      <c r="J22" s="140">
        <f>'Iron and Steel'!J8</f>
        <v>53.014878762602919</v>
      </c>
      <c r="K22" s="140">
        <f>'Iron and Steel'!K8</f>
        <v>53.899961484957849</v>
      </c>
      <c r="L22" s="140">
        <f>'Iron and Steel'!L8</f>
        <v>55.516667846539796</v>
      </c>
      <c r="M22" s="140">
        <f>'Iron and Steel'!M8</f>
        <v>57.837955137897836</v>
      </c>
      <c r="N22" s="140">
        <f>'Iron and Steel'!N8</f>
        <v>59.359742495054782</v>
      </c>
      <c r="O22" s="140">
        <f>'Iron and Steel'!O8</f>
        <v>61.259038313657221</v>
      </c>
      <c r="P22" s="140">
        <f>'Iron and Steel'!P8</f>
        <v>62.736625402245274</v>
      </c>
      <c r="Q22" s="140">
        <f>'Iron and Steel'!Q8</f>
        <v>64.309166761679251</v>
      </c>
      <c r="R22" s="140">
        <f>'Iron and Steel'!R8</f>
        <v>66.76565488293258</v>
      </c>
      <c r="S22" s="140">
        <f>'Iron and Steel'!S8</f>
        <v>68.668454593603585</v>
      </c>
      <c r="T22" s="140">
        <f>'Iron and Steel'!T8</f>
        <v>69.372073874972671</v>
      </c>
      <c r="U22" s="140">
        <f>'Iron and Steel'!U8</f>
        <v>70.751870776537217</v>
      </c>
      <c r="V22" s="140">
        <f>'Iron and Steel'!V8</f>
        <v>71.753001353579833</v>
      </c>
      <c r="W22" s="140">
        <f>'Iron and Steel'!W8</f>
        <v>73.576362245107262</v>
      </c>
      <c r="X22" s="140">
        <f>'Iron and Steel'!X8</f>
        <v>74.228907533737612</v>
      </c>
      <c r="Y22" s="140">
        <f>'Iron and Steel'!Y8</f>
        <v>74.458086096974313</v>
      </c>
      <c r="Z22" s="140">
        <f>'Iron and Steel'!Z8</f>
        <v>76.029882045359699</v>
      </c>
      <c r="AA22" s="140">
        <f>'Iron and Steel'!AA8</f>
        <v>77.74426659774943</v>
      </c>
      <c r="AB22" s="140">
        <f>'Iron and Steel'!AB8</f>
        <v>79.694820507257688</v>
      </c>
      <c r="AC22" s="140">
        <f>'Iron and Steel'!AC8</f>
        <v>81.080400061210057</v>
      </c>
      <c r="AD22" s="140">
        <f>'Iron and Steel'!AD8</f>
        <v>82.145830221497491</v>
      </c>
      <c r="AE22" s="140">
        <f>'Iron and Steel'!AE8</f>
        <v>82.921606994906966</v>
      </c>
      <c r="AF22" s="140">
        <f>'Iron and Steel'!AF8</f>
        <v>83.405069374182503</v>
      </c>
      <c r="AG22" s="140">
        <f>'Iron and Steel'!AG8</f>
        <v>83.661871025447383</v>
      </c>
      <c r="AH22" s="140">
        <f>'Iron and Steel'!AH8</f>
        <v>84.216249288253678</v>
      </c>
      <c r="AI22" s="140">
        <f>'Iron and Steel'!AI8</f>
        <v>84.239944060218477</v>
      </c>
      <c r="AJ22" s="140">
        <f>'Iron and Steel'!AJ8</f>
        <v>84.460610300909323</v>
      </c>
      <c r="AK22" s="140">
        <f>'Iron and Steel'!AK8</f>
        <v>84.576133033513798</v>
      </c>
    </row>
    <row r="23" spans="1:37" x14ac:dyDescent="0.25">
      <c r="A23" s="136" t="s">
        <v>1986</v>
      </c>
      <c r="B23" s="140">
        <f>'Iron and Steel'!B9*CH4_to_CO2e/1000</f>
        <v>8.4000000000000012E-3</v>
      </c>
      <c r="C23" s="140">
        <f>'Iron and Steel'!C9*CH4_to_CO2e/1000</f>
        <v>8.8871538818439712E-3</v>
      </c>
      <c r="D23" s="140">
        <f>'Iron and Steel'!D9*CH4_to_CO2e/1000</f>
        <v>9.0285422187556929E-3</v>
      </c>
      <c r="E23" s="140">
        <f>'Iron and Steel'!E9*CH4_to_CO2e/1000</f>
        <v>9.5093596422143115E-3</v>
      </c>
      <c r="F23" s="140">
        <f>'Iron and Steel'!F9*CH4_to_CO2e/1000</f>
        <v>9.5370617270606594E-3</v>
      </c>
      <c r="G23" s="140">
        <f>'Iron and Steel'!G9*CH4_to_CO2e/1000</f>
        <v>9.4001712972830512E-3</v>
      </c>
      <c r="H23" s="140">
        <f>'Iron and Steel'!H9*CH4_to_CO2e/1000</f>
        <v>9.1701746764693785E-3</v>
      </c>
      <c r="I23" s="140">
        <f>'Iron and Steel'!I9*CH4_to_CO2e/1000</f>
        <v>9.0664167229204118E-3</v>
      </c>
      <c r="J23" s="140">
        <f>'Iron and Steel'!J9*CH4_to_CO2e/1000</f>
        <v>9.1111357408569377E-3</v>
      </c>
      <c r="K23" s="140">
        <f>'Iron and Steel'!K9*CH4_to_CO2e/1000</f>
        <v>9.2632460354286454E-3</v>
      </c>
      <c r="L23" s="140">
        <f>'Iron and Steel'!L9*CH4_to_CO2e/1000</f>
        <v>9.5410931503761322E-3</v>
      </c>
      <c r="M23" s="140">
        <f>'Iron and Steel'!M9*CH4_to_CO2e/1000</f>
        <v>9.9400295263281681E-3</v>
      </c>
      <c r="N23" s="140">
        <f>'Iron and Steel'!N9*CH4_to_CO2e/1000</f>
        <v>1.020156386354441E-2</v>
      </c>
      <c r="O23" s="140">
        <f>'Iron and Steel'!O9*CH4_to_CO2e/1000</f>
        <v>1.0527976795521832E-2</v>
      </c>
      <c r="P23" s="140">
        <f>'Iron and Steel'!P9*CH4_to_CO2e/1000</f>
        <v>1.0781914875685092E-2</v>
      </c>
      <c r="Q23" s="140">
        <f>'Iron and Steel'!Q9*CH4_to_CO2e/1000</f>
        <v>1.1052171794465816E-2</v>
      </c>
      <c r="R23" s="140">
        <f>'Iron and Steel'!R9*CH4_to_CO2e/1000</f>
        <v>1.147434378166896E-2</v>
      </c>
      <c r="S23" s="140">
        <f>'Iron and Steel'!S9*CH4_to_CO2e/1000</f>
        <v>1.1801358892449827E-2</v>
      </c>
      <c r="T23" s="140">
        <f>'Iron and Steel'!T9*CH4_to_CO2e/1000</f>
        <v>1.1922282884583146E-2</v>
      </c>
      <c r="U23" s="140">
        <f>'Iron and Steel'!U9*CH4_to_CO2e/1000</f>
        <v>1.2159414745645452E-2</v>
      </c>
      <c r="V23" s="140">
        <f>'Iron and Steel'!V9*CH4_to_CO2e/1000</f>
        <v>1.233146902162716E-2</v>
      </c>
      <c r="W23" s="140">
        <f>'Iron and Steel'!W9*CH4_to_CO2e/1000</f>
        <v>1.2644831778932851E-2</v>
      </c>
      <c r="X23" s="140">
        <f>'Iron and Steel'!X9*CH4_to_CO2e/1000</f>
        <v>1.2756978195948931E-2</v>
      </c>
      <c r="Y23" s="140">
        <f>'Iron and Steel'!Y9*CH4_to_CO2e/1000</f>
        <v>1.2796364818106353E-2</v>
      </c>
      <c r="Z23" s="140">
        <f>'Iron and Steel'!Z9*CH4_to_CO2e/1000</f>
        <v>1.3066493630562871E-2</v>
      </c>
      <c r="AA23" s="140">
        <f>'Iron and Steel'!AA9*CH4_to_CO2e/1000</f>
        <v>1.3361127716944476E-2</v>
      </c>
      <c r="AB23" s="140">
        <f>'Iron and Steel'!AB9*CH4_to_CO2e/1000</f>
        <v>1.3696349863145541E-2</v>
      </c>
      <c r="AC23" s="140">
        <f>'Iron and Steel'!AC9*CH4_to_CO2e/1000</f>
        <v>1.3934475530702874E-2</v>
      </c>
      <c r="AD23" s="140">
        <f>'Iron and Steel'!AD9*CH4_to_CO2e/1000</f>
        <v>1.4117580331456084E-2</v>
      </c>
      <c r="AE23" s="140">
        <f>'Iron and Steel'!AE9*CH4_to_CO2e/1000</f>
        <v>1.4250905308370369E-2</v>
      </c>
      <c r="AF23" s="140">
        <f>'Iron and Steel'!AF9*CH4_to_CO2e/1000</f>
        <v>1.4333993140805143E-2</v>
      </c>
      <c r="AG23" s="140">
        <f>'Iron and Steel'!AG9*CH4_to_CO2e/1000</f>
        <v>1.4378127066181599E-2</v>
      </c>
      <c r="AH23" s="140">
        <f>'Iron and Steel'!AH9*CH4_to_CO2e/1000</f>
        <v>1.4473402500589864E-2</v>
      </c>
      <c r="AI23" s="140">
        <f>'Iron and Steel'!AI9*CH4_to_CO2e/1000</f>
        <v>1.4477474683508299E-2</v>
      </c>
      <c r="AJ23" s="140">
        <f>'Iron and Steel'!AJ9*CH4_to_CO2e/1000</f>
        <v>1.451539837812546E-2</v>
      </c>
      <c r="AK23" s="140">
        <f>'Iron and Steel'!AK9*CH4_to_CO2e/1000</f>
        <v>1.4535252112067352E-2</v>
      </c>
    </row>
    <row r="24" spans="1:37" x14ac:dyDescent="0.25">
      <c r="B24" s="139"/>
      <c r="C24" s="110"/>
      <c r="D24" s="110"/>
      <c r="E24" s="110"/>
      <c r="F24" s="110"/>
      <c r="G24" s="110"/>
      <c r="H24" s="110"/>
      <c r="I24" s="110"/>
      <c r="J24" s="110"/>
    </row>
    <row r="25" spans="1:37" x14ac:dyDescent="0.25">
      <c r="B25" s="139"/>
      <c r="C25" s="110"/>
      <c r="D25" s="110"/>
      <c r="E25" s="110"/>
      <c r="F25" s="110"/>
      <c r="G25" s="110"/>
      <c r="H25" s="110"/>
      <c r="I25" s="110"/>
      <c r="J25" s="110"/>
    </row>
    <row r="26" spans="1:37" x14ac:dyDescent="0.25">
      <c r="A26" s="113" t="s">
        <v>273</v>
      </c>
      <c r="B26" s="119"/>
      <c r="C26" s="118"/>
      <c r="D26" s="118"/>
      <c r="E26" s="118"/>
      <c r="F26" s="118"/>
      <c r="G26" s="118"/>
      <c r="H26" s="118"/>
      <c r="I26" s="118"/>
      <c r="J26" s="118"/>
    </row>
    <row r="27" spans="1:37" x14ac:dyDescent="0.25">
      <c r="A27" s="115" t="s">
        <v>1017</v>
      </c>
      <c r="B27" s="119">
        <f>B30+B35</f>
        <v>14.045000000000002</v>
      </c>
      <c r="C27" s="119">
        <f t="shared" ref="C27:AK27" si="5">C30+C35</f>
        <v>14.103888888888889</v>
      </c>
      <c r="D27" s="119">
        <f t="shared" si="5"/>
        <v>14.162777777777777</v>
      </c>
      <c r="E27" s="119">
        <f t="shared" si="5"/>
        <v>14.221666666666664</v>
      </c>
      <c r="F27" s="119">
        <f t="shared" si="5"/>
        <v>14.280555555555555</v>
      </c>
      <c r="G27" s="119">
        <f t="shared" si="5"/>
        <v>14.339444444444442</v>
      </c>
      <c r="H27" s="119">
        <f t="shared" si="5"/>
        <v>14.39833333333333</v>
      </c>
      <c r="I27" s="119">
        <f t="shared" si="5"/>
        <v>14.457222222222221</v>
      </c>
      <c r="J27" s="119">
        <f t="shared" si="5"/>
        <v>14.516111111111108</v>
      </c>
      <c r="K27" s="119">
        <f t="shared" si="5"/>
        <v>14.574999999999999</v>
      </c>
      <c r="L27" s="119">
        <f t="shared" si="5"/>
        <v>14.633888888888887</v>
      </c>
      <c r="M27" s="119">
        <f t="shared" si="5"/>
        <v>14.692777777777774</v>
      </c>
      <c r="N27" s="119">
        <f t="shared" si="5"/>
        <v>14.751666666666665</v>
      </c>
      <c r="O27" s="119">
        <f t="shared" si="5"/>
        <v>14.810555555555553</v>
      </c>
      <c r="P27" s="119">
        <f t="shared" si="5"/>
        <v>14.86944444444444</v>
      </c>
      <c r="Q27" s="119">
        <f t="shared" si="5"/>
        <v>14.928333333333331</v>
      </c>
      <c r="R27" s="119">
        <f t="shared" si="5"/>
        <v>14.987222222222218</v>
      </c>
      <c r="S27" s="119">
        <f t="shared" si="5"/>
        <v>15.046111111111106</v>
      </c>
      <c r="T27" s="119">
        <f t="shared" si="5"/>
        <v>15.104999999999997</v>
      </c>
      <c r="U27" s="119">
        <f t="shared" si="5"/>
        <v>15.163888888888884</v>
      </c>
      <c r="V27" s="119">
        <f t="shared" si="5"/>
        <v>15.222777777777775</v>
      </c>
      <c r="W27" s="119">
        <f t="shared" si="5"/>
        <v>15.281666666666663</v>
      </c>
      <c r="X27" s="119">
        <f t="shared" si="5"/>
        <v>15.34055555555555</v>
      </c>
      <c r="Y27" s="119">
        <f t="shared" si="5"/>
        <v>15.399444444444441</v>
      </c>
      <c r="Z27" s="119">
        <f t="shared" si="5"/>
        <v>15.458333333333329</v>
      </c>
      <c r="AA27" s="119">
        <f t="shared" si="5"/>
        <v>15.517222222222216</v>
      </c>
      <c r="AB27" s="119">
        <f t="shared" si="5"/>
        <v>15.576111111111107</v>
      </c>
      <c r="AC27" s="119">
        <f t="shared" si="5"/>
        <v>15.634999999999994</v>
      </c>
      <c r="AD27" s="119">
        <f t="shared" si="5"/>
        <v>15.693888888888882</v>
      </c>
      <c r="AE27" s="119">
        <f t="shared" si="5"/>
        <v>15.752777777777769</v>
      </c>
      <c r="AF27" s="119">
        <f t="shared" si="5"/>
        <v>15.81166666666666</v>
      </c>
      <c r="AG27" s="119">
        <f t="shared" si="5"/>
        <v>15.870555555555548</v>
      </c>
      <c r="AH27" s="119">
        <f t="shared" si="5"/>
        <v>15.929444444444439</v>
      </c>
      <c r="AI27" s="119">
        <f t="shared" si="5"/>
        <v>15.988333333333326</v>
      </c>
      <c r="AJ27" s="119">
        <f t="shared" si="5"/>
        <v>16.047222222222217</v>
      </c>
      <c r="AK27" s="119">
        <f t="shared" si="5"/>
        <v>16.106111111111105</v>
      </c>
    </row>
    <row r="28" spans="1:37" x14ac:dyDescent="0.25">
      <c r="A28" s="115" t="s">
        <v>1018</v>
      </c>
      <c r="B28" s="119">
        <f>SUM(B31:B32)</f>
        <v>219.38943521799999</v>
      </c>
      <c r="C28" s="119">
        <f t="shared" ref="C28:AK28" si="6">SUM(C31:C32)</f>
        <v>227.6678847789</v>
      </c>
      <c r="D28" s="119">
        <f t="shared" si="6"/>
        <v>235.96025681784499</v>
      </c>
      <c r="E28" s="119">
        <f t="shared" si="6"/>
        <v>244.26724745873724</v>
      </c>
      <c r="F28" s="119">
        <f t="shared" si="6"/>
        <v>252.58958763167411</v>
      </c>
      <c r="G28" s="119">
        <f t="shared" si="6"/>
        <v>260.92804481325783</v>
      </c>
      <c r="H28" s="119">
        <f t="shared" si="6"/>
        <v>270.06298085391927</v>
      </c>
      <c r="I28" s="119">
        <f t="shared" si="6"/>
        <v>281.03612989661747</v>
      </c>
      <c r="J28" s="119">
        <f t="shared" si="6"/>
        <v>292.02793639144687</v>
      </c>
      <c r="K28" s="119">
        <f t="shared" si="6"/>
        <v>303.03933321101778</v>
      </c>
      <c r="L28" s="119">
        <f t="shared" si="6"/>
        <v>314.07129987157094</v>
      </c>
      <c r="M28" s="119">
        <f t="shared" si="6"/>
        <v>316.12486486514985</v>
      </c>
      <c r="N28" s="119">
        <f t="shared" si="6"/>
        <v>318.20110810840725</v>
      </c>
      <c r="O28" s="119">
        <f t="shared" si="6"/>
        <v>320.30116351382753</v>
      </c>
      <c r="P28" s="119">
        <f t="shared" si="6"/>
        <v>322.4262216895188</v>
      </c>
      <c r="Q28" s="119">
        <f t="shared" si="6"/>
        <v>324.57753277399462</v>
      </c>
      <c r="R28" s="119">
        <f t="shared" si="6"/>
        <v>329.55640941269581</v>
      </c>
      <c r="S28" s="119">
        <f t="shared" si="6"/>
        <v>334.5642298833302</v>
      </c>
      <c r="T28" s="119">
        <f t="shared" si="6"/>
        <v>339.60244137749629</v>
      </c>
      <c r="U28" s="119">
        <f t="shared" si="6"/>
        <v>344.6725634463707</v>
      </c>
      <c r="V28" s="119">
        <f t="shared" si="6"/>
        <v>349.77619161868881</v>
      </c>
      <c r="W28" s="119">
        <f t="shared" si="6"/>
        <v>355.31500119962254</v>
      </c>
      <c r="X28" s="119">
        <f t="shared" si="6"/>
        <v>360.89075125960483</v>
      </c>
      <c r="Y28" s="119">
        <f t="shared" si="6"/>
        <v>366.5052888225843</v>
      </c>
      <c r="Z28" s="119">
        <f t="shared" si="6"/>
        <v>372.16055326371281</v>
      </c>
      <c r="AA28" s="119">
        <f t="shared" si="6"/>
        <v>377.85858092689961</v>
      </c>
      <c r="AB28" s="119">
        <f t="shared" si="6"/>
        <v>382.80150997324455</v>
      </c>
      <c r="AC28" s="119">
        <f t="shared" si="6"/>
        <v>387.79158547190679</v>
      </c>
      <c r="AD28" s="119">
        <f t="shared" si="6"/>
        <v>392.83116474550212</v>
      </c>
      <c r="AE28" s="119">
        <f t="shared" si="6"/>
        <v>397.92272298277726</v>
      </c>
      <c r="AF28" s="119">
        <f t="shared" si="6"/>
        <v>403.0688591319161</v>
      </c>
      <c r="AG28" s="119">
        <f t="shared" si="6"/>
        <v>407.27230208851194</v>
      </c>
      <c r="AH28" s="119">
        <f t="shared" si="6"/>
        <v>411.53591719293752</v>
      </c>
      <c r="AI28" s="119">
        <f t="shared" si="6"/>
        <v>415.86271305258441</v>
      </c>
      <c r="AJ28" s="119">
        <f t="shared" si="6"/>
        <v>420.25584870521362</v>
      </c>
      <c r="AK28" s="119">
        <f t="shared" si="6"/>
        <v>424.71864114047429</v>
      </c>
    </row>
    <row r="29" spans="1:37" x14ac:dyDescent="0.25">
      <c r="A29" s="115" t="s">
        <v>1019</v>
      </c>
      <c r="B29" s="119">
        <f>B33+B34</f>
        <v>112.18700000000001</v>
      </c>
      <c r="C29" s="119">
        <f t="shared" ref="C29:AK29" si="7">C33+C34</f>
        <v>115.07061769774248</v>
      </c>
      <c r="D29" s="119">
        <f t="shared" si="7"/>
        <v>123.869466226591</v>
      </c>
      <c r="E29" s="119">
        <f t="shared" si="7"/>
        <v>128.12142593291426</v>
      </c>
      <c r="F29" s="119">
        <f t="shared" si="7"/>
        <v>132.53768513740536</v>
      </c>
      <c r="G29" s="119">
        <f t="shared" si="7"/>
        <v>133.18732051195451</v>
      </c>
      <c r="H29" s="119">
        <f t="shared" si="7"/>
        <v>135.20086861744795</v>
      </c>
      <c r="I29" s="119">
        <f t="shared" si="7"/>
        <v>137.96196334976537</v>
      </c>
      <c r="J29" s="119">
        <f t="shared" si="7"/>
        <v>140.50587155584546</v>
      </c>
      <c r="K29" s="119">
        <f t="shared" si="7"/>
        <v>142.35700060398327</v>
      </c>
      <c r="L29" s="119">
        <f t="shared" si="7"/>
        <v>143.63916391988383</v>
      </c>
      <c r="M29" s="119">
        <f t="shared" si="7"/>
        <v>145.13196379200352</v>
      </c>
      <c r="N29" s="119">
        <f t="shared" si="7"/>
        <v>145.43392329329131</v>
      </c>
      <c r="O29" s="119">
        <f t="shared" si="7"/>
        <v>146.11819994823767</v>
      </c>
      <c r="P29" s="119">
        <f t="shared" si="7"/>
        <v>147.34846857341955</v>
      </c>
      <c r="Q29" s="119">
        <f t="shared" si="7"/>
        <v>148.70548446447657</v>
      </c>
      <c r="R29" s="119">
        <f t="shared" si="7"/>
        <v>149.92908111635674</v>
      </c>
      <c r="S29" s="119">
        <f t="shared" si="7"/>
        <v>151.10560589999756</v>
      </c>
      <c r="T29" s="119">
        <f t="shared" si="7"/>
        <v>151.9462376348003</v>
      </c>
      <c r="U29" s="119">
        <f t="shared" si="7"/>
        <v>153.31661276489379</v>
      </c>
      <c r="V29" s="119">
        <f t="shared" si="7"/>
        <v>154.55924526257078</v>
      </c>
      <c r="W29" s="119">
        <f t="shared" si="7"/>
        <v>156.0349138393359</v>
      </c>
      <c r="X29" s="119">
        <f t="shared" si="7"/>
        <v>157.28918052606164</v>
      </c>
      <c r="Y29" s="119">
        <f t="shared" si="7"/>
        <v>158.74910226698751</v>
      </c>
      <c r="Z29" s="119">
        <f t="shared" si="7"/>
        <v>160.49237242168556</v>
      </c>
      <c r="AA29" s="119">
        <f t="shared" si="7"/>
        <v>161.58011549163695</v>
      </c>
      <c r="AB29" s="119">
        <f t="shared" si="7"/>
        <v>162.1171760237562</v>
      </c>
      <c r="AC29" s="119">
        <f t="shared" si="7"/>
        <v>162.75313515233017</v>
      </c>
      <c r="AD29" s="119">
        <f t="shared" si="7"/>
        <v>163.54374507160696</v>
      </c>
      <c r="AE29" s="119">
        <f t="shared" si="7"/>
        <v>164.39391431498001</v>
      </c>
      <c r="AF29" s="119">
        <f t="shared" si="7"/>
        <v>165.32150935244229</v>
      </c>
      <c r="AG29" s="119">
        <f t="shared" si="7"/>
        <v>166.00665929029606</v>
      </c>
      <c r="AH29" s="119">
        <f t="shared" si="7"/>
        <v>167.24235870453185</v>
      </c>
      <c r="AI29" s="119">
        <f t="shared" si="7"/>
        <v>168.34390063668144</v>
      </c>
      <c r="AJ29" s="119">
        <f t="shared" si="7"/>
        <v>169.76087780532441</v>
      </c>
      <c r="AK29" s="119">
        <f t="shared" si="7"/>
        <v>171.62231391058512</v>
      </c>
    </row>
    <row r="30" spans="1:37" x14ac:dyDescent="0.25">
      <c r="A30" s="124" t="s">
        <v>1687</v>
      </c>
      <c r="B30" s="121">
        <f>'Cross-Page Data'!AA82*N2O_to_CO2e/1000</f>
        <v>3.71</v>
      </c>
      <c r="C30" s="121">
        <f>B30</f>
        <v>3.71</v>
      </c>
      <c r="D30" s="121">
        <f t="shared" ref="D30:AK30" si="8">C30</f>
        <v>3.71</v>
      </c>
      <c r="E30" s="121">
        <f t="shared" si="8"/>
        <v>3.71</v>
      </c>
      <c r="F30" s="121">
        <f t="shared" si="8"/>
        <v>3.71</v>
      </c>
      <c r="G30" s="121">
        <f t="shared" si="8"/>
        <v>3.71</v>
      </c>
      <c r="H30" s="121">
        <f t="shared" si="8"/>
        <v>3.71</v>
      </c>
      <c r="I30" s="121">
        <f t="shared" si="8"/>
        <v>3.71</v>
      </c>
      <c r="J30" s="121">
        <f t="shared" si="8"/>
        <v>3.71</v>
      </c>
      <c r="K30" s="121">
        <f t="shared" si="8"/>
        <v>3.71</v>
      </c>
      <c r="L30" s="121">
        <f t="shared" si="8"/>
        <v>3.71</v>
      </c>
      <c r="M30" s="121">
        <f t="shared" si="8"/>
        <v>3.71</v>
      </c>
      <c r="N30" s="121">
        <f t="shared" si="8"/>
        <v>3.71</v>
      </c>
      <c r="O30" s="121">
        <f t="shared" si="8"/>
        <v>3.71</v>
      </c>
      <c r="P30" s="121">
        <f t="shared" si="8"/>
        <v>3.71</v>
      </c>
      <c r="Q30" s="121">
        <f t="shared" si="8"/>
        <v>3.71</v>
      </c>
      <c r="R30" s="121">
        <f t="shared" si="8"/>
        <v>3.71</v>
      </c>
      <c r="S30" s="121">
        <f t="shared" si="8"/>
        <v>3.71</v>
      </c>
      <c r="T30" s="121">
        <f t="shared" si="8"/>
        <v>3.71</v>
      </c>
      <c r="U30" s="121">
        <f t="shared" si="8"/>
        <v>3.71</v>
      </c>
      <c r="V30" s="121">
        <f t="shared" si="8"/>
        <v>3.71</v>
      </c>
      <c r="W30" s="121">
        <f t="shared" si="8"/>
        <v>3.71</v>
      </c>
      <c r="X30" s="121">
        <f t="shared" si="8"/>
        <v>3.71</v>
      </c>
      <c r="Y30" s="121">
        <f t="shared" si="8"/>
        <v>3.71</v>
      </c>
      <c r="Z30" s="121">
        <f t="shared" si="8"/>
        <v>3.71</v>
      </c>
      <c r="AA30" s="121">
        <f t="shared" si="8"/>
        <v>3.71</v>
      </c>
      <c r="AB30" s="121">
        <f t="shared" si="8"/>
        <v>3.71</v>
      </c>
      <c r="AC30" s="121">
        <f t="shared" si="8"/>
        <v>3.71</v>
      </c>
      <c r="AD30" s="121">
        <f t="shared" si="8"/>
        <v>3.71</v>
      </c>
      <c r="AE30" s="121">
        <f t="shared" si="8"/>
        <v>3.71</v>
      </c>
      <c r="AF30" s="121">
        <f t="shared" si="8"/>
        <v>3.71</v>
      </c>
      <c r="AG30" s="121">
        <f t="shared" si="8"/>
        <v>3.71</v>
      </c>
      <c r="AH30" s="121">
        <f t="shared" si="8"/>
        <v>3.71</v>
      </c>
      <c r="AI30" s="121">
        <f t="shared" si="8"/>
        <v>3.71</v>
      </c>
      <c r="AJ30" s="121">
        <f t="shared" si="8"/>
        <v>3.71</v>
      </c>
      <c r="AK30" s="121">
        <f t="shared" si="8"/>
        <v>3.71</v>
      </c>
    </row>
    <row r="31" spans="1:37" x14ac:dyDescent="0.25">
      <c r="A31" s="124" t="s">
        <v>1020</v>
      </c>
      <c r="B31" s="121">
        <f>'Chem - HCFC 22 Production'!B26</f>
        <v>7.3894352180000018</v>
      </c>
      <c r="C31" s="121">
        <f>'Chem - HCFC 22 Production'!C26</f>
        <v>7.6678847789000004</v>
      </c>
      <c r="D31" s="121">
        <f>'Chem - HCFC 22 Production'!D26</f>
        <v>7.9602568178450008</v>
      </c>
      <c r="E31" s="121">
        <f>'Chem - HCFC 22 Production'!E26</f>
        <v>8.2672474587372484</v>
      </c>
      <c r="F31" s="121">
        <f>'Chem - HCFC 22 Production'!F26</f>
        <v>8.5895876316741138</v>
      </c>
      <c r="G31" s="121">
        <f>'Chem - HCFC 22 Production'!G26</f>
        <v>8.9280448132578183</v>
      </c>
      <c r="H31" s="121">
        <f>'Chem - HCFC 22 Production'!H26</f>
        <v>7.4629808539207101</v>
      </c>
      <c r="I31" s="121">
        <f>'Chem - HCFC 22 Production'!I26</f>
        <v>7.836129896616745</v>
      </c>
      <c r="J31" s="121">
        <f>'Chem - HCFC 22 Production'!J26</f>
        <v>8.2279363914475834</v>
      </c>
      <c r="K31" s="121">
        <f>'Chem - HCFC 22 Production'!K26</f>
        <v>8.6393332110199612</v>
      </c>
      <c r="L31" s="121">
        <f>'Chem - HCFC 22 Production'!L26</f>
        <v>9.0712998715709592</v>
      </c>
      <c r="M31" s="121">
        <f>'Chem - HCFC 22 Production'!M26</f>
        <v>9.5248648651495085</v>
      </c>
      <c r="N31" s="121">
        <f>'Chem - HCFC 22 Production'!N26</f>
        <v>10.001108108406987</v>
      </c>
      <c r="O31" s="121">
        <f>'Chem - HCFC 22 Production'!O26</f>
        <v>10.501163513827334</v>
      </c>
      <c r="P31" s="121">
        <f>'Chem - HCFC 22 Production'!P26</f>
        <v>11.026221689518701</v>
      </c>
      <c r="Q31" s="121">
        <f>'Chem - HCFC 22 Production'!Q26</f>
        <v>11.577532773994635</v>
      </c>
      <c r="R31" s="121">
        <f>'Chem - HCFC 22 Production'!R26</f>
        <v>12.156409412694369</v>
      </c>
      <c r="S31" s="121">
        <f>'Chem - HCFC 22 Production'!S26</f>
        <v>12.764229883329087</v>
      </c>
      <c r="T31" s="121">
        <f>'Chem - HCFC 22 Production'!T26</f>
        <v>13.40244137749554</v>
      </c>
      <c r="U31" s="121">
        <f>'Chem - HCFC 22 Production'!U26</f>
        <v>14.072563446370319</v>
      </c>
      <c r="V31" s="121">
        <f>'Chem - HCFC 22 Production'!V26</f>
        <v>14.776191618688836</v>
      </c>
      <c r="W31" s="121">
        <f>'Chem - HCFC 22 Production'!W26</f>
        <v>15.515001199623276</v>
      </c>
      <c r="X31" s="121">
        <f>'Chem - HCFC 22 Production'!X26</f>
        <v>16.290751259604438</v>
      </c>
      <c r="Y31" s="121">
        <f>'Chem - HCFC 22 Production'!Y26</f>
        <v>17.105288822584662</v>
      </c>
      <c r="Z31" s="121">
        <f>'Chem - HCFC 22 Production'!Z26</f>
        <v>17.960553263713898</v>
      </c>
      <c r="AA31" s="121">
        <f>'Chem - HCFC 22 Production'!AA26</f>
        <v>18.858580926899588</v>
      </c>
      <c r="AB31" s="121">
        <f>'Chem - HCFC 22 Production'!AB26</f>
        <v>19.801509973244571</v>
      </c>
      <c r="AC31" s="121">
        <f>'Chem - HCFC 22 Production'!AC26</f>
        <v>20.791585471906792</v>
      </c>
      <c r="AD31" s="121">
        <f>'Chem - HCFC 22 Production'!AD26</f>
        <v>21.831164745502143</v>
      </c>
      <c r="AE31" s="121">
        <f>'Chem - HCFC 22 Production'!AE26</f>
        <v>22.922722982777248</v>
      </c>
      <c r="AF31" s="121">
        <f>'Chem - HCFC 22 Production'!AF26</f>
        <v>24.06885913191611</v>
      </c>
      <c r="AG31" s="121">
        <f>'Chem - HCFC 22 Production'!AG26</f>
        <v>25.272302088511918</v>
      </c>
      <c r="AH31" s="121">
        <f>'Chem - HCFC 22 Production'!AH26</f>
        <v>26.535917192937514</v>
      </c>
      <c r="AI31" s="121">
        <f>'Chem - HCFC 22 Production'!AI26</f>
        <v>27.862713052584386</v>
      </c>
      <c r="AJ31" s="121">
        <f>'Chem - HCFC 22 Production'!AJ26</f>
        <v>29.255848705213612</v>
      </c>
      <c r="AK31" s="121">
        <f>'Chem - HCFC 22 Production'!AK26</f>
        <v>30.718641140474283</v>
      </c>
    </row>
    <row r="32" spans="1:37" x14ac:dyDescent="0.25">
      <c r="A32" s="124" t="s">
        <v>1021</v>
      </c>
      <c r="B32" s="121">
        <f>'Chem - ODS'!B11/10^6</f>
        <v>212</v>
      </c>
      <c r="C32" s="121">
        <f>'Chem - ODS'!C11/10^6</f>
        <v>220</v>
      </c>
      <c r="D32" s="121">
        <f>'Chem - ODS'!D11/10^6</f>
        <v>228</v>
      </c>
      <c r="E32" s="121">
        <f>'Chem - ODS'!E11/10^6</f>
        <v>236</v>
      </c>
      <c r="F32" s="121">
        <f>'Chem - ODS'!F11/10^6</f>
        <v>244</v>
      </c>
      <c r="G32" s="121">
        <f>'Chem - ODS'!G11/10^6</f>
        <v>252</v>
      </c>
      <c r="H32" s="121">
        <f>'Chem - ODS'!H11/10^6</f>
        <v>262.59999999999854</v>
      </c>
      <c r="I32" s="121">
        <f>'Chem - ODS'!I11/10^6</f>
        <v>273.20000000000073</v>
      </c>
      <c r="J32" s="121">
        <f>'Chem - ODS'!J11/10^6</f>
        <v>283.79999999999927</v>
      </c>
      <c r="K32" s="121">
        <f>'Chem - ODS'!K11/10^6</f>
        <v>294.39999999999782</v>
      </c>
      <c r="L32" s="121">
        <f>'Chem - ODS'!L11/10^6</f>
        <v>305</v>
      </c>
      <c r="M32" s="121">
        <f>'Chem - ODS'!M11/10^6</f>
        <v>306.60000000000036</v>
      </c>
      <c r="N32" s="121">
        <f>'Chem - ODS'!N11/10^6</f>
        <v>308.20000000000027</v>
      </c>
      <c r="O32" s="121">
        <f>'Chem - ODS'!O11/10^6</f>
        <v>309.80000000000018</v>
      </c>
      <c r="P32" s="121">
        <f>'Chem - ODS'!P11/10^6</f>
        <v>311.40000000000009</v>
      </c>
      <c r="Q32" s="121">
        <f>'Chem - ODS'!Q11/10^6</f>
        <v>313</v>
      </c>
      <c r="R32" s="121">
        <f>'Chem - ODS'!R11/10^6</f>
        <v>317.40000000000146</v>
      </c>
      <c r="S32" s="121">
        <f>'Chem - ODS'!S11/10^6</f>
        <v>321.80000000000109</v>
      </c>
      <c r="T32" s="121">
        <f>'Chem - ODS'!T11/10^6</f>
        <v>326.20000000000073</v>
      </c>
      <c r="U32" s="121">
        <f>'Chem - ODS'!U11/10^6</f>
        <v>330.60000000000036</v>
      </c>
      <c r="V32" s="121">
        <f>'Chem - ODS'!V11/10^6</f>
        <v>335</v>
      </c>
      <c r="W32" s="121">
        <f>'Chem - ODS'!W11/10^6</f>
        <v>339.79999999999927</v>
      </c>
      <c r="X32" s="121">
        <f>'Chem - ODS'!X11/10^6</f>
        <v>344.60000000000036</v>
      </c>
      <c r="Y32" s="121">
        <f>'Chem - ODS'!Y11/10^6</f>
        <v>349.39999999999964</v>
      </c>
      <c r="Z32" s="121">
        <f>'Chem - ODS'!Z11/10^6</f>
        <v>354.19999999999891</v>
      </c>
      <c r="AA32" s="121">
        <f>'Chem - ODS'!AA11/10^6</f>
        <v>359</v>
      </c>
      <c r="AB32" s="121">
        <f>'Chem - ODS'!AB11/10^6</f>
        <v>363</v>
      </c>
      <c r="AC32" s="121">
        <f>'Chem - ODS'!AC11/10^6</f>
        <v>367</v>
      </c>
      <c r="AD32" s="121">
        <f>'Chem - ODS'!AD11/10^6</f>
        <v>371</v>
      </c>
      <c r="AE32" s="121">
        <f>'Chem - ODS'!AE11/10^6</f>
        <v>375</v>
      </c>
      <c r="AF32" s="121">
        <f>'Chem - ODS'!AF11/10^6</f>
        <v>379</v>
      </c>
      <c r="AG32" s="121">
        <f>'Chem - ODS'!AG11/10^6</f>
        <v>382</v>
      </c>
      <c r="AH32" s="121">
        <f>'Chem - ODS'!AH11/10^6</f>
        <v>385</v>
      </c>
      <c r="AI32" s="121">
        <f>'Chem - ODS'!AI11/10^6</f>
        <v>388</v>
      </c>
      <c r="AJ32" s="121">
        <f>'Chem - ODS'!AJ11/10^6</f>
        <v>391</v>
      </c>
      <c r="AK32" s="121">
        <f>'Chem - ODS'!AK11/10^6</f>
        <v>394</v>
      </c>
    </row>
    <row r="33" spans="1:37" x14ac:dyDescent="0.25">
      <c r="A33" s="138" t="s">
        <v>1268</v>
      </c>
      <c r="B33" s="121">
        <f>'Non-Energy FF CO2 Emissions'!B32</f>
        <v>97.600000000000009</v>
      </c>
      <c r="C33" s="121">
        <f>'Non-Energy FF CO2 Emissions'!C32</f>
        <v>100.27952071390992</v>
      </c>
      <c r="D33" s="121">
        <f>'Non-Energy FF CO2 Emissions'!D32</f>
        <v>108.87663103243267</v>
      </c>
      <c r="E33" s="121">
        <f>'Non-Energy FF CO2 Emissions'!E32</f>
        <v>112.92668225451689</v>
      </c>
      <c r="F33" s="121">
        <f>'Non-Energy FF CO2 Emissions'!F32</f>
        <v>117.14086426049157</v>
      </c>
      <c r="G33" s="121">
        <f>'Non-Energy FF CO2 Emissions'!G32</f>
        <v>117.58825526600465</v>
      </c>
      <c r="H33" s="121">
        <f>'Non-Energy FF CO2 Emissions'!H32</f>
        <v>119.39939335999138</v>
      </c>
      <c r="I33" s="121">
        <f>'Non-Energy FF CO2 Emissions'!I32</f>
        <v>121.95791395083936</v>
      </c>
      <c r="J33" s="121">
        <f>'Non-Energy FF CO2 Emissions'!J32</f>
        <v>124.29908538261975</v>
      </c>
      <c r="K33" s="121">
        <f>'Non-Energy FF CO2 Emissions'!K32</f>
        <v>125.94731650554866</v>
      </c>
      <c r="L33" s="121">
        <f>'Non-Energy FF CO2 Emissions'!L32</f>
        <v>127.02642221220292</v>
      </c>
      <c r="M33" s="121">
        <f>'Non-Energy FF CO2 Emissions'!M32</f>
        <v>128.3160062430218</v>
      </c>
      <c r="N33" s="121">
        <f>'Non-Energy FF CO2 Emissions'!N32</f>
        <v>128.41459310820696</v>
      </c>
      <c r="O33" s="121">
        <f>'Non-Energy FF CO2 Emissions'!O32</f>
        <v>128.89534175492827</v>
      </c>
      <c r="P33" s="121">
        <f>'Non-Energy FF CO2 Emissions'!P32</f>
        <v>129.92192840802409</v>
      </c>
      <c r="Q33" s="121">
        <f>'Non-Energy FF CO2 Emissions'!Q32</f>
        <v>131.07510975713086</v>
      </c>
      <c r="R33" s="121">
        <f>'Non-Energy FF CO2 Emissions'!R32</f>
        <v>132.09472067708091</v>
      </c>
      <c r="S33" s="121">
        <f>'Non-Energy FF CO2 Emissions'!S32</f>
        <v>133.06710990473357</v>
      </c>
      <c r="T33" s="121">
        <f>'Non-Energy FF CO2 Emissions'!T32</f>
        <v>133.70345761159814</v>
      </c>
      <c r="U33" s="121">
        <f>'Non-Energy FF CO2 Emissions'!U32</f>
        <v>134.86940158024476</v>
      </c>
      <c r="V33" s="121">
        <f>'Non-Energy FF CO2 Emissions'!V32</f>
        <v>135.90745710788596</v>
      </c>
      <c r="W33" s="121">
        <f>'Non-Energy FF CO2 Emissions'!W32</f>
        <v>137.17840421756858</v>
      </c>
      <c r="X33" s="121">
        <f>'Non-Energy FF CO2 Emissions'!X32</f>
        <v>138.22780623847191</v>
      </c>
      <c r="Y33" s="121">
        <f>'Non-Energy FF CO2 Emissions'!Y32</f>
        <v>139.48272140004767</v>
      </c>
      <c r="Z33" s="121">
        <f>'Non-Energy FF CO2 Emissions'!Z32</f>
        <v>141.02084433412455</v>
      </c>
      <c r="AA33" s="121">
        <f>'Non-Energy FF CO2 Emissions'!AA32</f>
        <v>141.90330080162249</v>
      </c>
      <c r="AB33" s="121">
        <f>'Non-Energy FF CO2 Emissions'!AB32</f>
        <v>142.23493659621326</v>
      </c>
      <c r="AC33" s="121">
        <f>'Non-Energy FF CO2 Emissions'!AC32</f>
        <v>142.66533408639384</v>
      </c>
      <c r="AD33" s="121">
        <f>'Non-Energy FF CO2 Emissions'!AD32</f>
        <v>143.25024668820879</v>
      </c>
      <c r="AE33" s="121">
        <f>'Non-Energy FF CO2 Emissions'!AE32</f>
        <v>143.8945841445661</v>
      </c>
      <c r="AF33" s="121">
        <f>'Non-Energy FF CO2 Emissions'!AF32</f>
        <v>144.61621412282159</v>
      </c>
      <c r="AG33" s="121">
        <f>'Non-Energy FF CO2 Emissions'!AG32</f>
        <v>145.09526691461778</v>
      </c>
      <c r="AH33" s="121">
        <f>'Non-Energy FF CO2 Emissions'!AH32</f>
        <v>146.12473826939038</v>
      </c>
      <c r="AI33" s="121">
        <f>'Non-Energy FF CO2 Emissions'!AI32</f>
        <v>147.01992239034723</v>
      </c>
      <c r="AJ33" s="121">
        <f>'Non-Energy FF CO2 Emissions'!AJ32</f>
        <v>148.23041314610003</v>
      </c>
      <c r="AK33" s="121">
        <f>'Non-Energy FF CO2 Emissions'!AK32</f>
        <v>149.8852353752844</v>
      </c>
    </row>
    <row r="34" spans="1:37" x14ac:dyDescent="0.25">
      <c r="A34" s="124" t="s">
        <v>1833</v>
      </c>
      <c r="B34" s="121">
        <f>'Other Industrial Processes'!C525/1000</f>
        <v>14.587</v>
      </c>
      <c r="C34" s="121">
        <f>'Other Industrial Processes'!D525/1000</f>
        <v>14.791096983832553</v>
      </c>
      <c r="D34" s="121">
        <f>'Other Industrial Processes'!E525/1000</f>
        <v>14.992835194158337</v>
      </c>
      <c r="E34" s="121">
        <f>'Other Industrial Processes'!F525/1000</f>
        <v>15.194743678397366</v>
      </c>
      <c r="F34" s="121">
        <f>'Other Industrial Processes'!G525/1000</f>
        <v>15.39682087691379</v>
      </c>
      <c r="G34" s="121">
        <f>'Other Industrial Processes'!H525/1000</f>
        <v>15.599065245949863</v>
      </c>
      <c r="H34" s="121">
        <f>'Other Industrial Processes'!I525/1000</f>
        <v>15.801475257456568</v>
      </c>
      <c r="I34" s="121">
        <f>'Other Industrial Processes'!J525/1000</f>
        <v>16.004049398926018</v>
      </c>
      <c r="J34" s="121">
        <f>'Other Industrial Processes'!K525/1000</f>
        <v>16.206786173225716</v>
      </c>
      <c r="K34" s="121">
        <f>'Other Industrial Processes'!L525/1000</f>
        <v>16.409684098434603</v>
      </c>
      <c r="L34" s="121">
        <f>'Other Industrial Processes'!M525/1000</f>
        <v>16.612741707680907</v>
      </c>
      <c r="M34" s="121">
        <f>'Other Industrial Processes'!N525/1000</f>
        <v>16.815957548981725</v>
      </c>
      <c r="N34" s="121">
        <f>'Other Industrial Processes'!O525/1000</f>
        <v>17.01933018508436</v>
      </c>
      <c r="O34" s="121">
        <f>'Other Industrial Processes'!P525/1000</f>
        <v>17.222858193309399</v>
      </c>
      <c r="P34" s="121">
        <f>'Other Industrial Processes'!Q525/1000</f>
        <v>17.426540165395465</v>
      </c>
      <c r="Q34" s="121">
        <f>'Other Industrial Processes'!R525/1000</f>
        <v>17.630374707345695</v>
      </c>
      <c r="R34" s="121">
        <f>'Other Industrial Processes'!S525/1000</f>
        <v>17.834360439275819</v>
      </c>
      <c r="S34" s="121">
        <f>'Other Industrial Processes'!T525/1000</f>
        <v>18.038495995263993</v>
      </c>
      <c r="T34" s="121">
        <f>'Other Industrial Processes'!U525/1000</f>
        <v>18.242780023202148</v>
      </c>
      <c r="U34" s="121">
        <f>'Other Industrial Processes'!V525/1000</f>
        <v>18.447211184649035</v>
      </c>
      <c r="V34" s="121">
        <f>'Other Industrial Processes'!W525/1000</f>
        <v>18.651788154684827</v>
      </c>
      <c r="W34" s="121">
        <f>'Other Industrial Processes'!X525/1000</f>
        <v>18.856509621767326</v>
      </c>
      <c r="X34" s="121">
        <f>'Other Industrial Processes'!Y525/1000</f>
        <v>19.061374287589718</v>
      </c>
      <c r="Y34" s="121">
        <f>'Other Industrial Processes'!Z525/1000</f>
        <v>19.266380866939834</v>
      </c>
      <c r="Z34" s="121">
        <f>'Other Industrial Processes'!AA525/1000</f>
        <v>19.471528087561019</v>
      </c>
      <c r="AA34" s="121">
        <f>'Other Industrial Processes'!AB525/1000</f>
        <v>19.676814690014446</v>
      </c>
      <c r="AB34" s="121">
        <f>'Other Industrial Processes'!AC525/1000</f>
        <v>19.882239427542956</v>
      </c>
      <c r="AC34" s="121">
        <f>'Other Industrial Processes'!AD525/1000</f>
        <v>20.087801065936347</v>
      </c>
      <c r="AD34" s="121">
        <f>'Other Industrial Processes'!AE525/1000</f>
        <v>20.293498383398166</v>
      </c>
      <c r="AE34" s="121">
        <f>'Other Industrial Processes'!AF525/1000</f>
        <v>20.499330170413923</v>
      </c>
      <c r="AF34" s="121">
        <f>'Other Industrial Processes'!AG525/1000</f>
        <v>20.705295229620706</v>
      </c>
      <c r="AG34" s="121">
        <f>'Other Industrial Processes'!AH525/1000</f>
        <v>20.911392375678272</v>
      </c>
      <c r="AH34" s="121">
        <f>'Other Industrial Processes'!AI525/1000</f>
        <v>21.11762043514149</v>
      </c>
      <c r="AI34" s="121">
        <f>'Other Industrial Processes'!AJ525/1000</f>
        <v>21.323978246334192</v>
      </c>
      <c r="AJ34" s="121">
        <f>'Other Industrial Processes'!AK525/1000</f>
        <v>21.530464659224364</v>
      </c>
      <c r="AK34" s="121">
        <f>'Other Industrial Processes'!AL525/1000</f>
        <v>21.737078535300721</v>
      </c>
    </row>
    <row r="35" spans="1:37" x14ac:dyDescent="0.25">
      <c r="A35" s="124" t="s">
        <v>1834</v>
      </c>
      <c r="B35" s="121">
        <f>'Other Industrial Processes'!C526/1000*N2O_to_CO2e</f>
        <v>10.335000000000001</v>
      </c>
      <c r="C35" s="121">
        <f>'Other Industrial Processes'!D526/1000*N2O_to_CO2e</f>
        <v>10.393888888888888</v>
      </c>
      <c r="D35" s="121">
        <f>'Other Industrial Processes'!E526/1000*N2O_to_CO2e</f>
        <v>10.452777777777778</v>
      </c>
      <c r="E35" s="121">
        <f>'Other Industrial Processes'!F526/1000*N2O_to_CO2e</f>
        <v>10.511666666666665</v>
      </c>
      <c r="F35" s="121">
        <f>'Other Industrial Processes'!G526/1000*N2O_to_CO2e</f>
        <v>10.570555555555554</v>
      </c>
      <c r="G35" s="121">
        <f>'Other Industrial Processes'!H526/1000*N2O_to_CO2e</f>
        <v>10.629444444444443</v>
      </c>
      <c r="H35" s="121">
        <f>'Other Industrial Processes'!I526/1000*N2O_to_CO2e</f>
        <v>10.688333333333331</v>
      </c>
      <c r="I35" s="121">
        <f>'Other Industrial Processes'!J526/1000*N2O_to_CO2e</f>
        <v>10.747222222222222</v>
      </c>
      <c r="J35" s="121">
        <f>'Other Industrial Processes'!K526/1000*N2O_to_CO2e</f>
        <v>10.806111111111109</v>
      </c>
      <c r="K35" s="121">
        <f>'Other Industrial Processes'!L526/1000*N2O_to_CO2e</f>
        <v>10.864999999999998</v>
      </c>
      <c r="L35" s="121">
        <f>'Other Industrial Processes'!M526/1000*N2O_to_CO2e</f>
        <v>10.923888888888888</v>
      </c>
      <c r="M35" s="121">
        <f>'Other Industrial Processes'!N526/1000*N2O_to_CO2e</f>
        <v>10.982777777777775</v>
      </c>
      <c r="N35" s="121">
        <f>'Other Industrial Processes'!O526/1000*N2O_to_CO2e</f>
        <v>11.041666666666664</v>
      </c>
      <c r="O35" s="121">
        <f>'Other Industrial Processes'!P526/1000*N2O_to_CO2e</f>
        <v>11.100555555555554</v>
      </c>
      <c r="P35" s="121">
        <f>'Other Industrial Processes'!Q526/1000*N2O_to_CO2e</f>
        <v>11.159444444444441</v>
      </c>
      <c r="Q35" s="121">
        <f>'Other Industrial Processes'!R526/1000*N2O_to_CO2e</f>
        <v>11.21833333333333</v>
      </c>
      <c r="R35" s="121">
        <f>'Other Industrial Processes'!S526/1000*N2O_to_CO2e</f>
        <v>11.277222222222218</v>
      </c>
      <c r="S35" s="121">
        <f>'Other Industrial Processes'!T526/1000*N2O_to_CO2e</f>
        <v>11.336111111111107</v>
      </c>
      <c r="T35" s="121">
        <f>'Other Industrial Processes'!U526/1000*N2O_to_CO2e</f>
        <v>11.394999999999996</v>
      </c>
      <c r="U35" s="121">
        <f>'Other Industrial Processes'!V526/1000*N2O_to_CO2e</f>
        <v>11.453888888888885</v>
      </c>
      <c r="V35" s="121">
        <f>'Other Industrial Processes'!W526/1000*N2O_to_CO2e</f>
        <v>11.512777777777774</v>
      </c>
      <c r="W35" s="121">
        <f>'Other Industrial Processes'!X526/1000*N2O_to_CO2e</f>
        <v>11.571666666666664</v>
      </c>
      <c r="X35" s="121">
        <f>'Other Industrial Processes'!Y526/1000*N2O_to_CO2e</f>
        <v>11.630555555555551</v>
      </c>
      <c r="Y35" s="121">
        <f>'Other Industrial Processes'!Z526/1000*N2O_to_CO2e</f>
        <v>11.68944444444444</v>
      </c>
      <c r="Z35" s="121">
        <f>'Other Industrial Processes'!AA526/1000*N2O_to_CO2e</f>
        <v>11.748333333333328</v>
      </c>
      <c r="AA35" s="121">
        <f>'Other Industrial Processes'!AB526/1000*N2O_to_CO2e</f>
        <v>11.807222222222217</v>
      </c>
      <c r="AB35" s="121">
        <f>'Other Industrial Processes'!AC526/1000*N2O_to_CO2e</f>
        <v>11.866111111111106</v>
      </c>
      <c r="AC35" s="121">
        <f>'Other Industrial Processes'!AD526/1000*N2O_to_CO2e</f>
        <v>11.924999999999994</v>
      </c>
      <c r="AD35" s="121">
        <f>'Other Industrial Processes'!AE526/1000*N2O_to_CO2e</f>
        <v>11.983888888888883</v>
      </c>
      <c r="AE35" s="121">
        <f>'Other Industrial Processes'!AF526/1000*N2O_to_CO2e</f>
        <v>12.04277777777777</v>
      </c>
      <c r="AF35" s="121">
        <f>'Other Industrial Processes'!AG526/1000*N2O_to_CO2e</f>
        <v>12.101666666666659</v>
      </c>
      <c r="AG35" s="121">
        <f>'Other Industrial Processes'!AH526/1000*N2O_to_CO2e</f>
        <v>12.160555555555549</v>
      </c>
      <c r="AH35" s="121">
        <f>'Other Industrial Processes'!AI526/1000*N2O_to_CO2e</f>
        <v>12.219444444444438</v>
      </c>
      <c r="AI35" s="121">
        <f>'Other Industrial Processes'!AJ526/1000*N2O_to_CO2e</f>
        <v>12.278333333333327</v>
      </c>
      <c r="AJ35" s="121">
        <f>'Other Industrial Processes'!AK526/1000*N2O_to_CO2e</f>
        <v>12.337222222222216</v>
      </c>
      <c r="AK35" s="121">
        <f>'Other Industrial Processes'!AL526/1000*N2O_to_CO2e</f>
        <v>12.396111111111104</v>
      </c>
    </row>
    <row r="36" spans="1:37" x14ac:dyDescent="0.25">
      <c r="A36" s="124"/>
      <c r="B36" s="121"/>
      <c r="C36" s="125"/>
      <c r="D36" s="125"/>
      <c r="E36" s="125"/>
      <c r="F36" s="125"/>
      <c r="G36" s="125"/>
      <c r="H36" s="125"/>
      <c r="I36" s="125"/>
      <c r="J36" s="125"/>
    </row>
    <row r="37" spans="1:37" x14ac:dyDescent="0.25">
      <c r="A37" s="124"/>
      <c r="B37" s="121"/>
      <c r="C37" s="125"/>
      <c r="D37" s="125"/>
      <c r="E37" s="125"/>
      <c r="F37" s="125"/>
      <c r="G37" s="125"/>
      <c r="H37" s="125"/>
      <c r="I37" s="125"/>
      <c r="J37" s="125"/>
    </row>
    <row r="38" spans="1:37" x14ac:dyDescent="0.25">
      <c r="A38" s="113" t="s">
        <v>1022</v>
      </c>
      <c r="B38" s="126"/>
      <c r="C38" s="126"/>
      <c r="D38" s="126"/>
      <c r="E38" s="126"/>
      <c r="F38" s="126"/>
      <c r="G38" s="126"/>
      <c r="H38" s="126"/>
      <c r="I38" s="126"/>
      <c r="J38" s="126"/>
    </row>
    <row r="39" spans="1:37" x14ac:dyDescent="0.25">
      <c r="A39" s="115" t="s">
        <v>1023</v>
      </c>
      <c r="B39" s="127">
        <f>SUM(B40:B43)</f>
        <v>75.376000000000005</v>
      </c>
      <c r="C39" s="127">
        <f t="shared" ref="C39:AK39" si="9">SUM(C40:C43)</f>
        <v>68.713480258627953</v>
      </c>
      <c r="D39" s="127">
        <f t="shared" si="9"/>
        <v>69.936915475616672</v>
      </c>
      <c r="E39" s="127">
        <f t="shared" si="9"/>
        <v>68.121959871192232</v>
      </c>
      <c r="F39" s="127">
        <f t="shared" si="9"/>
        <v>71.724973477519427</v>
      </c>
      <c r="G39" s="127">
        <f t="shared" si="9"/>
        <v>75.102330252250297</v>
      </c>
      <c r="H39" s="127">
        <f t="shared" si="9"/>
        <v>73.566984426641511</v>
      </c>
      <c r="I39" s="127">
        <f t="shared" si="9"/>
        <v>75.863973526614828</v>
      </c>
      <c r="J39" s="127">
        <f t="shared" si="9"/>
        <v>75.904245063197848</v>
      </c>
      <c r="K39" s="127">
        <f t="shared" si="9"/>
        <v>75.296589940397965</v>
      </c>
      <c r="L39" s="127">
        <f t="shared" si="9"/>
        <v>73.258814230448081</v>
      </c>
      <c r="M39" s="127">
        <f t="shared" si="9"/>
        <v>72.334729399707939</v>
      </c>
      <c r="N39" s="127">
        <f t="shared" si="9"/>
        <v>72.56398900976049</v>
      </c>
      <c r="O39" s="127">
        <f t="shared" si="9"/>
        <v>71.930161064535298</v>
      </c>
      <c r="P39" s="127">
        <f t="shared" si="9"/>
        <v>71.864455588485015</v>
      </c>
      <c r="Q39" s="127">
        <f t="shared" si="9"/>
        <v>71.700890729347321</v>
      </c>
      <c r="R39" s="127">
        <f t="shared" si="9"/>
        <v>71.954439484498948</v>
      </c>
      <c r="S39" s="127">
        <f t="shared" si="9"/>
        <v>72.713441245257172</v>
      </c>
      <c r="T39" s="127">
        <f t="shared" si="9"/>
        <v>73.155597345535668</v>
      </c>
      <c r="U39" s="127">
        <f t="shared" si="9"/>
        <v>72.549420464143239</v>
      </c>
      <c r="V39" s="127">
        <f t="shared" si="9"/>
        <v>72.87826072668247</v>
      </c>
      <c r="W39" s="127">
        <f t="shared" si="9"/>
        <v>74.221884183605454</v>
      </c>
      <c r="X39" s="127">
        <f t="shared" si="9"/>
        <v>76.125318217649948</v>
      </c>
      <c r="Y39" s="127">
        <f t="shared" si="9"/>
        <v>77.31307335088843</v>
      </c>
      <c r="Z39" s="127">
        <f t="shared" si="9"/>
        <v>77.657687056540226</v>
      </c>
      <c r="AA39" s="127">
        <f t="shared" si="9"/>
        <v>78.148947315400008</v>
      </c>
      <c r="AB39" s="127">
        <f t="shared" si="9"/>
        <v>78.115032246214298</v>
      </c>
      <c r="AC39" s="127">
        <f t="shared" si="9"/>
        <v>78.418988152351133</v>
      </c>
      <c r="AD39" s="127">
        <f t="shared" si="9"/>
        <v>78.460165505601154</v>
      </c>
      <c r="AE39" s="127">
        <f t="shared" si="9"/>
        <v>78.905005944601584</v>
      </c>
      <c r="AF39" s="127">
        <f t="shared" si="9"/>
        <v>79.584779767825282</v>
      </c>
      <c r="AG39" s="127">
        <f t="shared" si="9"/>
        <v>79.498391710265224</v>
      </c>
      <c r="AH39" s="127">
        <f t="shared" si="9"/>
        <v>79.990595073157422</v>
      </c>
      <c r="AI39" s="127">
        <f t="shared" si="9"/>
        <v>80.184388330242712</v>
      </c>
      <c r="AJ39" s="127">
        <f t="shared" si="9"/>
        <v>79.94897180918818</v>
      </c>
      <c r="AK39" s="127">
        <f t="shared" si="9"/>
        <v>79.894890792310321</v>
      </c>
    </row>
    <row r="40" spans="1:37" x14ac:dyDescent="0.25">
      <c r="A40" t="s">
        <v>1285</v>
      </c>
      <c r="B40" s="128">
        <f>'Coal Mining'!B43*CH4_to_CO2e/1000</f>
        <v>74.256</v>
      </c>
      <c r="C40" s="128">
        <f>'Coal Mining'!C43*CH4_to_CO2e/1000</f>
        <v>68.576235331516969</v>
      </c>
      <c r="D40" s="128">
        <f>'Coal Mining'!D43*CH4_to_CO2e/1000</f>
        <v>70.019639106872404</v>
      </c>
      <c r="E40" s="128">
        <f>'Coal Mining'!E43*CH4_to_CO2e/1000</f>
        <v>67.023993263710466</v>
      </c>
      <c r="F40" s="128">
        <f>'Coal Mining'!F43*CH4_to_CO2e/1000</f>
        <v>70.993250351480924</v>
      </c>
      <c r="G40" s="128">
        <f>'Coal Mining'!G43*CH4_to_CO2e/1000</f>
        <v>75.307830698790383</v>
      </c>
      <c r="H40" s="128">
        <f>'Coal Mining'!H43*CH4_to_CO2e/1000</f>
        <v>73.068509616741522</v>
      </c>
      <c r="I40" s="128">
        <f>'Coal Mining'!I43*CH4_to_CO2e/1000</f>
        <v>76.375075896166749</v>
      </c>
      <c r="J40" s="128">
        <f>'Coal Mining'!J43*CH4_to_CO2e/1000</f>
        <v>76.249897849163702</v>
      </c>
      <c r="K40" s="128">
        <f>'Coal Mining'!K43*CH4_to_CO2e/1000</f>
        <v>75.02899500434556</v>
      </c>
      <c r="L40" s="128">
        <f>'Coal Mining'!L43*CH4_to_CO2e/1000</f>
        <v>72.064528153468544</v>
      </c>
      <c r="M40" s="128">
        <f>'Coal Mining'!M43*CH4_to_CO2e/1000</f>
        <v>70.730134095407678</v>
      </c>
      <c r="N40" s="128">
        <f>'Coal Mining'!N43*CH4_to_CO2e/1000</f>
        <v>70.885661482408295</v>
      </c>
      <c r="O40" s="128">
        <f>'Coal Mining'!O43*CH4_to_CO2e/1000</f>
        <v>69.768423690894494</v>
      </c>
      <c r="P40" s="128">
        <f>'Coal Mining'!P43*CH4_to_CO2e/1000</f>
        <v>69.433127685821816</v>
      </c>
      <c r="Q40" s="128">
        <f>'Coal Mining'!Q43*CH4_to_CO2e/1000</f>
        <v>69.074486858755051</v>
      </c>
      <c r="R40" s="128">
        <f>'Coal Mining'!R43*CH4_to_CO2e/1000</f>
        <v>69.529322846627707</v>
      </c>
      <c r="S40" s="128">
        <f>'Coal Mining'!S43*CH4_to_CO2e/1000</f>
        <v>70.709543609119876</v>
      </c>
      <c r="T40" s="128">
        <f>'Coal Mining'!T43*CH4_to_CO2e/1000</f>
        <v>71.394983648015796</v>
      </c>
      <c r="U40" s="128">
        <f>'Coal Mining'!U43*CH4_to_CO2e/1000</f>
        <v>70.785584537887075</v>
      </c>
      <c r="V40" s="128">
        <f>'Coal Mining'!V43*CH4_to_CO2e/1000</f>
        <v>71.347590173179896</v>
      </c>
      <c r="W40" s="128">
        <f>'Coal Mining'!W43*CH4_to_CO2e/1000</f>
        <v>73.46890145893228</v>
      </c>
      <c r="X40" s="128">
        <f>'Coal Mining'!X43*CH4_to_CO2e/1000</f>
        <v>76.352565396688121</v>
      </c>
      <c r="Y40" s="128">
        <f>'Coal Mining'!Y43*CH4_to_CO2e/1000</f>
        <v>78.147144502120668</v>
      </c>
      <c r="Z40" s="128">
        <f>'Coal Mining'!Z43*CH4_to_CO2e/1000</f>
        <v>78.843449964068569</v>
      </c>
      <c r="AA40" s="128">
        <f>'Coal Mining'!AA43*CH4_to_CO2e/1000</f>
        <v>79.738886535103333</v>
      </c>
      <c r="AB40" s="128">
        <f>'Coal Mining'!AB43*CH4_to_CO2e/1000</f>
        <v>79.823487167833846</v>
      </c>
      <c r="AC40" s="128">
        <f>'Coal Mining'!AC43*CH4_to_CO2e/1000</f>
        <v>80.193882134889535</v>
      </c>
      <c r="AD40" s="128">
        <f>'Coal Mining'!AD43*CH4_to_CO2e/1000</f>
        <v>80.268145629782865</v>
      </c>
      <c r="AE40" s="128">
        <f>'Coal Mining'!AE43*CH4_to_CO2e/1000</f>
        <v>80.821415466040747</v>
      </c>
      <c r="AF40" s="128">
        <f>'Coal Mining'!AF43*CH4_to_CO2e/1000</f>
        <v>81.845467646685051</v>
      </c>
      <c r="AG40" s="128">
        <f>'Coal Mining'!AG43*CH4_to_CO2e/1000</f>
        <v>81.849047513889161</v>
      </c>
      <c r="AH40" s="128">
        <f>'Coal Mining'!AH43*CH4_to_CO2e/1000</f>
        <v>82.662264444370365</v>
      </c>
      <c r="AI40" s="128">
        <f>'Coal Mining'!AI43*CH4_to_CO2e/1000</f>
        <v>82.996743434243513</v>
      </c>
      <c r="AJ40" s="128">
        <f>'Coal Mining'!AJ43*CH4_to_CO2e/1000</f>
        <v>82.655532447912918</v>
      </c>
      <c r="AK40" s="128">
        <f>'Coal Mining'!AK43*CH4_to_CO2e/1000</f>
        <v>82.55288138354652</v>
      </c>
    </row>
    <row r="41" spans="1:37" x14ac:dyDescent="0.25">
      <c r="A41" s="68" t="s">
        <v>1286</v>
      </c>
      <c r="B41" s="128">
        <f>'Coal Mining'!B44*CH4_to_CO2e/1000</f>
        <v>11.816000000000001</v>
      </c>
      <c r="C41" s="128">
        <f>'Coal Mining'!C44*CH4_to_CO2e/1000</f>
        <v>10.348445660850363</v>
      </c>
      <c r="D41" s="128">
        <f>'Coal Mining'!D44*CH4_to_CO2e/1000</f>
        <v>10.507335850419988</v>
      </c>
      <c r="E41" s="128">
        <f>'Coal Mining'!E44*CH4_to_CO2e/1000</f>
        <v>10.949499505781958</v>
      </c>
      <c r="F41" s="128">
        <f>'Coal Mining'!F44*CH4_to_CO2e/1000</f>
        <v>11.597827678680167</v>
      </c>
      <c r="G41" s="128">
        <f>'Coal Mining'!G44*CH4_to_CO2e/1000</f>
        <v>11.762062810484755</v>
      </c>
      <c r="H41" s="128">
        <f>'Coal Mining'!H44*CH4_to_CO2e/1000</f>
        <v>11.917783318636166</v>
      </c>
      <c r="I41" s="128">
        <f>'Coal Mining'!I44*CH4_to_CO2e/1000</f>
        <v>11.75587011741573</v>
      </c>
      <c r="J41" s="128">
        <f>'Coal Mining'!J44*CH4_to_CO2e/1000</f>
        <v>11.905147061648663</v>
      </c>
      <c r="K41" s="128">
        <f>'Coal Mining'!K44*CH4_to_CO2e/1000</f>
        <v>12.226383970249568</v>
      </c>
      <c r="L41" s="128">
        <f>'Coal Mining'!L44*CH4_to_CO2e/1000</f>
        <v>12.42215889801999</v>
      </c>
      <c r="M41" s="128">
        <f>'Coal Mining'!M44*CH4_to_CO2e/1000</f>
        <v>12.511823107155525</v>
      </c>
      <c r="N41" s="128">
        <f>'Coal Mining'!N44*CH4_to_CO2e/1000</f>
        <v>12.639904151833679</v>
      </c>
      <c r="O41" s="128">
        <f>'Coal Mining'!O44*CH4_to_CO2e/1000</f>
        <v>12.857262192403123</v>
      </c>
      <c r="P41" s="128">
        <f>'Coal Mining'!P44*CH4_to_CO2e/1000</f>
        <v>13.057589678937434</v>
      </c>
      <c r="Q41" s="128">
        <f>'Coal Mining'!Q44*CH4_to_CO2e/1000</f>
        <v>13.177493130606258</v>
      </c>
      <c r="R41" s="128">
        <f>'Coal Mining'!R44*CH4_to_CO2e/1000</f>
        <v>13.105759959169065</v>
      </c>
      <c r="S41" s="128">
        <f>'Coal Mining'!S44*CH4_to_CO2e/1000</f>
        <v>12.99664806389975</v>
      </c>
      <c r="T41" s="128">
        <f>'Coal Mining'!T44*CH4_to_CO2e/1000</f>
        <v>12.940897070643386</v>
      </c>
      <c r="U41" s="128">
        <f>'Coal Mining'!U44*CH4_to_CO2e/1000</f>
        <v>12.805695829454038</v>
      </c>
      <c r="V41" s="128">
        <f>'Coal Mining'!V44*CH4_to_CO2e/1000</f>
        <v>12.728927726646761</v>
      </c>
      <c r="W41" s="128">
        <f>'Coal Mining'!W44*CH4_to_CO2e/1000</f>
        <v>12.500096333398789</v>
      </c>
      <c r="X41" s="128">
        <f>'Coal Mining'!X44*CH4_to_CO2e/1000</f>
        <v>12.260581441790896</v>
      </c>
      <c r="Y41" s="128">
        <f>'Coal Mining'!Y44*CH4_to_CO2e/1000</f>
        <v>12.120306678579917</v>
      </c>
      <c r="Z41" s="128">
        <f>'Coal Mining'!Z44*CH4_to_CO2e/1000</f>
        <v>11.958685489089236</v>
      </c>
      <c r="AA41" s="128">
        <f>'Coal Mining'!AA44*CH4_to_CO2e/1000</f>
        <v>11.794670309245072</v>
      </c>
      <c r="AB41" s="128">
        <f>'Coal Mining'!AB44*CH4_to_CO2e/1000</f>
        <v>11.712188050093715</v>
      </c>
      <c r="AC41" s="128">
        <f>'Coal Mining'!AC44*CH4_to_CO2e/1000</f>
        <v>11.753687100531383</v>
      </c>
      <c r="AD41" s="128">
        <f>'Coal Mining'!AD44*CH4_to_CO2e/1000</f>
        <v>11.753967541388555</v>
      </c>
      <c r="AE41" s="128">
        <f>'Coal Mining'!AE44*CH4_to_CO2e/1000</f>
        <v>11.799442841045657</v>
      </c>
      <c r="AF41" s="128">
        <f>'Coal Mining'!AF44*CH4_to_CO2e/1000</f>
        <v>11.727537307867145</v>
      </c>
      <c r="AG41" s="128">
        <f>'Coal Mining'!AG44*CH4_to_CO2e/1000</f>
        <v>11.653047402382439</v>
      </c>
      <c r="AH41" s="128">
        <f>'Coal Mining'!AH44*CH4_to_CO2e/1000</f>
        <v>11.551273084279726</v>
      </c>
      <c r="AI41" s="128">
        <f>'Coal Mining'!AI44*CH4_to_CO2e/1000</f>
        <v>11.50929164015959</v>
      </c>
      <c r="AJ41" s="128">
        <f>'Coal Mining'!AJ44*CH4_to_CO2e/1000</f>
        <v>11.543680800382409</v>
      </c>
      <c r="AK41" s="128">
        <f>'Coal Mining'!AK44*CH4_to_CO2e/1000</f>
        <v>11.580861428346761</v>
      </c>
    </row>
    <row r="42" spans="1:37" x14ac:dyDescent="0.25">
      <c r="A42" s="124" t="s">
        <v>1287</v>
      </c>
      <c r="B42" s="128">
        <f>'Coal Mining'!B45*CH4_to_CO2e/1000</f>
        <v>-17.864000000000001</v>
      </c>
      <c r="C42" s="128">
        <f>'Coal Mining'!C45*CH4_to_CO2e/1000</f>
        <v>-17.26129170683928</v>
      </c>
      <c r="D42" s="128">
        <f>'Coal Mining'!D45*CH4_to_CO2e/1000</f>
        <v>-17.62461018731166</v>
      </c>
      <c r="E42" s="128">
        <f>'Coal Mining'!E45*CH4_to_CO2e/1000</f>
        <v>-16.870577591336918</v>
      </c>
      <c r="F42" s="128">
        <f>'Coal Mining'!F45*CH4_to_CO2e/1000</f>
        <v>-17.869677412437138</v>
      </c>
      <c r="G42" s="128">
        <f>'Coal Mining'!G45*CH4_to_CO2e/1000</f>
        <v>-18.955698387596684</v>
      </c>
      <c r="H42" s="128">
        <f>'Coal Mining'!H45*CH4_to_CO2e/1000</f>
        <v>-18.392039938927724</v>
      </c>
      <c r="I42" s="128">
        <f>'Coal Mining'!I45*CH4_to_CO2e/1000</f>
        <v>-19.224334170613634</v>
      </c>
      <c r="J42" s="128">
        <f>'Coal Mining'!J45*CH4_to_CO2e/1000</f>
        <v>-19.192825663706447</v>
      </c>
      <c r="K42" s="128">
        <f>'Coal Mining'!K45*CH4_to_CO2e/1000</f>
        <v>-18.885512787048285</v>
      </c>
      <c r="L42" s="128">
        <f>'Coal Mining'!L45*CH4_to_CO2e/1000</f>
        <v>-18.139328240450315</v>
      </c>
      <c r="M42" s="128">
        <f>'Coal Mining'!M45*CH4_to_CO2e/1000</f>
        <v>-17.803448544274055</v>
      </c>
      <c r="N42" s="128">
        <f>'Coal Mining'!N45*CH4_to_CO2e/1000</f>
        <v>-17.842596269173825</v>
      </c>
      <c r="O42" s="128">
        <f>'Coal Mining'!O45*CH4_to_CO2e/1000</f>
        <v>-17.561376873970872</v>
      </c>
      <c r="P42" s="128">
        <f>'Coal Mining'!P45*CH4_to_CO2e/1000</f>
        <v>-17.476979675382786</v>
      </c>
      <c r="Q42" s="128">
        <f>'Coal Mining'!Q45*CH4_to_CO2e/1000</f>
        <v>-17.386706362710335</v>
      </c>
      <c r="R42" s="128">
        <f>'Coal Mining'!R45*CH4_to_CO2e/1000</f>
        <v>-17.50119291373613</v>
      </c>
      <c r="S42" s="128">
        <f>'Coal Mining'!S45*CH4_to_CO2e/1000</f>
        <v>-17.798265722725436</v>
      </c>
      <c r="T42" s="128">
        <f>'Coal Mining'!T45*CH4_to_CO2e/1000</f>
        <v>-17.97079751018406</v>
      </c>
      <c r="U42" s="128">
        <f>'Coal Mining'!U45*CH4_to_CO2e/1000</f>
        <v>-17.81740594888052</v>
      </c>
      <c r="V42" s="128">
        <f>'Coal Mining'!V45*CH4_to_CO2e/1000</f>
        <v>-17.958868121086091</v>
      </c>
      <c r="W42" s="128">
        <f>'Coal Mining'!W45*CH4_to_CO2e/1000</f>
        <v>-18.492822379837204</v>
      </c>
      <c r="X42" s="128">
        <f>'Coal Mining'!X45*CH4_to_CO2e/1000</f>
        <v>-19.21866806345437</v>
      </c>
      <c r="Y42" s="128">
        <f>'Coal Mining'!Y45*CH4_to_CO2e/1000</f>
        <v>-19.670380719888769</v>
      </c>
      <c r="Z42" s="128">
        <f>'Coal Mining'!Z45*CH4_to_CO2e/1000</f>
        <v>-19.845647437836234</v>
      </c>
      <c r="AA42" s="128">
        <f>'Coal Mining'!AA45*CH4_to_CO2e/1000</f>
        <v>-20.071037352912246</v>
      </c>
      <c r="AB42" s="128">
        <f>'Coal Mining'!AB45*CH4_to_CO2e/1000</f>
        <v>-20.092332138096722</v>
      </c>
      <c r="AC42" s="128">
        <f>'Coal Mining'!AC45*CH4_to_CO2e/1000</f>
        <v>-20.185564079777176</v>
      </c>
      <c r="AD42" s="128">
        <f>'Coal Mining'!AD45*CH4_to_CO2e/1000</f>
        <v>-20.204256908893942</v>
      </c>
      <c r="AE42" s="128">
        <f>'Coal Mining'!AE45*CH4_to_CO2e/1000</f>
        <v>-20.343520197263075</v>
      </c>
      <c r="AF42" s="128">
        <f>'Coal Mining'!AF45*CH4_to_CO2e/1000</f>
        <v>-20.601283886501385</v>
      </c>
      <c r="AG42" s="128">
        <f>'Coal Mining'!AG45*CH4_to_CO2e/1000</f>
        <v>-20.602184973179341</v>
      </c>
      <c r="AH42" s="128">
        <f>'Coal Mining'!AH45*CH4_to_CO2e/1000</f>
        <v>-20.806879421483725</v>
      </c>
      <c r="AI42" s="128">
        <f>'Coal Mining'!AI45*CH4_to_CO2e/1000</f>
        <v>-20.891070969563007</v>
      </c>
      <c r="AJ42" s="128">
        <f>'Coal Mining'!AJ45*CH4_to_CO2e/1000</f>
        <v>-20.805184913844752</v>
      </c>
      <c r="AK42" s="128">
        <f>'Coal Mining'!AK45*CH4_to_CO2e/1000</f>
        <v>-20.779346663064725</v>
      </c>
    </row>
    <row r="43" spans="1:37" x14ac:dyDescent="0.25">
      <c r="A43" s="124" t="s">
        <v>1835</v>
      </c>
      <c r="B43" s="128">
        <f>'Other Industrial Processes'!C527*CH4_to_CO2e/1000</f>
        <v>7.1680000000000001</v>
      </c>
      <c r="C43" s="128">
        <f>'Other Industrial Processes'!D527*CH4_to_CO2e/1000</f>
        <v>7.0500909730999117</v>
      </c>
      <c r="D43" s="128">
        <f>'Other Industrial Processes'!E527*CH4_to_CO2e/1000</f>
        <v>7.0345507056359349</v>
      </c>
      <c r="E43" s="128">
        <f>'Other Industrial Processes'!F527*CH4_to_CO2e/1000</f>
        <v>7.0190446930367205</v>
      </c>
      <c r="F43" s="128">
        <f>'Other Industrial Processes'!G527*CH4_to_CO2e/1000</f>
        <v>7.0035728597954758</v>
      </c>
      <c r="G43" s="128">
        <f>'Other Industrial Processes'!H527*CH4_to_CO2e/1000</f>
        <v>6.9881351305718455</v>
      </c>
      <c r="H43" s="128">
        <f>'Other Industrial Processes'!I527*CH4_to_CO2e/1000</f>
        <v>6.9727314301915415</v>
      </c>
      <c r="I43" s="128">
        <f>'Other Industrial Processes'!J527*CH4_to_CO2e/1000</f>
        <v>6.9573616836459857</v>
      </c>
      <c r="J43" s="128">
        <f>'Other Industrial Processes'!K527*CH4_to_CO2e/1000</f>
        <v>6.9420258160919328</v>
      </c>
      <c r="K43" s="128">
        <f>'Other Industrial Processes'!L527*CH4_to_CO2e/1000</f>
        <v>6.9267237528511112</v>
      </c>
      <c r="L43" s="128">
        <f>'Other Industrial Processes'!M527*CH4_to_CO2e/1000</f>
        <v>6.9114554194098687</v>
      </c>
      <c r="M43" s="128">
        <f>'Other Industrial Processes'!N527*CH4_to_CO2e/1000</f>
        <v>6.8962207414187899</v>
      </c>
      <c r="N43" s="128">
        <f>'Other Industrial Processes'!O527*CH4_to_CO2e/1000</f>
        <v>6.8810196446923513</v>
      </c>
      <c r="O43" s="128">
        <f>'Other Industrial Processes'!P527*CH4_to_CO2e/1000</f>
        <v>6.8658520552085536</v>
      </c>
      <c r="P43" s="128">
        <f>'Other Industrial Processes'!Q527*CH4_to_CO2e/1000</f>
        <v>6.8507178991085613</v>
      </c>
      <c r="Q43" s="128">
        <f>'Other Industrial Processes'!R527*CH4_to_CO2e/1000</f>
        <v>6.8356171026963422</v>
      </c>
      <c r="R43" s="128">
        <f>'Other Industrial Processes'!S527*CH4_to_CO2e/1000</f>
        <v>6.8205495924383088</v>
      </c>
      <c r="S43" s="128">
        <f>'Other Industrial Processes'!T527*CH4_to_CO2e/1000</f>
        <v>6.8055152949629667</v>
      </c>
      <c r="T43" s="128">
        <f>'Other Industrial Processes'!U527*CH4_to_CO2e/1000</f>
        <v>6.7905141370605433</v>
      </c>
      <c r="U43" s="128">
        <f>'Other Industrial Processes'!V527*CH4_to_CO2e/1000</f>
        <v>6.7755460456826464</v>
      </c>
      <c r="V43" s="128">
        <f>'Other Industrial Processes'!W527*CH4_to_CO2e/1000</f>
        <v>6.760610947941899</v>
      </c>
      <c r="W43" s="128">
        <f>'Other Industrial Processes'!X527*CH4_to_CO2e/1000</f>
        <v>6.7457087711115893</v>
      </c>
      <c r="X43" s="128">
        <f>'Other Industrial Processes'!Y527*CH4_to_CO2e/1000</f>
        <v>6.7308394426253093</v>
      </c>
      <c r="Y43" s="128">
        <f>'Other Industrial Processes'!Z527*CH4_to_CO2e/1000</f>
        <v>6.7160028900766138</v>
      </c>
      <c r="Z43" s="128">
        <f>'Other Industrial Processes'!AA527*CH4_to_CO2e/1000</f>
        <v>6.7011990412186533</v>
      </c>
      <c r="AA43" s="128">
        <f>'Other Industrial Processes'!AB527*CH4_to_CO2e/1000</f>
        <v>6.6864278239638359</v>
      </c>
      <c r="AB43" s="128">
        <f>'Other Industrial Processes'!AC527*CH4_to_CO2e/1000</f>
        <v>6.6716891663834641</v>
      </c>
      <c r="AC43" s="128">
        <f>'Other Industrial Processes'!AD527*CH4_to_CO2e/1000</f>
        <v>6.6569829967073968</v>
      </c>
      <c r="AD43" s="128">
        <f>'Other Industrial Processes'!AE527*CH4_to_CO2e/1000</f>
        <v>6.6423092433236857</v>
      </c>
      <c r="AE43" s="128">
        <f>'Other Industrial Processes'!AF527*CH4_to_CO2e/1000</f>
        <v>6.6276678347782436</v>
      </c>
      <c r="AF43" s="128">
        <f>'Other Industrial Processes'!AG527*CH4_to_CO2e/1000</f>
        <v>6.6130586997744727</v>
      </c>
      <c r="AG43" s="128">
        <f>'Other Industrial Processes'!AH527*CH4_to_CO2e/1000</f>
        <v>6.5984817671729532</v>
      </c>
      <c r="AH43" s="128">
        <f>'Other Industrial Processes'!AI527*CH4_to_CO2e/1000</f>
        <v>6.583936965991052</v>
      </c>
      <c r="AI43" s="128">
        <f>'Other Industrial Processes'!AJ527*CH4_to_CO2e/1000</f>
        <v>6.5694242254026136</v>
      </c>
      <c r="AJ43" s="128">
        <f>'Other Industrial Processes'!AK527*CH4_to_CO2e/1000</f>
        <v>6.5549434747376054</v>
      </c>
      <c r="AK43" s="128">
        <f>'Other Industrial Processes'!AL527*CH4_to_CO2e/1000</f>
        <v>6.5404946434817592</v>
      </c>
    </row>
    <row r="44" spans="1:37" x14ac:dyDescent="0.25">
      <c r="A44" s="124"/>
      <c r="B44" s="126"/>
      <c r="C44" s="126"/>
      <c r="D44" s="126"/>
      <c r="E44" s="126"/>
      <c r="F44" s="126"/>
      <c r="G44" s="126"/>
      <c r="H44" s="126"/>
      <c r="I44" s="126"/>
      <c r="J44" s="126"/>
    </row>
    <row r="45" spans="1:37" x14ac:dyDescent="0.25">
      <c r="A45" s="113" t="s">
        <v>1837</v>
      </c>
      <c r="B45" s="126"/>
      <c r="C45" s="126"/>
      <c r="D45" s="126"/>
      <c r="E45" s="126"/>
      <c r="F45" s="126"/>
      <c r="G45" s="126"/>
      <c r="H45" s="126"/>
      <c r="I45" s="126"/>
      <c r="J45" s="126"/>
    </row>
    <row r="46" spans="1:37" x14ac:dyDescent="0.25">
      <c r="A46" s="129" t="s">
        <v>1024</v>
      </c>
      <c r="B46" s="127">
        <f>SUM(B48:B49,B55)</f>
        <v>6.166842179765279</v>
      </c>
      <c r="C46" s="127">
        <f t="shared" ref="C46:AK46" si="10">SUM(C48:C49,C55)</f>
        <v>6.1552954318461968</v>
      </c>
      <c r="D46" s="127">
        <f t="shared" si="10"/>
        <v>6.2033891650282014</v>
      </c>
      <c r="E46" s="127">
        <f t="shared" si="10"/>
        <v>6.2513177338273964</v>
      </c>
      <c r="F46" s="127">
        <f t="shared" si="10"/>
        <v>6.2993456608422038</v>
      </c>
      <c r="G46" s="127">
        <f t="shared" si="10"/>
        <v>6.3473935110836299</v>
      </c>
      <c r="H46" s="127">
        <f t="shared" si="10"/>
        <v>6.3953803072136921</v>
      </c>
      <c r="I46" s="127">
        <f t="shared" si="10"/>
        <v>6.443263464488826</v>
      </c>
      <c r="J46" s="127">
        <f t="shared" si="10"/>
        <v>6.4909926527121158</v>
      </c>
      <c r="K46" s="127">
        <f t="shared" si="10"/>
        <v>6.5385250306903568</v>
      </c>
      <c r="L46" s="127">
        <f t="shared" si="10"/>
        <v>6.5857974360376694</v>
      </c>
      <c r="M46" s="127">
        <f t="shared" si="10"/>
        <v>6.6327957661554073</v>
      </c>
      <c r="N46" s="127">
        <f t="shared" si="10"/>
        <v>6.6793778592377295</v>
      </c>
      <c r="O46" s="127">
        <f t="shared" si="10"/>
        <v>6.7254967836281798</v>
      </c>
      <c r="P46" s="127">
        <f t="shared" si="10"/>
        <v>6.7710977616079582</v>
      </c>
      <c r="Q46" s="127">
        <f t="shared" si="10"/>
        <v>6.8161378307441343</v>
      </c>
      <c r="R46" s="127">
        <f t="shared" si="10"/>
        <v>6.8605874776939784</v>
      </c>
      <c r="S46" s="127">
        <f t="shared" si="10"/>
        <v>6.9044297609374059</v>
      </c>
      <c r="T46" s="127">
        <f t="shared" si="10"/>
        <v>6.947658085452316</v>
      </c>
      <c r="U46" s="127">
        <f t="shared" si="10"/>
        <v>6.990274838194213</v>
      </c>
      <c r="V46" s="127">
        <f t="shared" si="10"/>
        <v>7.0323015355521319</v>
      </c>
      <c r="W46" s="127">
        <f t="shared" si="10"/>
        <v>7.0738113730763903</v>
      </c>
      <c r="X46" s="127">
        <f t="shared" si="10"/>
        <v>7.1148212707490837</v>
      </c>
      <c r="Y46" s="127">
        <f t="shared" si="10"/>
        <v>7.1553583912917462</v>
      </c>
      <c r="Z46" s="127">
        <f t="shared" si="10"/>
        <v>7.1954606279787718</v>
      </c>
      <c r="AA46" s="127">
        <f t="shared" si="10"/>
        <v>7.2351758213035646</v>
      </c>
      <c r="AB46" s="127">
        <f t="shared" si="10"/>
        <v>7.2745555541112612</v>
      </c>
      <c r="AC46" s="127">
        <f t="shared" si="10"/>
        <v>7.3136581230894944</v>
      </c>
      <c r="AD46" s="127">
        <f t="shared" si="10"/>
        <v>7.3525388424522573</v>
      </c>
      <c r="AE46" s="127">
        <f t="shared" si="10"/>
        <v>7.3912651003323582</v>
      </c>
      <c r="AF46" s="127">
        <f t="shared" si="10"/>
        <v>7.4299038461661366</v>
      </c>
      <c r="AG46" s="127">
        <f t="shared" si="10"/>
        <v>7.4685405005501151</v>
      </c>
      <c r="AH46" s="127">
        <f t="shared" si="10"/>
        <v>7.5071734719888497</v>
      </c>
      <c r="AI46" s="127">
        <f t="shared" si="10"/>
        <v>7.545848505823173</v>
      </c>
      <c r="AJ46" s="127">
        <f t="shared" si="10"/>
        <v>7.584650265803039</v>
      </c>
      <c r="AK46" s="127">
        <f t="shared" si="10"/>
        <v>7.6236288281614497</v>
      </c>
    </row>
    <row r="47" spans="1:37" x14ac:dyDescent="0.25">
      <c r="A47" s="130" t="s">
        <v>1025</v>
      </c>
      <c r="B47" s="127">
        <f>SUM(B50:B54,B56)</f>
        <v>148.58821422088394</v>
      </c>
      <c r="C47" s="127">
        <f t="shared" ref="C47:AK47" si="11">SUM(C50:C54,C56)</f>
        <v>147.82996428040423</v>
      </c>
      <c r="D47" s="127">
        <f t="shared" si="11"/>
        <v>147.65582161493393</v>
      </c>
      <c r="E47" s="127">
        <f t="shared" si="11"/>
        <v>146.97209344897209</v>
      </c>
      <c r="F47" s="127">
        <f t="shared" si="11"/>
        <v>146.24110943733703</v>
      </c>
      <c r="G47" s="127">
        <f t="shared" si="11"/>
        <v>145.60606613588914</v>
      </c>
      <c r="H47" s="127">
        <f t="shared" si="11"/>
        <v>145.05020293544601</v>
      </c>
      <c r="I47" s="127">
        <f t="shared" si="11"/>
        <v>144.51673825286213</v>
      </c>
      <c r="J47" s="127">
        <f t="shared" si="11"/>
        <v>143.94839045030841</v>
      </c>
      <c r="K47" s="127">
        <f t="shared" si="11"/>
        <v>143.33644409754191</v>
      </c>
      <c r="L47" s="127">
        <f t="shared" si="11"/>
        <v>142.66485676321446</v>
      </c>
      <c r="M47" s="127">
        <f t="shared" si="11"/>
        <v>141.95593450117832</v>
      </c>
      <c r="N47" s="127">
        <f t="shared" si="11"/>
        <v>141.36894482211292</v>
      </c>
      <c r="O47" s="127">
        <f t="shared" si="11"/>
        <v>140.82997667435512</v>
      </c>
      <c r="P47" s="127">
        <f t="shared" si="11"/>
        <v>140.3109858442586</v>
      </c>
      <c r="Q47" s="127">
        <f t="shared" si="11"/>
        <v>139.76138317125336</v>
      </c>
      <c r="R47" s="127">
        <f t="shared" si="11"/>
        <v>139.21080847109877</v>
      </c>
      <c r="S47" s="127">
        <f t="shared" si="11"/>
        <v>138.67601124370694</v>
      </c>
      <c r="T47" s="127">
        <f t="shared" si="11"/>
        <v>138.17194447022084</v>
      </c>
      <c r="U47" s="127">
        <f t="shared" si="11"/>
        <v>137.69669755816309</v>
      </c>
      <c r="V47" s="127">
        <f t="shared" si="11"/>
        <v>137.2515708260174</v>
      </c>
      <c r="W47" s="127">
        <f t="shared" si="11"/>
        <v>136.81521929659607</v>
      </c>
      <c r="X47" s="127">
        <f t="shared" si="11"/>
        <v>136.38935721157836</v>
      </c>
      <c r="Y47" s="127">
        <f t="shared" si="11"/>
        <v>135.98328476329331</v>
      </c>
      <c r="Z47" s="127">
        <f t="shared" si="11"/>
        <v>135.57636596600543</v>
      </c>
      <c r="AA47" s="127">
        <f t="shared" si="11"/>
        <v>135.16092360144407</v>
      </c>
      <c r="AB47" s="127">
        <f t="shared" si="11"/>
        <v>134.74146295574582</v>
      </c>
      <c r="AC47" s="127">
        <f t="shared" si="11"/>
        <v>134.33933751913142</v>
      </c>
      <c r="AD47" s="127">
        <f t="shared" si="11"/>
        <v>133.96151466812125</v>
      </c>
      <c r="AE47" s="127">
        <f t="shared" si="11"/>
        <v>133.58511055180821</v>
      </c>
      <c r="AF47" s="127">
        <f t="shared" si="11"/>
        <v>133.22852595019353</v>
      </c>
      <c r="AG47" s="127">
        <f t="shared" si="11"/>
        <v>132.87070992490413</v>
      </c>
      <c r="AH47" s="127">
        <f t="shared" si="11"/>
        <v>132.51047268972366</v>
      </c>
      <c r="AI47" s="127">
        <f t="shared" si="11"/>
        <v>132.16770955535276</v>
      </c>
      <c r="AJ47" s="127">
        <f t="shared" si="11"/>
        <v>131.84524848225635</v>
      </c>
      <c r="AK47" s="127">
        <f t="shared" si="11"/>
        <v>131.54881272853262</v>
      </c>
    </row>
    <row r="48" spans="1:37" x14ac:dyDescent="0.25">
      <c r="A48" s="122" t="s">
        <v>1026</v>
      </c>
      <c r="B48" s="128">
        <f>'Waste - Water Treatment'!B73*N2O_to_CO2e/1000</f>
        <v>0.30525598176528002</v>
      </c>
      <c r="C48" s="128">
        <f>'Waste - Water Treatment'!C73*N2O_to_CO2e/1000</f>
        <v>0.30810293751599999</v>
      </c>
      <c r="D48" s="128">
        <f>'Waste - Water Treatment'!D73*N2O_to_CO2e/1000</f>
        <v>0.31107609064494401</v>
      </c>
      <c r="E48" s="128">
        <f>'Waste - Water Treatment'!E73*N2O_to_CO2e/1000</f>
        <v>0.31403974954129604</v>
      </c>
      <c r="F48" s="128">
        <f>'Waste - Water Treatment'!F73*N2O_to_CO2e/1000</f>
        <v>0.31700911989912001</v>
      </c>
      <c r="G48" s="128">
        <f>'Waste - Water Treatment'!G73*N2O_to_CO2e/1000</f>
        <v>0.31997963551443998</v>
      </c>
      <c r="H48" s="128">
        <f>'Waste - Water Treatment'!H73*N2O_to_CO2e/1000</f>
        <v>0.32294664152360802</v>
      </c>
      <c r="I48" s="128">
        <f>'Waste - Water Treatment'!I73*N2O_to_CO2e/1000</f>
        <v>0.32590769000502401</v>
      </c>
      <c r="J48" s="128">
        <f>'Waste - Water Treatment'!J73*N2O_to_CO2e/1000</f>
        <v>0.32885988780104797</v>
      </c>
      <c r="K48" s="128">
        <f>'Waste - Water Treatment'!K73*N2O_to_CO2e/1000</f>
        <v>0.33180077224844789</v>
      </c>
      <c r="L48" s="128">
        <f>'Waste - Water Treatment'!L73*N2O_to_CO2e/1000</f>
        <v>0.33472671254999997</v>
      </c>
      <c r="M48" s="128">
        <f>'Waste - Water Treatment'!M73*N2O_to_CO2e/1000</f>
        <v>0.3376368980384799</v>
      </c>
      <c r="N48" s="128">
        <f>'Waste - Water Treatment'!N73*N2O_to_CO2e/1000</f>
        <v>0.34052315675073597</v>
      </c>
      <c r="O48" s="128">
        <f>'Waste - Water Treatment'!O73*N2O_to_CO2e/1000</f>
        <v>0.34338279088924784</v>
      </c>
      <c r="P48" s="128">
        <f>'Waste - Water Treatment'!P73*N2O_to_CO2e/1000</f>
        <v>0.34621265163709597</v>
      </c>
      <c r="Q48" s="128">
        <f>'Waste - Water Treatment'!Q73*N2O_to_CO2e/1000</f>
        <v>0.34901026936175983</v>
      </c>
      <c r="R48" s="128">
        <f>'Waste - Water Treatment'!R73*N2O_to_CO2e/1000</f>
        <v>0.35177394753196789</v>
      </c>
      <c r="S48" s="128">
        <f>'Waste - Water Treatment'!S73*N2O_to_CO2e/1000</f>
        <v>0.35450271228925584</v>
      </c>
      <c r="T48" s="128">
        <f>'Waste - Water Treatment'!T73*N2O_to_CO2e/1000</f>
        <v>0.35719618452843988</v>
      </c>
      <c r="U48" s="128">
        <f>'Waste - Water Treatment'!U73*N2O_to_CO2e/1000</f>
        <v>0.35985450146015985</v>
      </c>
      <c r="V48" s="128">
        <f>'Waste - Water Treatment'!V73*N2O_to_CO2e/1000</f>
        <v>0.3624788999225198</v>
      </c>
      <c r="W48" s="128">
        <f>'Waste - Water Treatment'!W73*N2O_to_CO2e/1000</f>
        <v>0.36507358745450375</v>
      </c>
      <c r="X48" s="128">
        <f>'Waste - Water Treatment'!X73*N2O_to_CO2e/1000</f>
        <v>0.36763953667649579</v>
      </c>
      <c r="Y48" s="128">
        <f>'Waste - Water Treatment'!Y73*N2O_to_CO2e/1000</f>
        <v>0.37017830899775184</v>
      </c>
      <c r="Z48" s="128">
        <f>'Waste - Water Treatment'!Z73*N2O_to_CO2e/1000</f>
        <v>0.37269208265763981</v>
      </c>
      <c r="AA48" s="128">
        <f>'Waste - Water Treatment'!AA73*N2O_to_CO2e/1000</f>
        <v>0.37518360769683984</v>
      </c>
      <c r="AB48" s="128">
        <f>'Waste - Water Treatment'!AB73*N2O_to_CO2e/1000</f>
        <v>0.37765584927963963</v>
      </c>
      <c r="AC48" s="128">
        <f>'Waste - Water Treatment'!AC73*N2O_to_CO2e/1000</f>
        <v>0.38011215850572766</v>
      </c>
      <c r="AD48" s="128">
        <f>'Waste - Water Treatment'!AD73*N2O_to_CO2e/1000</f>
        <v>0.38255571503166375</v>
      </c>
      <c r="AE48" s="128">
        <f>'Waste - Water Treatment'!AE73*N2O_to_CO2e/1000</f>
        <v>0.38499039256554363</v>
      </c>
      <c r="AF48" s="128">
        <f>'Waste - Water Treatment'!AF73*N2O_to_CO2e/1000</f>
        <v>0.38742003959763965</v>
      </c>
      <c r="AG48" s="128">
        <f>'Waste - Water Treatment'!AG73*N2O_to_CO2e/1000</f>
        <v>0.38984956640580765</v>
      </c>
      <c r="AH48" s="128">
        <f>'Waste - Water Treatment'!AH73*N2O_to_CO2e/1000</f>
        <v>0.39227888150526363</v>
      </c>
      <c r="AI48" s="128">
        <f>'Waste - Water Treatment'!AI73*N2O_to_CO2e/1000</f>
        <v>0.39471061449991174</v>
      </c>
      <c r="AJ48" s="128">
        <f>'Waste - Water Treatment'!AJ73*N2O_to_CO2e/1000</f>
        <v>0.3971496321613916</v>
      </c>
      <c r="AK48" s="128">
        <f>'Waste - Water Treatment'!AK73*N2O_to_CO2e/1000</f>
        <v>0.39959881304859962</v>
      </c>
    </row>
    <row r="49" spans="1:37" x14ac:dyDescent="0.25">
      <c r="A49" s="124" t="s">
        <v>1075</v>
      </c>
      <c r="B49" s="128">
        <f>'Waste - Water Treatment'!B50*N2O_to_CO2e/1000</f>
        <v>4.2715861979999996</v>
      </c>
      <c r="C49" s="128">
        <f>'Waste - Water Treatment'!C50*N2O_to_CO2e/1000</f>
        <v>4.2571924943301971</v>
      </c>
      <c r="D49" s="128">
        <f>'Waste - Water Treatment'!D50*N2O_to_CO2e/1000</f>
        <v>4.3023130743832576</v>
      </c>
      <c r="E49" s="128">
        <f>'Waste - Water Treatment'!E50*N2O_to_CO2e/1000</f>
        <v>4.3472779842861007</v>
      </c>
      <c r="F49" s="128">
        <f>'Waste - Water Treatment'!F50*N2O_to_CO2e/1000</f>
        <v>4.3923365409430843</v>
      </c>
      <c r="G49" s="128">
        <f>'Waste - Water Treatment'!G50*N2O_to_CO2e/1000</f>
        <v>4.4374138755691899</v>
      </c>
      <c r="H49" s="128">
        <f>'Waste - Water Treatment'!H50*N2O_to_CO2e/1000</f>
        <v>4.4824336656900838</v>
      </c>
      <c r="I49" s="128">
        <f>'Waste - Water Treatment'!I50*N2O_to_CO2e/1000</f>
        <v>4.5273557744838024</v>
      </c>
      <c r="J49" s="128">
        <f>'Waste - Water Treatment'!J50*N2O_to_CO2e/1000</f>
        <v>4.5721327649110677</v>
      </c>
      <c r="K49" s="128">
        <f>'Waste - Water Treatment'!K50*N2O_to_CO2e/1000</f>
        <v>4.6167242584419093</v>
      </c>
      <c r="L49" s="128">
        <f>'Waste - Water Treatment'!L50*N2O_to_CO2e/1000</f>
        <v>4.6610707234876694</v>
      </c>
      <c r="M49" s="128">
        <f>'Waste - Water Treatment'!M50*N2O_to_CO2e/1000</f>
        <v>4.7051588681169276</v>
      </c>
      <c r="N49" s="128">
        <f>'Waste - Water Treatment'!N50*N2O_to_CO2e/1000</f>
        <v>4.7488547024869936</v>
      </c>
      <c r="O49" s="128">
        <f>'Waste - Water Treatment'!O50*N2O_to_CO2e/1000</f>
        <v>4.7921139927389325</v>
      </c>
      <c r="P49" s="128">
        <f>'Waste - Water Treatment'!P50*N2O_to_CO2e/1000</f>
        <v>4.8348851099708625</v>
      </c>
      <c r="Q49" s="128">
        <f>'Waste - Water Treatment'!Q50*N2O_to_CO2e/1000</f>
        <v>4.8771275613823741</v>
      </c>
      <c r="R49" s="128">
        <f>'Waste - Water Treatment'!R50*N2O_to_CO2e/1000</f>
        <v>4.9188135301620104</v>
      </c>
      <c r="S49" s="128">
        <f>'Waste - Water Treatment'!S50*N2O_to_CO2e/1000</f>
        <v>4.9599270486481499</v>
      </c>
      <c r="T49" s="128">
        <f>'Waste - Water Treatment'!T50*N2O_to_CO2e/1000</f>
        <v>5.0004619009238764</v>
      </c>
      <c r="U49" s="128">
        <f>'Waste - Water Treatment'!U50*N2O_to_CO2e/1000</f>
        <v>5.0404203367340532</v>
      </c>
      <c r="V49" s="128">
        <f>'Waste - Water Treatment'!V50*N2O_to_CO2e/1000</f>
        <v>5.0798226356296121</v>
      </c>
      <c r="W49" s="128">
        <f>'Waste - Water Treatment'!W50*N2O_to_CO2e/1000</f>
        <v>5.118737785621887</v>
      </c>
      <c r="X49" s="128">
        <f>'Waste - Water Treatment'!X50*N2O_to_CO2e/1000</f>
        <v>5.1571817340725881</v>
      </c>
      <c r="Y49" s="128">
        <f>'Waste - Water Treatment'!Y50*N2O_to_CO2e/1000</f>
        <v>5.1951800822939944</v>
      </c>
      <c r="Z49" s="128">
        <f>'Waste - Water Treatment'!Z50*N2O_to_CO2e/1000</f>
        <v>5.2327685453211323</v>
      </c>
      <c r="AA49" s="128">
        <f>'Waste - Water Treatment'!AA50*N2O_to_CO2e/1000</f>
        <v>5.2699922136067245</v>
      </c>
      <c r="AB49" s="128">
        <f>'Waste - Water Treatment'!AB50*N2O_to_CO2e/1000</f>
        <v>5.306899704831622</v>
      </c>
      <c r="AC49" s="128">
        <f>'Waste - Water Treatment'!AC50*N2O_to_CO2e/1000</f>
        <v>5.3435459645837673</v>
      </c>
      <c r="AD49" s="128">
        <f>'Waste - Water Treatment'!AD50*N2O_to_CO2e/1000</f>
        <v>5.3799831274205934</v>
      </c>
      <c r="AE49" s="128">
        <f>'Waste - Water Treatment'!AE50*N2O_to_CO2e/1000</f>
        <v>5.4162747077668145</v>
      </c>
      <c r="AF49" s="128">
        <f>'Waste - Water Treatment'!AF50*N2O_to_CO2e/1000</f>
        <v>5.4524838065684973</v>
      </c>
      <c r="AG49" s="128">
        <f>'Waste - Water Treatment'!AG50*N2O_to_CO2e/1000</f>
        <v>5.4886909341443078</v>
      </c>
      <c r="AH49" s="128">
        <f>'Waste - Water Treatment'!AH50*N2O_to_CO2e/1000</f>
        <v>5.5248945904835862</v>
      </c>
      <c r="AI49" s="128">
        <f>'Waste - Water Treatment'!AI50*N2O_to_CO2e/1000</f>
        <v>5.5611378913232619</v>
      </c>
      <c r="AJ49" s="128">
        <f>'Waste - Water Treatment'!AJ50*N2O_to_CO2e/1000</f>
        <v>5.5975006336416477</v>
      </c>
      <c r="AK49" s="128">
        <f>'Waste - Water Treatment'!AK50*N2O_to_CO2e/1000</f>
        <v>5.6340300151128506</v>
      </c>
    </row>
    <row r="50" spans="1:37" x14ac:dyDescent="0.25">
      <c r="A50" s="122" t="s">
        <v>1913</v>
      </c>
      <c r="B50" s="128">
        <f>'Waste - Landfills'!B13*CH4_to_CO2e/1000</f>
        <v>129.57840000000002</v>
      </c>
      <c r="C50" s="128">
        <f>'Waste - Landfills'!C13*CH4_to_CO2e/1000</f>
        <v>128.71196560990342</v>
      </c>
      <c r="D50" s="128">
        <f>'Waste - Landfills'!D13*CH4_to_CO2e/1000</f>
        <v>128.42535149013491</v>
      </c>
      <c r="E50" s="128">
        <f>'Waste - Landfills'!E13*CH4_to_CO2e/1000</f>
        <v>127.62982417411176</v>
      </c>
      <c r="F50" s="128">
        <f>'Waste - Landfills'!F13*CH4_to_CO2e/1000</f>
        <v>126.78715753420886</v>
      </c>
      <c r="G50" s="128">
        <f>'Waste - Landfills'!G13*CH4_to_CO2e/1000</f>
        <v>126.04071284114015</v>
      </c>
      <c r="H50" s="128">
        <f>'Waste - Landfills'!H13*CH4_to_CO2e/1000</f>
        <v>125.37389612577448</v>
      </c>
      <c r="I50" s="128">
        <f>'Waste - Landfills'!I13*CH4_to_CO2e/1000</f>
        <v>124.73001152359869</v>
      </c>
      <c r="J50" s="128">
        <f>'Waste - Landfills'!J13*CH4_to_CO2e/1000</f>
        <v>124.05187848543602</v>
      </c>
      <c r="K50" s="128">
        <f>'Waste - Landfills'!K13*CH4_to_CO2e/1000</f>
        <v>123.33086641597875</v>
      </c>
      <c r="L50" s="128">
        <f>'Waste - Landfills'!L13*CH4_to_CO2e/1000</f>
        <v>122.55105896853856</v>
      </c>
      <c r="M50" s="128">
        <f>'Waste - Landfills'!M13*CH4_to_CO2e/1000</f>
        <v>121.73478634083885</v>
      </c>
      <c r="N50" s="128">
        <f>'Waste - Landfills'!N13*CH4_to_CO2e/1000</f>
        <v>121.0416030557988</v>
      </c>
      <c r="O50" s="128">
        <f>'Waste - Landfills'!O13*CH4_to_CO2e/1000</f>
        <v>120.39768763078268</v>
      </c>
      <c r="P50" s="128">
        <f>'Waste - Landfills'!P13*CH4_to_CO2e/1000</f>
        <v>119.77510079119169</v>
      </c>
      <c r="Q50" s="128">
        <f>'Waste - Landfills'!Q13*CH4_to_CO2e/1000</f>
        <v>119.12333338261679</v>
      </c>
      <c r="R50" s="128">
        <f>'Waste - Landfills'!R13*CH4_to_CO2e/1000</f>
        <v>118.47207720115138</v>
      </c>
      <c r="S50" s="128">
        <f>'Waste - Landfills'!S13*CH4_to_CO2e/1000</f>
        <v>117.83810775265513</v>
      </c>
      <c r="T50" s="128">
        <f>'Waste - Landfills'!T13*CH4_to_CO2e/1000</f>
        <v>117.23638281548449</v>
      </c>
      <c r="U50" s="128">
        <f>'Waste - Landfills'!U13*CH4_to_CO2e/1000</f>
        <v>116.6649783523398</v>
      </c>
      <c r="V50" s="128">
        <f>'Waste - Landfills'!V13*CH4_to_CO2e/1000</f>
        <v>116.12514263824936</v>
      </c>
      <c r="W50" s="128">
        <f>'Waste - Landfills'!W13*CH4_to_CO2e/1000</f>
        <v>115.5953746919018</v>
      </c>
      <c r="X50" s="128">
        <f>'Waste - Landfills'!X13*CH4_to_CO2e/1000</f>
        <v>115.07734734744847</v>
      </c>
      <c r="Y50" s="128">
        <f>'Waste - Landfills'!Y13*CH4_to_CO2e/1000</f>
        <v>114.58029909621462</v>
      </c>
      <c r="Z50" s="128">
        <f>'Waste - Landfills'!Z13*CH4_to_CO2e/1000</f>
        <v>114.08351116896957</v>
      </c>
      <c r="AA50" s="128">
        <f>'Waste - Landfills'!AA13*CH4_to_CO2e/1000</f>
        <v>113.57920424885074</v>
      </c>
      <c r="AB50" s="128">
        <f>'Waste - Landfills'!AB13*CH4_to_CO2e/1000</f>
        <v>113.07177480099158</v>
      </c>
      <c r="AC50" s="128">
        <f>'Waste - Landfills'!AC13*CH4_to_CO2e/1000</f>
        <v>112.58245490192392</v>
      </c>
      <c r="AD50" s="128">
        <f>'Waste - Landfills'!AD13*CH4_to_CO2e/1000</f>
        <v>112.11809736313303</v>
      </c>
      <c r="AE50" s="128">
        <f>'Waste - Landfills'!AE13*CH4_to_CO2e/1000</f>
        <v>111.65568060318452</v>
      </c>
      <c r="AF50" s="128">
        <f>'Waste - Landfills'!AF13*CH4_to_CO2e/1000</f>
        <v>111.21346956518948</v>
      </c>
      <c r="AG50" s="128">
        <f>'Waste - Landfills'!AG13*CH4_to_CO2e/1000</f>
        <v>110.77024187350999</v>
      </c>
      <c r="AH50" s="128">
        <f>'Waste - Landfills'!AH13*CH4_to_CO2e/1000</f>
        <v>110.3248096986878</v>
      </c>
      <c r="AI50" s="128">
        <f>'Waste - Landfills'!AI13*CH4_to_CO2e/1000</f>
        <v>109.89697682563795</v>
      </c>
      <c r="AJ50" s="128">
        <f>'Waste - Landfills'!AJ13*CH4_to_CO2e/1000</f>
        <v>109.48940365951624</v>
      </c>
      <c r="AK50" s="128">
        <f>'Waste - Landfills'!AK13*CH4_to_CO2e/1000</f>
        <v>109.10771517866338</v>
      </c>
    </row>
    <row r="51" spans="1:37" x14ac:dyDescent="0.25">
      <c r="A51" s="122" t="s">
        <v>1072</v>
      </c>
      <c r="B51" s="128">
        <f>'Waste - Water Treatment'!B12*CH4_to_CO2e/1000</f>
        <v>6.6898142208839202</v>
      </c>
      <c r="C51" s="128">
        <f>'Waste - Water Treatment'!C12*CH4_to_CO2e/1000</f>
        <v>6.7420858178099996</v>
      </c>
      <c r="D51" s="128">
        <f>'Waste - Water Treatment'!D12*CH4_to_CO2e/1000</f>
        <v>6.7971796730709197</v>
      </c>
      <c r="E51" s="128">
        <f>'Waste - Water Treatment'!E12*CH4_to_CO2e/1000</f>
        <v>6.8518309311393191</v>
      </c>
      <c r="F51" s="128">
        <f>'Waste - Water Treatment'!F12*CH4_to_CO2e/1000</f>
        <v>6.9064054795637997</v>
      </c>
      <c r="G51" s="128">
        <f>'Waste - Water Treatment'!G12*CH4_to_CO2e/1000</f>
        <v>6.9607948818244205</v>
      </c>
      <c r="H51" s="128">
        <f>'Waste - Water Treatment'!H12*CH4_to_CO2e/1000</f>
        <v>7.0148894339883796</v>
      </c>
      <c r="I51" s="128">
        <f>'Waste - Water Treatment'!I12*CH4_to_CO2e/1000</f>
        <v>7.0686327050175199</v>
      </c>
      <c r="J51" s="128">
        <f>'Waste - Water Treatment'!J12*CH4_to_CO2e/1000</f>
        <v>7.1219581453480592</v>
      </c>
      <c r="K51" s="128">
        <f>'Waste - Water Treatment'!K12*CH4_to_CO2e/1000</f>
        <v>7.1748099057051204</v>
      </c>
      <c r="L51" s="128">
        <f>'Waste - Water Treatment'!L12*CH4_to_CO2e/1000</f>
        <v>7.2271049809349996</v>
      </c>
      <c r="M51" s="128">
        <f>'Waste - Water Treatment'!M12*CH4_to_CO2e/1000</f>
        <v>7.2788274764337988</v>
      </c>
      <c r="N51" s="128">
        <f>'Waste - Water Treatment'!N12*CH4_to_CO2e/1000</f>
        <v>7.3297884437990817</v>
      </c>
      <c r="O51" s="128">
        <f>'Waste - Water Treatment'!O12*CH4_to_CO2e/1000</f>
        <v>7.379928917166958</v>
      </c>
      <c r="P51" s="128">
        <f>'Waste - Water Treatment'!P12*CH4_to_CO2e/1000</f>
        <v>7.4291798121479387</v>
      </c>
      <c r="Q51" s="128">
        <f>'Waste - Water Treatment'!Q12*CH4_to_CO2e/1000</f>
        <v>7.4774884583879215</v>
      </c>
      <c r="R51" s="128">
        <f>'Waste - Water Treatment'!R12*CH4_to_CO2e/1000</f>
        <v>7.5248206357396805</v>
      </c>
      <c r="S51" s="128">
        <f>'Waste - Water Treatment'!S12*CH4_to_CO2e/1000</f>
        <v>7.5711592237409802</v>
      </c>
      <c r="T51" s="128">
        <f>'Waste - Water Treatment'!T12*CH4_to_CO2e/1000</f>
        <v>7.6165010642482995</v>
      </c>
      <c r="U51" s="128">
        <f>'Waste - Water Treatment'!U12*CH4_to_CO2e/1000</f>
        <v>7.6608550083743978</v>
      </c>
      <c r="V51" s="128">
        <f>'Waste - Water Treatment'!V12*CH4_to_CO2e/1000</f>
        <v>7.7042553178210182</v>
      </c>
      <c r="W51" s="128">
        <f>'Waste - Water Treatment'!W12*CH4_to_CO2e/1000</f>
        <v>7.7468046945843394</v>
      </c>
      <c r="X51" s="128">
        <f>'Waste - Water Treatment'!X12*CH4_to_CO2e/1000</f>
        <v>7.7885303984294785</v>
      </c>
      <c r="Y51" s="128">
        <f>'Waste - Water Treatment'!Y12*CH4_to_CO2e/1000</f>
        <v>7.8294730488997413</v>
      </c>
      <c r="Z51" s="128">
        <f>'Waste - Water Treatment'!Z12*CH4_to_CO2e/1000</f>
        <v>7.8696871447480996</v>
      </c>
      <c r="AA51" s="128">
        <f>'Waste - Water Treatment'!AA12*CH4_to_CO2e/1000</f>
        <v>7.9092399004106611</v>
      </c>
      <c r="AB51" s="128">
        <f>'Waste - Water Treatment'!AB12*CH4_to_CO2e/1000</f>
        <v>7.9482029558798963</v>
      </c>
      <c r="AC51" s="128">
        <f>'Waste - Water Treatment'!AC12*CH4_to_CO2e/1000</f>
        <v>7.9866562412750399</v>
      </c>
      <c r="AD51" s="128">
        <f>'Waste - Water Treatment'!AD12*CH4_to_CO2e/1000</f>
        <v>8.0246751780498791</v>
      </c>
      <c r="AE51" s="128">
        <f>'Waste - Water Treatment'!AE12*CH4_to_CO2e/1000</f>
        <v>8.0623504381670585</v>
      </c>
      <c r="AF51" s="128">
        <f>'Waste - Water Treatment'!AF12*CH4_to_CO2e/1000</f>
        <v>8.0997714469536195</v>
      </c>
      <c r="AG51" s="128">
        <f>'Waste - Water Treatment'!AG12*CH4_to_CO2e/1000</f>
        <v>8.1370510664858777</v>
      </c>
      <c r="AH51" s="128">
        <f>'Waste - Water Treatment'!AH12*CH4_to_CO2e/1000</f>
        <v>8.1741880085737186</v>
      </c>
      <c r="AI51" s="128">
        <f>'Waste - Water Treatment'!AI12*CH4_to_CO2e/1000</f>
        <v>8.2112425272711391</v>
      </c>
      <c r="AJ51" s="128">
        <f>'Waste - Water Treatment'!AJ12*CH4_to_CO2e/1000</f>
        <v>8.2483249290514795</v>
      </c>
      <c r="AK51" s="128">
        <f>'Waste - Water Treatment'!AK12*CH4_to_CO2e/1000</f>
        <v>8.2854999143023793</v>
      </c>
    </row>
    <row r="52" spans="1:37" x14ac:dyDescent="0.25">
      <c r="A52" s="122" t="s">
        <v>1073</v>
      </c>
      <c r="B52" s="128">
        <f>'Waste - Water Treatment'!B17*CH4_to_CO2e/1000</f>
        <v>3.2479999999999993</v>
      </c>
      <c r="C52" s="128">
        <f>'Waste - Water Treatment'!C17*CH4_to_CO2e/1000</f>
        <v>3.2733786041301265</v>
      </c>
      <c r="D52" s="128">
        <f>'Waste - Water Treatment'!D17*CH4_to_CO2e/1000</f>
        <v>3.3001274548424298</v>
      </c>
      <c r="E52" s="128">
        <f>'Waste - Water Treatment'!E17*CH4_to_CO2e/1000</f>
        <v>3.3266614183196261</v>
      </c>
      <c r="F52" s="128">
        <f>'Waste - Water Treatment'!F17*CH4_to_CO2e/1000</f>
        <v>3.353158138173125</v>
      </c>
      <c r="G52" s="128">
        <f>'Waste - Water Treatment'!G17*CH4_to_CO2e/1000</f>
        <v>3.379564966929447</v>
      </c>
      <c r="H52" s="128">
        <f>'Waste - Water Treatment'!H17*CH4_to_CO2e/1000</f>
        <v>3.4058286417681374</v>
      </c>
      <c r="I52" s="128">
        <f>'Waste - Water Treatment'!I17*CH4_to_CO2e/1000</f>
        <v>3.4319217646171576</v>
      </c>
      <c r="J52" s="128">
        <f>'Waste - Water Treatment'!J17*CH4_to_CO2e/1000</f>
        <v>3.4578120247162958</v>
      </c>
      <c r="K52" s="128">
        <f>'Waste - Water Treatment'!K17*CH4_to_CO2e/1000</f>
        <v>3.4834723064478634</v>
      </c>
      <c r="L52" s="128">
        <f>'Waste - Water Treatment'!L17*CH4_to_CO2e/1000</f>
        <v>3.5088623096285811</v>
      </c>
      <c r="M52" s="128">
        <f>'Waste - Water Treatment'!M17*CH4_to_CO2e/1000</f>
        <v>3.5339743172020746</v>
      </c>
      <c r="N52" s="128">
        <f>'Waste - Water Treatment'!N17*CH4_to_CO2e/1000</f>
        <v>3.5587165920302324</v>
      </c>
      <c r="O52" s="128">
        <f>'Waste - Water Treatment'!O17*CH4_to_CO2e/1000</f>
        <v>3.5830605053470594</v>
      </c>
      <c r="P52" s="128">
        <f>'Waste - Water Treatment'!P17*CH4_to_CO2e/1000</f>
        <v>3.6069725156983852</v>
      </c>
      <c r="Q52" s="128">
        <f>'Waste - Water Treatment'!Q17*CH4_to_CO2e/1000</f>
        <v>3.6304270508777972</v>
      </c>
      <c r="R52" s="128">
        <f>'Waste - Water Treatment'!R17*CH4_to_CO2e/1000</f>
        <v>3.6534074965168704</v>
      </c>
      <c r="S52" s="128">
        <f>'Waste - Water Treatment'!S17*CH4_to_CO2e/1000</f>
        <v>3.6759055403875616</v>
      </c>
      <c r="T52" s="128">
        <f>'Waste - Water Treatment'!T17*CH4_to_CO2e/1000</f>
        <v>3.6979196491662529</v>
      </c>
      <c r="U52" s="128">
        <f>'Waste - Water Treatment'!U17*CH4_to_CO2e/1000</f>
        <v>3.7194541201941402</v>
      </c>
      <c r="V52" s="128">
        <f>'Waste - Water Treatment'!V17*CH4_to_CO2e/1000</f>
        <v>3.7405255880149602</v>
      </c>
      <c r="W52" s="128">
        <f>'Waste - Water Treatment'!W17*CH4_to_CO2e/1000</f>
        <v>3.7611839159093039</v>
      </c>
      <c r="X52" s="128">
        <f>'Waste - Water Treatment'!X17*CH4_to_CO2e/1000</f>
        <v>3.7814423388810421</v>
      </c>
      <c r="Y52" s="128">
        <f>'Waste - Water Treatment'!Y17*CH4_to_CO2e/1000</f>
        <v>3.8013205782964605</v>
      </c>
      <c r="Z52" s="128">
        <f>'Waste - Water Treatment'!Z17*CH4_to_CO2e/1000</f>
        <v>3.8208450940756462</v>
      </c>
      <c r="AA52" s="128">
        <f>'Waste - Water Treatment'!AA17*CH4_to_CO2e/1000</f>
        <v>3.8400485197837853</v>
      </c>
      <c r="AB52" s="128">
        <f>'Waste - Water Treatment'!AB17*CH4_to_CO2e/1000</f>
        <v>3.8589656376566595</v>
      </c>
      <c r="AC52" s="128">
        <f>'Waste - Water Treatment'!AC17*CH4_to_CO2e/1000</f>
        <v>3.8776352549045527</v>
      </c>
      <c r="AD52" s="128">
        <f>'Waste - Water Treatment'!AD17*CH4_to_CO2e/1000</f>
        <v>3.8960939897165288</v>
      </c>
      <c r="AE52" s="128">
        <f>'Waste - Water Treatment'!AE17*CH4_to_CO2e/1000</f>
        <v>3.9143858646207064</v>
      </c>
      <c r="AF52" s="128">
        <f>'Waste - Water Treatment'!AF17*CH4_to_CO2e/1000</f>
        <v>3.9325542968858831</v>
      </c>
      <c r="AG52" s="128">
        <f>'Waste - Water Treatment'!AG17*CH4_to_CO2e/1000</f>
        <v>3.9506540826561349</v>
      </c>
      <c r="AH52" s="128">
        <f>'Waste - Water Treatment'!AH17*CH4_to_CO2e/1000</f>
        <v>3.9686845964968263</v>
      </c>
      <c r="AI52" s="128">
        <f>'Waste - Water Treatment'!AI17*CH4_to_CO2e/1000</f>
        <v>3.9866750926085874</v>
      </c>
      <c r="AJ52" s="128">
        <f>'Waste - Water Treatment'!AJ17*CH4_to_CO2e/1000</f>
        <v>4.0046791263538815</v>
      </c>
      <c r="AK52" s="128">
        <f>'Waste - Water Treatment'!AK17*CH4_to_CO2e/1000</f>
        <v>4.0227281106915918</v>
      </c>
    </row>
    <row r="53" spans="1:37" x14ac:dyDescent="0.25">
      <c r="A53" s="122" t="s">
        <v>1074</v>
      </c>
      <c r="B53" s="128">
        <f>'Waste - Water Treatment'!B22*CH4_to_CO2e/1000</f>
        <v>0.224</v>
      </c>
      <c r="C53" s="128">
        <f>'Waste - Water Treatment'!C22*CH4_to_CO2e/1000</f>
        <v>0.22575024856069842</v>
      </c>
      <c r="D53" s="128">
        <f>'Waste - Water Treatment'!D22*CH4_to_CO2e/1000</f>
        <v>0.22759499688568488</v>
      </c>
      <c r="E53" s="128">
        <f>'Waste - Water Treatment'!E22*CH4_to_CO2e/1000</f>
        <v>0.22942492540135359</v>
      </c>
      <c r="F53" s="128">
        <f>'Waste - Water Treatment'!F22*CH4_to_CO2e/1000</f>
        <v>0.23125228539125006</v>
      </c>
      <c r="G53" s="128">
        <f>'Waste - Water Treatment'!G22*CH4_to_CO2e/1000</f>
        <v>0.23307344599513435</v>
      </c>
      <c r="H53" s="128">
        <f>'Waste - Water Treatment'!H22*CH4_to_CO2e/1000</f>
        <v>0.23488473391504405</v>
      </c>
      <c r="I53" s="128">
        <f>'Waste - Water Treatment'!I22*CH4_to_CO2e/1000</f>
        <v>0.23668425962876954</v>
      </c>
      <c r="J53" s="128">
        <f>'Waste - Water Treatment'!J22*CH4_to_CO2e/1000</f>
        <v>0.23846979480802044</v>
      </c>
      <c r="K53" s="128">
        <f>'Waste - Water Treatment'!K22*CH4_to_CO2e/1000</f>
        <v>0.24023946941019755</v>
      </c>
      <c r="L53" s="128">
        <f>'Waste - Water Treatment'!L22*CH4_to_CO2e/1000</f>
        <v>0.24199050411231596</v>
      </c>
      <c r="M53" s="128">
        <f>'Waste - Water Treatment'!M22*CH4_to_CO2e/1000</f>
        <v>0.24372236670359143</v>
      </c>
      <c r="N53" s="128">
        <f>'Waste - Water Treatment'!N22*CH4_to_CO2e/1000</f>
        <v>0.2454287304848437</v>
      </c>
      <c r="O53" s="128">
        <f>'Waste - Water Treatment'!O22*CH4_to_CO2e/1000</f>
        <v>0.24710762105841794</v>
      </c>
      <c r="P53" s="128">
        <f>'Waste - Water Treatment'!P22*CH4_to_CO2e/1000</f>
        <v>0.24875672522057835</v>
      </c>
      <c r="Q53" s="128">
        <f>'Waste - Water Treatment'!Q22*CH4_to_CO2e/1000</f>
        <v>0.25037427937088269</v>
      </c>
      <c r="R53" s="128">
        <f>'Waste - Water Treatment'!R22*CH4_to_CO2e/1000</f>
        <v>0.25195913769081874</v>
      </c>
      <c r="S53" s="128">
        <f>'Waste - Water Treatment'!S22*CH4_to_CO2e/1000</f>
        <v>0.25351072692328019</v>
      </c>
      <c r="T53" s="128">
        <f>'Waste - Water Treatment'!T22*CH4_to_CO2e/1000</f>
        <v>0.25502894132181064</v>
      </c>
      <c r="U53" s="128">
        <f>'Waste - Water Treatment'!U22*CH4_to_CO2e/1000</f>
        <v>0.25651407725476844</v>
      </c>
      <c r="V53" s="128">
        <f>'Waste - Water Treatment'!V22*CH4_to_CO2e/1000</f>
        <v>0.25796728193206636</v>
      </c>
      <c r="W53" s="128">
        <f>'Waste - Water Treatment'!W22*CH4_to_CO2e/1000</f>
        <v>0.2593919942006418</v>
      </c>
      <c r="X53" s="128">
        <f>'Waste - Water Treatment'!X22*CH4_to_CO2e/1000</f>
        <v>0.26078912681938238</v>
      </c>
      <c r="Y53" s="128">
        <f>'Waste - Water Treatment'!Y22*CH4_to_CO2e/1000</f>
        <v>0.26216003988251468</v>
      </c>
      <c r="Z53" s="128">
        <f>'Waste - Water Treatment'!Z22*CH4_to_CO2e/1000</f>
        <v>0.26350655821211377</v>
      </c>
      <c r="AA53" s="128">
        <f>'Waste - Water Treatment'!AA22*CH4_to_CO2e/1000</f>
        <v>0.26483093239888189</v>
      </c>
      <c r="AB53" s="128">
        <f>'Waste - Water Treatment'!AB22*CH4_to_CO2e/1000</f>
        <v>0.26613556121770082</v>
      </c>
      <c r="AC53" s="128">
        <f>'Waste - Water Treatment'!AC22*CH4_to_CO2e/1000</f>
        <v>0.26742312102790033</v>
      </c>
      <c r="AD53" s="128">
        <f>'Waste - Water Treatment'!AD22*CH4_to_CO2e/1000</f>
        <v>0.26869613722182972</v>
      </c>
      <c r="AE53" s="128">
        <f>'Waste - Water Treatment'!AE22*CH4_to_CO2e/1000</f>
        <v>0.26995764583591098</v>
      </c>
      <c r="AF53" s="128">
        <f>'Waste - Water Treatment'!AF22*CH4_to_CO2e/1000</f>
        <v>0.27121064116454385</v>
      </c>
      <c r="AG53" s="128">
        <f>'Waste - Water Treatment'!AG22*CH4_to_CO2e/1000</f>
        <v>0.27245890225214742</v>
      </c>
      <c r="AH53" s="128">
        <f>'Waste - Water Treatment'!AH22*CH4_to_CO2e/1000</f>
        <v>0.27370238596529856</v>
      </c>
      <c r="AI53" s="128">
        <f>'Waste - Water Treatment'!AI22*CH4_to_CO2e/1000</f>
        <v>0.27494310983507525</v>
      </c>
      <c r="AJ53" s="128">
        <f>'Waste - Water Treatment'!AJ22*CH4_to_CO2e/1000</f>
        <v>0.27618476733475072</v>
      </c>
      <c r="AK53" s="128">
        <f>'Waste - Water Treatment'!AK22*CH4_to_CO2e/1000</f>
        <v>0.2774295248752825</v>
      </c>
    </row>
    <row r="54" spans="1:37" x14ac:dyDescent="0.25">
      <c r="A54" s="122" t="s">
        <v>1832</v>
      </c>
      <c r="B54" s="128">
        <f>'Other Industrial Processes'!C533*CH4_to_CO2e/1000</f>
        <v>2.3519999999999999</v>
      </c>
      <c r="C54" s="128">
        <f>'Other Industrial Processes'!D533*CH4_to_CO2e/1000</f>
        <v>2.38</v>
      </c>
      <c r="D54" s="128">
        <f>'Other Industrial Processes'!E533*CH4_to_CO2e/1000</f>
        <v>2.4079999999999999</v>
      </c>
      <c r="E54" s="128">
        <f>'Other Industrial Processes'!F533*CH4_to_CO2e/1000</f>
        <v>2.4359999999999999</v>
      </c>
      <c r="F54" s="128">
        <f>'Other Industrial Processes'!G533*CH4_to_CO2e/1000</f>
        <v>2.464</v>
      </c>
      <c r="G54" s="128">
        <f>'Other Industrial Processes'!H533*CH4_to_CO2e/1000</f>
        <v>2.492</v>
      </c>
      <c r="H54" s="128">
        <f>'Other Industrial Processes'!I533*CH4_to_CO2e/1000</f>
        <v>2.52</v>
      </c>
      <c r="I54" s="128">
        <f>'Other Industrial Processes'!J533*CH4_to_CO2e/1000</f>
        <v>2.548</v>
      </c>
      <c r="J54" s="128">
        <f>'Other Industrial Processes'!K533*CH4_to_CO2e/1000</f>
        <v>2.5760000000000001</v>
      </c>
      <c r="K54" s="128">
        <f>'Other Industrial Processes'!L533*CH4_to_CO2e/1000</f>
        <v>2.6040000000000001</v>
      </c>
      <c r="L54" s="128">
        <f>'Other Industrial Processes'!M533*CH4_to_CO2e/1000</f>
        <v>2.6320000000000001</v>
      </c>
      <c r="M54" s="128">
        <f>'Other Industrial Processes'!N533*CH4_to_CO2e/1000</f>
        <v>2.66</v>
      </c>
      <c r="N54" s="128">
        <f>'Other Industrial Processes'!O533*CH4_to_CO2e/1000</f>
        <v>2.6880000000000002</v>
      </c>
      <c r="O54" s="128">
        <f>'Other Industrial Processes'!P533*CH4_to_CO2e/1000</f>
        <v>2.7160000000000002</v>
      </c>
      <c r="P54" s="128">
        <f>'Other Industrial Processes'!Q533*CH4_to_CO2e/1000</f>
        <v>2.7440000000000002</v>
      </c>
      <c r="Q54" s="128">
        <f>'Other Industrial Processes'!R533*CH4_to_CO2e/1000</f>
        <v>2.7719999999999998</v>
      </c>
      <c r="R54" s="128">
        <f>'Other Industrial Processes'!S533*CH4_to_CO2e/1000</f>
        <v>2.8</v>
      </c>
      <c r="S54" s="128">
        <f>'Other Industrial Processes'!T533*CH4_to_CO2e/1000</f>
        <v>2.8279999999999998</v>
      </c>
      <c r="T54" s="128">
        <f>'Other Industrial Processes'!U533*CH4_to_CO2e/1000</f>
        <v>2.8559999999999999</v>
      </c>
      <c r="U54" s="128">
        <f>'Other Industrial Processes'!V533*CH4_to_CO2e/1000</f>
        <v>2.8839999999999999</v>
      </c>
      <c r="V54" s="128">
        <f>'Other Industrial Processes'!W533*CH4_to_CO2e/1000</f>
        <v>2.9119999999999999</v>
      </c>
      <c r="W54" s="128">
        <f>'Other Industrial Processes'!X533*CH4_to_CO2e/1000</f>
        <v>2.94</v>
      </c>
      <c r="X54" s="128">
        <f>'Other Industrial Processes'!Y533*CH4_to_CO2e/1000</f>
        <v>2.968</v>
      </c>
      <c r="Y54" s="128">
        <f>'Other Industrial Processes'!Z533*CH4_to_CO2e/1000</f>
        <v>2.996</v>
      </c>
      <c r="Z54" s="128">
        <f>'Other Industrial Processes'!AA533*CH4_to_CO2e/1000</f>
        <v>3.024</v>
      </c>
      <c r="AA54" s="128">
        <f>'Other Industrial Processes'!AB533*CH4_to_CO2e/1000</f>
        <v>3.052</v>
      </c>
      <c r="AB54" s="128">
        <f>'Other Industrial Processes'!AC533*CH4_to_CO2e/1000</f>
        <v>3.08</v>
      </c>
      <c r="AC54" s="128">
        <f>'Other Industrial Processes'!AD533*CH4_to_CO2e/1000</f>
        <v>3.1080000000000001</v>
      </c>
      <c r="AD54" s="128">
        <f>'Other Industrial Processes'!AE533*CH4_to_CO2e/1000</f>
        <v>3.1360000000000001</v>
      </c>
      <c r="AE54" s="128">
        <f>'Other Industrial Processes'!AF533*CH4_to_CO2e/1000</f>
        <v>3.1640000000000001</v>
      </c>
      <c r="AF54" s="128">
        <f>'Other Industrial Processes'!AG533*CH4_to_CO2e/1000</f>
        <v>3.1920000000000002</v>
      </c>
      <c r="AG54" s="128">
        <f>'Other Industrial Processes'!AH533*CH4_to_CO2e/1000</f>
        <v>3.22</v>
      </c>
      <c r="AH54" s="128">
        <f>'Other Industrial Processes'!AI533*CH4_to_CO2e/1000</f>
        <v>3.2480000000000002</v>
      </c>
      <c r="AI54" s="128">
        <f>'Other Industrial Processes'!AJ533*CH4_to_CO2e/1000</f>
        <v>3.2759999999999998</v>
      </c>
      <c r="AJ54" s="128">
        <f>'Other Industrial Processes'!AK533*CH4_to_CO2e/1000</f>
        <v>3.3039999999999998</v>
      </c>
      <c r="AK54" s="128">
        <f>'Other Industrial Processes'!AL533*CH4_to_CO2e/1000</f>
        <v>3.3319999999999999</v>
      </c>
    </row>
    <row r="55" spans="1:37" x14ac:dyDescent="0.25">
      <c r="A55" s="122" t="s">
        <v>1836</v>
      </c>
      <c r="B55" s="128">
        <f>'Other Industrial Processes'!C534*N2O_to_CO2e/1000</f>
        <v>1.59</v>
      </c>
      <c r="C55" s="128">
        <f>'Other Industrial Processes'!D534*N2O_to_CO2e/1000</f>
        <v>1.59</v>
      </c>
      <c r="D55" s="128">
        <f>'Other Industrial Processes'!E534*N2O_to_CO2e/1000</f>
        <v>1.59</v>
      </c>
      <c r="E55" s="128">
        <f>'Other Industrial Processes'!F534*N2O_to_CO2e/1000</f>
        <v>1.59</v>
      </c>
      <c r="F55" s="128">
        <f>'Other Industrial Processes'!G534*N2O_to_CO2e/1000</f>
        <v>1.59</v>
      </c>
      <c r="G55" s="128">
        <f>'Other Industrial Processes'!H534*N2O_to_CO2e/1000</f>
        <v>1.59</v>
      </c>
      <c r="H55" s="128">
        <f>'Other Industrial Processes'!I534*N2O_to_CO2e/1000</f>
        <v>1.59</v>
      </c>
      <c r="I55" s="128">
        <f>'Other Industrial Processes'!J534*N2O_to_CO2e/1000</f>
        <v>1.59</v>
      </c>
      <c r="J55" s="128">
        <f>'Other Industrial Processes'!K534*N2O_to_CO2e/1000</f>
        <v>1.59</v>
      </c>
      <c r="K55" s="128">
        <f>'Other Industrial Processes'!L534*N2O_to_CO2e/1000</f>
        <v>1.59</v>
      </c>
      <c r="L55" s="128">
        <f>'Other Industrial Processes'!M534*N2O_to_CO2e/1000</f>
        <v>1.59</v>
      </c>
      <c r="M55" s="128">
        <f>'Other Industrial Processes'!N534*N2O_to_CO2e/1000</f>
        <v>1.59</v>
      </c>
      <c r="N55" s="128">
        <f>'Other Industrial Processes'!O534*N2O_to_CO2e/1000</f>
        <v>1.59</v>
      </c>
      <c r="O55" s="128">
        <f>'Other Industrial Processes'!P534*N2O_to_CO2e/1000</f>
        <v>1.59</v>
      </c>
      <c r="P55" s="128">
        <f>'Other Industrial Processes'!Q534*N2O_to_CO2e/1000</f>
        <v>1.59</v>
      </c>
      <c r="Q55" s="128">
        <f>'Other Industrial Processes'!R534*N2O_to_CO2e/1000</f>
        <v>1.59</v>
      </c>
      <c r="R55" s="128">
        <f>'Other Industrial Processes'!S534*N2O_to_CO2e/1000</f>
        <v>1.59</v>
      </c>
      <c r="S55" s="128">
        <f>'Other Industrial Processes'!T534*N2O_to_CO2e/1000</f>
        <v>1.59</v>
      </c>
      <c r="T55" s="128">
        <f>'Other Industrial Processes'!U534*N2O_to_CO2e/1000</f>
        <v>1.59</v>
      </c>
      <c r="U55" s="128">
        <f>'Other Industrial Processes'!V534*N2O_to_CO2e/1000</f>
        <v>1.59</v>
      </c>
      <c r="V55" s="128">
        <f>'Other Industrial Processes'!W534*N2O_to_CO2e/1000</f>
        <v>1.59</v>
      </c>
      <c r="W55" s="128">
        <f>'Other Industrial Processes'!X534*N2O_to_CO2e/1000</f>
        <v>1.59</v>
      </c>
      <c r="X55" s="128">
        <f>'Other Industrial Processes'!Y534*N2O_to_CO2e/1000</f>
        <v>1.59</v>
      </c>
      <c r="Y55" s="128">
        <f>'Other Industrial Processes'!Z534*N2O_to_CO2e/1000</f>
        <v>1.59</v>
      </c>
      <c r="Z55" s="128">
        <f>'Other Industrial Processes'!AA534*N2O_to_CO2e/1000</f>
        <v>1.59</v>
      </c>
      <c r="AA55" s="128">
        <f>'Other Industrial Processes'!AB534*N2O_to_CO2e/1000</f>
        <v>1.59</v>
      </c>
      <c r="AB55" s="128">
        <f>'Other Industrial Processes'!AC534*N2O_to_CO2e/1000</f>
        <v>1.59</v>
      </c>
      <c r="AC55" s="128">
        <f>'Other Industrial Processes'!AD534*N2O_to_CO2e/1000</f>
        <v>1.59</v>
      </c>
      <c r="AD55" s="128">
        <f>'Other Industrial Processes'!AE534*N2O_to_CO2e/1000</f>
        <v>1.59</v>
      </c>
      <c r="AE55" s="128">
        <f>'Other Industrial Processes'!AF534*N2O_to_CO2e/1000</f>
        <v>1.59</v>
      </c>
      <c r="AF55" s="128">
        <f>'Other Industrial Processes'!AG534*N2O_to_CO2e/1000</f>
        <v>1.59</v>
      </c>
      <c r="AG55" s="128">
        <f>'Other Industrial Processes'!AH534*N2O_to_CO2e/1000</f>
        <v>1.59</v>
      </c>
      <c r="AH55" s="128">
        <f>'Other Industrial Processes'!AI534*N2O_to_CO2e/1000</f>
        <v>1.59</v>
      </c>
      <c r="AI55" s="128">
        <f>'Other Industrial Processes'!AJ534*N2O_to_CO2e/1000</f>
        <v>1.59</v>
      </c>
      <c r="AJ55" s="128">
        <f>'Other Industrial Processes'!AK534*N2O_to_CO2e/1000</f>
        <v>1.59</v>
      </c>
      <c r="AK55" s="128">
        <f>'Other Industrial Processes'!AL534*N2O_to_CO2e/1000</f>
        <v>1.59</v>
      </c>
    </row>
    <row r="56" spans="1:37" x14ac:dyDescent="0.25">
      <c r="A56" s="337" t="s">
        <v>1842</v>
      </c>
      <c r="B56" s="128">
        <f>'Waste - Water Treatment'!B82*CH4_to_CO2e/1000</f>
        <v>6.4959999999999987</v>
      </c>
      <c r="C56" s="128">
        <f>'Waste - Water Treatment'!C82*CH4_to_CO2e/1000</f>
        <v>6.496783999999999</v>
      </c>
      <c r="D56" s="128">
        <f>'Waste - Water Treatment'!D82*CH4_to_CO2e/1000</f>
        <v>6.4975679999999985</v>
      </c>
      <c r="E56" s="128">
        <f>'Waste - Water Treatment'!E82*CH4_to_CO2e/1000</f>
        <v>6.4983519999999988</v>
      </c>
      <c r="F56" s="128">
        <f>'Waste - Water Treatment'!F82*CH4_to_CO2e/1000</f>
        <v>6.4991359999999982</v>
      </c>
      <c r="G56" s="128">
        <f>'Waste - Water Treatment'!G82*CH4_to_CO2e/1000</f>
        <v>6.4999199999999986</v>
      </c>
      <c r="H56" s="128">
        <f>'Waste - Water Treatment'!H82*CH4_to_CO2e/1000</f>
        <v>6.500703999999998</v>
      </c>
      <c r="I56" s="128">
        <f>'Waste - Water Treatment'!I82*CH4_to_CO2e/1000</f>
        <v>6.5014879999999975</v>
      </c>
      <c r="J56" s="128">
        <f>'Waste - Water Treatment'!J82*CH4_to_CO2e/1000</f>
        <v>6.5022719999999969</v>
      </c>
      <c r="K56" s="128">
        <f>'Waste - Water Treatment'!K82*CH4_to_CO2e/1000</f>
        <v>6.5030559999999973</v>
      </c>
      <c r="L56" s="128">
        <f>'Waste - Water Treatment'!L82*CH4_to_CO2e/1000</f>
        <v>6.5038399999999967</v>
      </c>
      <c r="M56" s="128">
        <f>'Waste - Water Treatment'!M82*CH4_to_CO2e/1000</f>
        <v>6.5046239999999962</v>
      </c>
      <c r="N56" s="128">
        <f>'Waste - Water Treatment'!N82*CH4_to_CO2e/1000</f>
        <v>6.5054079999999965</v>
      </c>
      <c r="O56" s="128">
        <f>'Waste - Water Treatment'!O82*CH4_to_CO2e/1000</f>
        <v>6.506191999999996</v>
      </c>
      <c r="P56" s="128">
        <f>'Waste - Water Treatment'!P82*CH4_to_CO2e/1000</f>
        <v>6.5069759999999963</v>
      </c>
      <c r="Q56" s="128">
        <f>'Waste - Water Treatment'!Q82*CH4_to_CO2e/1000</f>
        <v>6.5077599999999958</v>
      </c>
      <c r="R56" s="128">
        <f>'Waste - Water Treatment'!R82*CH4_to_CO2e/1000</f>
        <v>6.5085439999999952</v>
      </c>
      <c r="S56" s="128">
        <f>'Waste - Water Treatment'!S82*CH4_to_CO2e/1000</f>
        <v>6.5093279999999947</v>
      </c>
      <c r="T56" s="128">
        <f>'Waste - Water Treatment'!T82*CH4_to_CO2e/1000</f>
        <v>6.510111999999995</v>
      </c>
      <c r="U56" s="128">
        <f>'Waste - Water Treatment'!U82*CH4_to_CO2e/1000</f>
        <v>6.5108959999999954</v>
      </c>
      <c r="V56" s="128">
        <f>'Waste - Water Treatment'!V82*CH4_to_CO2e/1000</f>
        <v>6.5116799999999948</v>
      </c>
      <c r="W56" s="128">
        <f>'Waste - Water Treatment'!W82*CH4_to_CO2e/1000</f>
        <v>6.5124639999999943</v>
      </c>
      <c r="X56" s="128">
        <f>'Waste - Water Treatment'!X82*CH4_to_CO2e/1000</f>
        <v>6.5132479999999937</v>
      </c>
      <c r="Y56" s="128">
        <f>'Waste - Water Treatment'!Y82*CH4_to_CO2e/1000</f>
        <v>6.514031999999994</v>
      </c>
      <c r="Z56" s="128">
        <f>'Waste - Water Treatment'!Z82*CH4_to_CO2e/1000</f>
        <v>6.5148159999999935</v>
      </c>
      <c r="AA56" s="128">
        <f>'Waste - Water Treatment'!AA82*CH4_to_CO2e/1000</f>
        <v>6.515599999999993</v>
      </c>
      <c r="AB56" s="128">
        <f>'Waste - Water Treatment'!AB82*CH4_to_CO2e/1000</f>
        <v>6.5163839999999924</v>
      </c>
      <c r="AC56" s="128">
        <f>'Waste - Water Treatment'!AC82*CH4_to_CO2e/1000</f>
        <v>6.5171679999999927</v>
      </c>
      <c r="AD56" s="128">
        <f>'Waste - Water Treatment'!AD82*CH4_to_CO2e/1000</f>
        <v>6.5179519999999931</v>
      </c>
      <c r="AE56" s="128">
        <f>'Waste - Water Treatment'!AE82*CH4_to_CO2e/1000</f>
        <v>6.5187359999999925</v>
      </c>
      <c r="AF56" s="128">
        <f>'Waste - Water Treatment'!AF82*CH4_to_CO2e/1000</f>
        <v>6.519519999999992</v>
      </c>
      <c r="AG56" s="128">
        <f>'Waste - Water Treatment'!AG82*CH4_to_CO2e/1000</f>
        <v>6.5203039999999923</v>
      </c>
      <c r="AH56" s="128">
        <f>'Waste - Water Treatment'!AH82*CH4_to_CO2e/1000</f>
        <v>6.5210879999999918</v>
      </c>
      <c r="AI56" s="128">
        <f>'Waste - Water Treatment'!AI82*CH4_to_CO2e/1000</f>
        <v>6.5218719999999912</v>
      </c>
      <c r="AJ56" s="128">
        <f>'Waste - Water Treatment'!AJ82*CH4_to_CO2e/1000</f>
        <v>6.5226559999999907</v>
      </c>
      <c r="AK56" s="128">
        <f>'Waste - Water Treatment'!AK82*CH4_to_CO2e/1000</f>
        <v>6.523439999999991</v>
      </c>
    </row>
    <row r="57" spans="1:37" x14ac:dyDescent="0.25">
      <c r="A57" s="131"/>
      <c r="B57" s="128"/>
      <c r="C57" s="128"/>
      <c r="D57" s="128"/>
      <c r="E57" s="128"/>
      <c r="F57" s="128"/>
      <c r="G57" s="128"/>
      <c r="H57" s="128"/>
      <c r="I57" s="128"/>
      <c r="J57" s="128"/>
    </row>
    <row r="58" spans="1:37" x14ac:dyDescent="0.25">
      <c r="A58" s="132" t="s">
        <v>459</v>
      </c>
      <c r="B58" s="128"/>
      <c r="C58" s="128"/>
      <c r="D58" s="128"/>
      <c r="E58" s="128"/>
      <c r="F58" s="128"/>
      <c r="G58" s="128"/>
      <c r="H58" s="128"/>
      <c r="I58" s="128"/>
      <c r="J58" s="128"/>
    </row>
    <row r="59" spans="1:37" x14ac:dyDescent="0.25">
      <c r="A59" s="133" t="s">
        <v>1027</v>
      </c>
      <c r="B59" s="127">
        <f>SUM(B61,B62,B63,B66,B68)</f>
        <v>239.1954172619447</v>
      </c>
      <c r="C59" s="127">
        <f t="shared" ref="C59:AK59" si="12">SUM(C61,C62,C63,C66,C68)</f>
        <v>240.56775638309071</v>
      </c>
      <c r="D59" s="127">
        <f t="shared" si="12"/>
        <v>240.20958357699811</v>
      </c>
      <c r="E59" s="127">
        <f t="shared" si="12"/>
        <v>239.854433908987</v>
      </c>
      <c r="F59" s="127">
        <f t="shared" si="12"/>
        <v>240.23266111960163</v>
      </c>
      <c r="G59" s="127">
        <f t="shared" si="12"/>
        <v>240.30520029450992</v>
      </c>
      <c r="H59" s="127">
        <f t="shared" si="12"/>
        <v>240.68602457021206</v>
      </c>
      <c r="I59" s="127">
        <f t="shared" si="12"/>
        <v>240.70302325215704</v>
      </c>
      <c r="J59" s="127">
        <f t="shared" si="12"/>
        <v>240.56819523771625</v>
      </c>
      <c r="K59" s="127">
        <f t="shared" si="12"/>
        <v>240.4640773761833</v>
      </c>
      <c r="L59" s="127">
        <f t="shared" si="12"/>
        <v>240.38692977362024</v>
      </c>
      <c r="M59" s="127">
        <f t="shared" si="12"/>
        <v>240.27907793123705</v>
      </c>
      <c r="N59" s="127">
        <f t="shared" si="12"/>
        <v>240.43513614880149</v>
      </c>
      <c r="O59" s="127">
        <f t="shared" si="12"/>
        <v>240.59288459128589</v>
      </c>
      <c r="P59" s="127">
        <f t="shared" si="12"/>
        <v>240.75233317457935</v>
      </c>
      <c r="Q59" s="127">
        <f t="shared" si="12"/>
        <v>240.91349192662574</v>
      </c>
      <c r="R59" s="127">
        <f t="shared" si="12"/>
        <v>241.0763709878758</v>
      </c>
      <c r="S59" s="127">
        <f t="shared" si="12"/>
        <v>241.24098061174908</v>
      </c>
      <c r="T59" s="127">
        <f t="shared" si="12"/>
        <v>241.4073311651068</v>
      </c>
      <c r="U59" s="127">
        <f t="shared" si="12"/>
        <v>241.57543312873514</v>
      </c>
      <c r="V59" s="127">
        <f t="shared" si="12"/>
        <v>241.74529709783906</v>
      </c>
      <c r="W59" s="127">
        <f t="shared" si="12"/>
        <v>241.91693378254624</v>
      </c>
      <c r="X59" s="127">
        <f t="shared" si="12"/>
        <v>242.09035400842242</v>
      </c>
      <c r="Y59" s="127">
        <f t="shared" si="12"/>
        <v>242.26556871699637</v>
      </c>
      <c r="Z59" s="127">
        <f t="shared" si="12"/>
        <v>242.44258896629589</v>
      </c>
      <c r="AA59" s="127">
        <f t="shared" si="12"/>
        <v>242.6214259313943</v>
      </c>
      <c r="AB59" s="127">
        <f t="shared" si="12"/>
        <v>242.80209090496749</v>
      </c>
      <c r="AC59" s="127">
        <f t="shared" si="12"/>
        <v>242.98459529786143</v>
      </c>
      <c r="AD59" s="127">
        <f t="shared" si="12"/>
        <v>243.16895063967058</v>
      </c>
      <c r="AE59" s="127">
        <f t="shared" si="12"/>
        <v>243.35516857932654</v>
      </c>
      <c r="AF59" s="127">
        <f t="shared" si="12"/>
        <v>243.54326088569763</v>
      </c>
      <c r="AG59" s="127">
        <f t="shared" si="12"/>
        <v>243.73323944819901</v>
      </c>
      <c r="AH59" s="127">
        <f t="shared" si="12"/>
        <v>243.92511627741351</v>
      </c>
      <c r="AI59" s="127">
        <f t="shared" si="12"/>
        <v>244.1189035057231</v>
      </c>
      <c r="AJ59" s="127">
        <f t="shared" si="12"/>
        <v>244.31461338795117</v>
      </c>
      <c r="AK59" s="127">
        <f t="shared" si="12"/>
        <v>244.51225830201545</v>
      </c>
    </row>
    <row r="60" spans="1:37" x14ac:dyDescent="0.25">
      <c r="A60" s="133" t="s">
        <v>1028</v>
      </c>
      <c r="B60" s="127">
        <f>SUM(B64,B65,B67,B69)</f>
        <v>273.73779601050313</v>
      </c>
      <c r="C60" s="127">
        <f t="shared" ref="C60:AK60" si="13">SUM(C64,C65,C67,C69)</f>
        <v>279.6243386560368</v>
      </c>
      <c r="D60" s="127">
        <f t="shared" si="13"/>
        <v>284.91208776309668</v>
      </c>
      <c r="E60" s="127">
        <f t="shared" si="13"/>
        <v>284.23370683239483</v>
      </c>
      <c r="F60" s="127">
        <f t="shared" si="13"/>
        <v>289.61014144885479</v>
      </c>
      <c r="G60" s="127">
        <f t="shared" si="13"/>
        <v>292.98480772519167</v>
      </c>
      <c r="H60" s="127">
        <f t="shared" si="13"/>
        <v>297.45025001025158</v>
      </c>
      <c r="I60" s="127">
        <f t="shared" si="13"/>
        <v>299.22953855565686</v>
      </c>
      <c r="J60" s="127">
        <f t="shared" si="13"/>
        <v>301.76051226102709</v>
      </c>
      <c r="K60" s="127">
        <f t="shared" si="13"/>
        <v>302.96830690252222</v>
      </c>
      <c r="L60" s="127">
        <f t="shared" si="13"/>
        <v>304.84735551242261</v>
      </c>
      <c r="M60" s="127">
        <f t="shared" si="13"/>
        <v>306.48739504962191</v>
      </c>
      <c r="N60" s="127">
        <f t="shared" si="13"/>
        <v>309.94035885078165</v>
      </c>
      <c r="O60" s="127">
        <f t="shared" si="13"/>
        <v>313.4452963076651</v>
      </c>
      <c r="P60" s="127">
        <f t="shared" si="13"/>
        <v>317.00313199772819</v>
      </c>
      <c r="Q60" s="127">
        <f t="shared" si="13"/>
        <v>319.59654677898106</v>
      </c>
      <c r="R60" s="127">
        <f t="shared" si="13"/>
        <v>322.22971060400971</v>
      </c>
      <c r="S60" s="127">
        <f t="shared" si="13"/>
        <v>324.90341742194317</v>
      </c>
      <c r="T60" s="127">
        <f t="shared" si="13"/>
        <v>327.61847926610085</v>
      </c>
      <c r="U60" s="127">
        <f t="shared" si="13"/>
        <v>330.37572667693638</v>
      </c>
      <c r="V60" s="127">
        <f t="shared" si="13"/>
        <v>333.17600913504918</v>
      </c>
      <c r="W60" s="127">
        <f t="shared" si="13"/>
        <v>336.02019550450319</v>
      </c>
      <c r="X60" s="127">
        <f t="shared" si="13"/>
        <v>338.90917448669836</v>
      </c>
      <c r="Y60" s="127">
        <f t="shared" si="13"/>
        <v>341.84385508504567</v>
      </c>
      <c r="Z60" s="127">
        <f t="shared" si="13"/>
        <v>344.82516708070403</v>
      </c>
      <c r="AA60" s="127">
        <f t="shared" si="13"/>
        <v>347.85406151964031</v>
      </c>
      <c r="AB60" s="127">
        <f t="shared" si="13"/>
        <v>350.93151121128483</v>
      </c>
      <c r="AC60" s="127">
        <f t="shared" si="13"/>
        <v>354.05851123905546</v>
      </c>
      <c r="AD60" s="127">
        <f t="shared" si="13"/>
        <v>357.23607948303538</v>
      </c>
      <c r="AE60" s="127">
        <f t="shared" si="13"/>
        <v>360.46525715509301</v>
      </c>
      <c r="AF60" s="127">
        <f t="shared" si="13"/>
        <v>363.74710934673948</v>
      </c>
      <c r="AG60" s="127">
        <f t="shared" si="13"/>
        <v>367.0827255900287</v>
      </c>
      <c r="AH60" s="127">
        <f t="shared" si="13"/>
        <v>370.47322043181009</v>
      </c>
      <c r="AI60" s="127">
        <f t="shared" si="13"/>
        <v>373.91973402165053</v>
      </c>
      <c r="AJ60" s="127">
        <f t="shared" si="13"/>
        <v>377.42343271375364</v>
      </c>
      <c r="AK60" s="127">
        <f t="shared" si="13"/>
        <v>380.98550968320791</v>
      </c>
    </row>
    <row r="61" spans="1:37" x14ac:dyDescent="0.25">
      <c r="A61" s="120" t="s">
        <v>1065</v>
      </c>
      <c r="B61" s="128">
        <f>'Agriculture - Soil Mgmt'!B44*N2O_to_CO2e/1000</f>
        <v>52.466442953020128</v>
      </c>
      <c r="C61" s="128">
        <f>'Agriculture - Soil Mgmt'!C44*N2O_to_CO2e/1000</f>
        <v>52.466442953020128</v>
      </c>
      <c r="D61" s="128">
        <f>'Agriculture - Soil Mgmt'!D44*N2O_to_CO2e/1000</f>
        <v>52.466442953020128</v>
      </c>
      <c r="E61" s="128">
        <f>'Agriculture - Soil Mgmt'!E44*N2O_to_CO2e/1000</f>
        <v>52.466442953020128</v>
      </c>
      <c r="F61" s="128">
        <f>'Agriculture - Soil Mgmt'!F44*N2O_to_CO2e/1000</f>
        <v>52.466442953020128</v>
      </c>
      <c r="G61" s="128">
        <f>'Agriculture - Soil Mgmt'!G44*N2O_to_CO2e/1000</f>
        <v>52.466442953020128</v>
      </c>
      <c r="H61" s="128">
        <f>'Agriculture - Soil Mgmt'!H44*N2O_to_CO2e/1000</f>
        <v>52.466442953020128</v>
      </c>
      <c r="I61" s="128">
        <f>'Agriculture - Soil Mgmt'!I44*N2O_to_CO2e/1000</f>
        <v>52.466442953020128</v>
      </c>
      <c r="J61" s="128">
        <f>'Agriculture - Soil Mgmt'!J44*N2O_to_CO2e/1000</f>
        <v>52.466442953020128</v>
      </c>
      <c r="K61" s="128">
        <f>'Agriculture - Soil Mgmt'!K44*N2O_to_CO2e/1000</f>
        <v>52.466442953020128</v>
      </c>
      <c r="L61" s="128">
        <f>'Agriculture - Soil Mgmt'!L44*N2O_to_CO2e/1000</f>
        <v>52.466442953020128</v>
      </c>
      <c r="M61" s="128">
        <f>'Agriculture - Soil Mgmt'!M44*N2O_to_CO2e/1000</f>
        <v>52.466442953020128</v>
      </c>
      <c r="N61" s="128">
        <f>'Agriculture - Soil Mgmt'!N44*N2O_to_CO2e/1000</f>
        <v>52.466442953020128</v>
      </c>
      <c r="O61" s="128">
        <f>'Agriculture - Soil Mgmt'!O44*N2O_to_CO2e/1000</f>
        <v>52.466442953020128</v>
      </c>
      <c r="P61" s="128">
        <f>'Agriculture - Soil Mgmt'!P44*N2O_to_CO2e/1000</f>
        <v>52.466442953020128</v>
      </c>
      <c r="Q61" s="128">
        <f>'Agriculture - Soil Mgmt'!Q44*N2O_to_CO2e/1000</f>
        <v>52.466442953020128</v>
      </c>
      <c r="R61" s="128">
        <f>'Agriculture - Soil Mgmt'!R44*N2O_to_CO2e/1000</f>
        <v>52.466442953020128</v>
      </c>
      <c r="S61" s="128">
        <f>'Agriculture - Soil Mgmt'!S44*N2O_to_CO2e/1000</f>
        <v>52.466442953020128</v>
      </c>
      <c r="T61" s="128">
        <f>'Agriculture - Soil Mgmt'!T44*N2O_to_CO2e/1000</f>
        <v>52.466442953020128</v>
      </c>
      <c r="U61" s="128">
        <f>'Agriculture - Soil Mgmt'!U44*N2O_to_CO2e/1000</f>
        <v>52.466442953020128</v>
      </c>
      <c r="V61" s="128">
        <f>'Agriculture - Soil Mgmt'!V44*N2O_to_CO2e/1000</f>
        <v>52.466442953020128</v>
      </c>
      <c r="W61" s="128">
        <f>'Agriculture - Soil Mgmt'!W44*N2O_to_CO2e/1000</f>
        <v>52.466442953020128</v>
      </c>
      <c r="X61" s="128">
        <f>'Agriculture - Soil Mgmt'!X44*N2O_to_CO2e/1000</f>
        <v>52.466442953020128</v>
      </c>
      <c r="Y61" s="128">
        <f>'Agriculture - Soil Mgmt'!Y44*N2O_to_CO2e/1000</f>
        <v>52.466442953020128</v>
      </c>
      <c r="Z61" s="128">
        <f>'Agriculture - Soil Mgmt'!Z44*N2O_to_CO2e/1000</f>
        <v>52.466442953020128</v>
      </c>
      <c r="AA61" s="128">
        <f>'Agriculture - Soil Mgmt'!AA44*N2O_to_CO2e/1000</f>
        <v>52.466442953020128</v>
      </c>
      <c r="AB61" s="128">
        <f>'Agriculture - Soil Mgmt'!AB44*N2O_to_CO2e/1000</f>
        <v>52.466442953020128</v>
      </c>
      <c r="AC61" s="128">
        <f>'Agriculture - Soil Mgmt'!AC44*N2O_to_CO2e/1000</f>
        <v>52.466442953020128</v>
      </c>
      <c r="AD61" s="128">
        <f>'Agriculture - Soil Mgmt'!AD44*N2O_to_CO2e/1000</f>
        <v>52.466442953020128</v>
      </c>
      <c r="AE61" s="128">
        <f>'Agriculture - Soil Mgmt'!AE44*N2O_to_CO2e/1000</f>
        <v>52.466442953020128</v>
      </c>
      <c r="AF61" s="128">
        <f>'Agriculture - Soil Mgmt'!AF44*N2O_to_CO2e/1000</f>
        <v>52.466442953020128</v>
      </c>
      <c r="AG61" s="128">
        <f>'Agriculture - Soil Mgmt'!AG44*N2O_to_CO2e/1000</f>
        <v>52.466442953020128</v>
      </c>
      <c r="AH61" s="128">
        <f>'Agriculture - Soil Mgmt'!AH44*N2O_to_CO2e/1000</f>
        <v>52.466442953020128</v>
      </c>
      <c r="AI61" s="128">
        <f>'Agriculture - Soil Mgmt'!AI44*N2O_to_CO2e/1000</f>
        <v>52.466442953020128</v>
      </c>
      <c r="AJ61" s="128">
        <f>'Agriculture - Soil Mgmt'!AJ44*N2O_to_CO2e/1000</f>
        <v>52.466442953020128</v>
      </c>
      <c r="AK61" s="128">
        <f>'Agriculture - Soil Mgmt'!AK44*N2O_to_CO2e/1000</f>
        <v>52.466442953020128</v>
      </c>
    </row>
    <row r="62" spans="1:37" x14ac:dyDescent="0.25">
      <c r="A62" s="120" t="s">
        <v>1066</v>
      </c>
      <c r="B62" s="128">
        <f>'Agriculture - Soil Mgmt'!B123*N2O_to_CO2e/1000</f>
        <v>33.880872483221474</v>
      </c>
      <c r="C62" s="128">
        <f>'Agriculture - Soil Mgmt'!C123*N2O_to_CO2e/1000</f>
        <v>34.32372857393122</v>
      </c>
      <c r="D62" s="128">
        <f>'Agriculture - Soil Mgmt'!D123*N2O_to_CO2e/1000</f>
        <v>33.510459093166418</v>
      </c>
      <c r="E62" s="128">
        <f>'Agriculture - Soil Mgmt'!E123*N2O_to_CO2e/1000</f>
        <v>33.351620628844458</v>
      </c>
      <c r="F62" s="128">
        <f>'Agriculture - Soil Mgmt'!F123*N2O_to_CO2e/1000</f>
        <v>33.295813560502999</v>
      </c>
      <c r="G62" s="128">
        <f>'Agriculture - Soil Mgmt'!G123*N2O_to_CO2e/1000</f>
        <v>33.143120382955772</v>
      </c>
      <c r="H62" s="128">
        <f>'Agriculture - Soil Mgmt'!H123*N2O_to_CO2e/1000</f>
        <v>33.135167833136649</v>
      </c>
      <c r="I62" s="128">
        <f>'Agriculture - Soil Mgmt'!I123*N2O_to_CO2e/1000</f>
        <v>33.140299704842256</v>
      </c>
      <c r="J62" s="128">
        <f>'Agriculture - Soil Mgmt'!J123*N2O_to_CO2e/1000</f>
        <v>33.003260217056798</v>
      </c>
      <c r="K62" s="128">
        <f>'Agriculture - Soil Mgmt'!K123*N2O_to_CO2e/1000</f>
        <v>32.98166155383867</v>
      </c>
      <c r="L62" s="128">
        <f>'Agriculture - Soil Mgmt'!L123*N2O_to_CO2e/1000</f>
        <v>32.908175446656813</v>
      </c>
      <c r="M62" s="128">
        <f>'Agriculture - Soil Mgmt'!M123*N2O_to_CO2e/1000</f>
        <v>32.840938670690491</v>
      </c>
      <c r="N62" s="128">
        <f>'Agriculture - Soil Mgmt'!N123*N2O_to_CO2e/1000</f>
        <v>32.782092838201265</v>
      </c>
      <c r="O62" s="128">
        <f>'Agriculture - Soil Mgmt'!O123*N2O_to_CO2e/1000</f>
        <v>32.723247005712025</v>
      </c>
      <c r="P62" s="128">
        <f>'Agriculture - Soil Mgmt'!P123*N2O_to_CO2e/1000</f>
        <v>32.664401173222792</v>
      </c>
      <c r="Q62" s="128">
        <f>'Agriculture - Soil Mgmt'!Q123*N2O_to_CO2e/1000</f>
        <v>32.605555340733567</v>
      </c>
      <c r="R62" s="128">
        <f>'Agriculture - Soil Mgmt'!R123*N2O_to_CO2e/1000</f>
        <v>32.546709508244334</v>
      </c>
      <c r="S62" s="128">
        <f>'Agriculture - Soil Mgmt'!S123*N2O_to_CO2e/1000</f>
        <v>32.487863675755101</v>
      </c>
      <c r="T62" s="128">
        <f>'Agriculture - Soil Mgmt'!T123*N2O_to_CO2e/1000</f>
        <v>32.429017843265875</v>
      </c>
      <c r="U62" s="128">
        <f>'Agriculture - Soil Mgmt'!U123*N2O_to_CO2e/1000</f>
        <v>32.370172010776635</v>
      </c>
      <c r="V62" s="128">
        <f>'Agriculture - Soil Mgmt'!V123*N2O_to_CO2e/1000</f>
        <v>32.311326178287416</v>
      </c>
      <c r="W62" s="128">
        <f>'Agriculture - Soil Mgmt'!W123*N2O_to_CO2e/1000</f>
        <v>32.252480345798169</v>
      </c>
      <c r="X62" s="128">
        <f>'Agriculture - Soil Mgmt'!X123*N2O_to_CO2e/1000</f>
        <v>32.193634513308943</v>
      </c>
      <c r="Y62" s="128">
        <f>'Agriculture - Soil Mgmt'!Y123*N2O_to_CO2e/1000</f>
        <v>32.134788680819717</v>
      </c>
      <c r="Z62" s="128">
        <f>'Agriculture - Soil Mgmt'!Z123*N2O_to_CO2e/1000</f>
        <v>32.075942848330477</v>
      </c>
      <c r="AA62" s="128">
        <f>'Agriculture - Soil Mgmt'!AA123*N2O_to_CO2e/1000</f>
        <v>32.017097015841252</v>
      </c>
      <c r="AB62" s="128">
        <f>'Agriculture - Soil Mgmt'!AB123*N2O_to_CO2e/1000</f>
        <v>31.958251183352022</v>
      </c>
      <c r="AC62" s="128">
        <f>'Agriculture - Soil Mgmt'!AC123*N2O_to_CO2e/1000</f>
        <v>31.899405350862789</v>
      </c>
      <c r="AD62" s="128">
        <f>'Agriculture - Soil Mgmt'!AD123*N2O_to_CO2e/1000</f>
        <v>31.840559518373556</v>
      </c>
      <c r="AE62" s="128">
        <f>'Agriculture - Soil Mgmt'!AE123*N2O_to_CO2e/1000</f>
        <v>31.781713685884327</v>
      </c>
      <c r="AF62" s="128">
        <f>'Agriculture - Soil Mgmt'!AF123*N2O_to_CO2e/1000</f>
        <v>31.722867853395091</v>
      </c>
      <c r="AG62" s="128">
        <f>'Agriculture - Soil Mgmt'!AG123*N2O_to_CO2e/1000</f>
        <v>31.664022020905861</v>
      </c>
      <c r="AH62" s="128">
        <f>'Agriculture - Soil Mgmt'!AH123*N2O_to_CO2e/1000</f>
        <v>31.605176188416628</v>
      </c>
      <c r="AI62" s="128">
        <f>'Agriculture - Soil Mgmt'!AI123*N2O_to_CO2e/1000</f>
        <v>31.546330355927392</v>
      </c>
      <c r="AJ62" s="128">
        <f>'Agriculture - Soil Mgmt'!AJ123*N2O_to_CO2e/1000</f>
        <v>31.48748452343817</v>
      </c>
      <c r="AK62" s="128">
        <f>'Agriculture - Soil Mgmt'!AK123*N2O_to_CO2e/1000</f>
        <v>31.428638690948937</v>
      </c>
    </row>
    <row r="63" spans="1:37" x14ac:dyDescent="0.25">
      <c r="A63" s="120" t="s">
        <v>1029</v>
      </c>
      <c r="B63" s="128">
        <f>SUM('Agriculture - EF &amp; Manure Mgmt'!B101:B107)*N2O_to_CO2e/1000</f>
        <v>15.635014577380977</v>
      </c>
      <c r="C63" s="128">
        <f>SUM('Agriculture - EF &amp; Manure Mgmt'!C101:C107)*N2O_to_CO2e/1000</f>
        <v>15.949986558487376</v>
      </c>
      <c r="D63" s="128">
        <f>SUM('Agriculture - EF &amp; Manure Mgmt'!D101:D107)*N2O_to_CO2e/1000</f>
        <v>16.179612516535745</v>
      </c>
      <c r="E63" s="128">
        <f>SUM('Agriculture - EF &amp; Manure Mgmt'!E101:E107)*N2O_to_CO2e/1000</f>
        <v>16.130299371271875</v>
      </c>
      <c r="F63" s="128">
        <f>SUM('Agriculture - EF &amp; Manure Mgmt'!F101:F107)*N2O_to_CO2e/1000</f>
        <v>16.303147125746509</v>
      </c>
      <c r="G63" s="128">
        <f>SUM('Agriculture - EF &amp; Manure Mgmt'!G101:G107)*N2O_to_CO2e/1000</f>
        <v>16.408382743682367</v>
      </c>
      <c r="H63" s="128">
        <f>SUM('Agriculture - EF &amp; Manure Mgmt'!H101:H107)*N2O_to_CO2e/1000</f>
        <v>16.562919884407325</v>
      </c>
      <c r="I63" s="128">
        <f>SUM('Agriculture - EF &amp; Manure Mgmt'!I101:I107)*N2O_to_CO2e/1000</f>
        <v>16.580148795770857</v>
      </c>
      <c r="J63" s="128">
        <f>SUM('Agriculture - EF &amp; Manure Mgmt'!J101:J107)*N2O_to_CO2e/1000</f>
        <v>16.603922458554379</v>
      </c>
      <c r="K63" s="128">
        <f>SUM('Agriculture - EF &amp; Manure Mgmt'!K101:K107)*N2O_to_CO2e/1000</f>
        <v>16.586306982076309</v>
      </c>
      <c r="L63" s="128">
        <f>SUM('Agriculture - EF &amp; Manure Mgmt'!L101:L107)*N2O_to_CO2e/1000</f>
        <v>16.598212997641326</v>
      </c>
      <c r="M63" s="128">
        <f>SUM('Agriculture - EF &amp; Manure Mgmt'!M101:M107)*N2O_to_CO2e/1000</f>
        <v>16.592826119322453</v>
      </c>
      <c r="N63" s="128">
        <f>SUM('Agriculture - EF &amp; Manure Mgmt'!N101:N107)*N2O_to_CO2e/1000</f>
        <v>16.686260702908843</v>
      </c>
      <c r="O63" s="128">
        <f>SUM('Agriculture - EF &amp; Manure Mgmt'!O101:O107)*N2O_to_CO2e/1000</f>
        <v>16.780385541619687</v>
      </c>
      <c r="P63" s="128">
        <f>SUM('Agriculture - EF &amp; Manure Mgmt'!P101:P107)*N2O_to_CO2e/1000</f>
        <v>16.875205170540067</v>
      </c>
      <c r="Q63" s="128">
        <f>SUM('Agriculture - EF &amp; Manure Mgmt'!Q101:Q107)*N2O_to_CO2e/1000</f>
        <v>16.970724172478761</v>
      </c>
      <c r="R63" s="128">
        <f>SUM('Agriculture - EF &amp; Manure Mgmt'!R101:R107)*N2O_to_CO2e/1000</f>
        <v>17.066947178272031</v>
      </c>
      <c r="S63" s="128">
        <f>SUM('Agriculture - EF &amp; Manure Mgmt'!S101:S107)*N2O_to_CO2e/1000</f>
        <v>17.163878867091949</v>
      </c>
      <c r="T63" s="128">
        <f>SUM('Agriculture - EF &amp; Manure Mgmt'!T101:T107)*N2O_to_CO2e/1000</f>
        <v>17.261523966759199</v>
      </c>
      <c r="U63" s="128">
        <f>SUM('Agriculture - EF &amp; Manure Mgmt'!U101:U107)*N2O_to_CO2e/1000</f>
        <v>17.359887254060425</v>
      </c>
      <c r="V63" s="128">
        <f>SUM('Agriculture - EF &amp; Manure Mgmt'!V101:V107)*N2O_to_CO2e/1000</f>
        <v>17.458973555070166</v>
      </c>
      <c r="W63" s="128">
        <f>SUM('Agriculture - EF &amp; Manure Mgmt'!W101:W107)*N2O_to_CO2e/1000</f>
        <v>17.558787745477378</v>
      </c>
      <c r="X63" s="128">
        <f>SUM('Agriculture - EF &amp; Manure Mgmt'!X101:X107)*N2O_to_CO2e/1000</f>
        <v>17.659334750916528</v>
      </c>
      <c r="Y63" s="128">
        <f>SUM('Agriculture - EF &amp; Manure Mgmt'!Y101:Y107)*N2O_to_CO2e/1000</f>
        <v>17.760619547303413</v>
      </c>
      <c r="Z63" s="128">
        <f>SUM('Agriculture - EF &amp; Manure Mgmt'!Z101:Z107)*N2O_to_CO2e/1000</f>
        <v>17.862647161175573</v>
      </c>
      <c r="AA63" s="128">
        <f>SUM('Agriculture - EF &amp; Manure Mgmt'!AA101:AA107)*N2O_to_CO2e/1000</f>
        <v>17.965422670037412</v>
      </c>
      <c r="AB63" s="128">
        <f>SUM('Agriculture - EF &amp; Manure Mgmt'!AB101:AB107)*N2O_to_CO2e/1000</f>
        <v>18.068951202710096</v>
      </c>
      <c r="AC63" s="128">
        <f>SUM('Agriculture - EF &amp; Manure Mgmt'!AC101:AC107)*N2O_to_CO2e/1000</f>
        <v>18.173237939686128</v>
      </c>
      <c r="AD63" s="128">
        <f>SUM('Agriculture - EF &amp; Manure Mgmt'!AD101:AD107)*N2O_to_CO2e/1000</f>
        <v>18.278288113488752</v>
      </c>
      <c r="AE63" s="128">
        <f>SUM('Agriculture - EF &amp; Manure Mgmt'!AE101:AE107)*N2O_to_CO2e/1000</f>
        <v>18.384107009036153</v>
      </c>
      <c r="AF63" s="128">
        <f>SUM('Agriculture - EF &amp; Manure Mgmt'!AF101:AF107)*N2O_to_CO2e/1000</f>
        <v>18.490699964010481</v>
      </c>
      <c r="AG63" s="128">
        <f>SUM('Agriculture - EF &amp; Manure Mgmt'!AG101:AG107)*N2O_to_CO2e/1000</f>
        <v>18.598072369231758</v>
      </c>
      <c r="AH63" s="128">
        <f>SUM('Agriculture - EF &amp; Manure Mgmt'!AH101:AH107)*N2O_to_CO2e/1000</f>
        <v>18.706229669036709</v>
      </c>
      <c r="AI63" s="128">
        <f>SUM('Agriculture - EF &amp; Manure Mgmt'!AI101:AI107)*N2O_to_CO2e/1000</f>
        <v>18.815177361662432</v>
      </c>
      <c r="AJ63" s="128">
        <f>SUM('Agriculture - EF &amp; Manure Mgmt'!AJ101:AJ107)*N2O_to_CO2e/1000</f>
        <v>18.924920999635148</v>
      </c>
      <c r="AK63" s="128">
        <f>SUM('Agriculture - EF &amp; Manure Mgmt'!AK101:AK107)*N2O_to_CO2e/1000</f>
        <v>19.035466190163884</v>
      </c>
    </row>
    <row r="64" spans="1:37" x14ac:dyDescent="0.25">
      <c r="A64" s="120" t="s">
        <v>1030</v>
      </c>
      <c r="B64" s="128">
        <f>'Agriculture - Rice Cultivation'!B16*CH4_to_CO2e/1000</f>
        <v>12.571999999999999</v>
      </c>
      <c r="C64" s="128">
        <f>'Agriculture - Rice Cultivation'!C16*CH4_to_CO2e/1000</f>
        <v>15.451716057891106</v>
      </c>
      <c r="D64" s="128">
        <f>'Agriculture - Rice Cultivation'!D16*CH4_to_CO2e/1000</f>
        <v>13.457946243969674</v>
      </c>
      <c r="E64" s="128">
        <f>'Agriculture - Rice Cultivation'!E16*CH4_to_CO2e/1000</f>
        <v>13.956388697450031</v>
      </c>
      <c r="F64" s="128">
        <f>'Agriculture - Rice Cultivation'!F16*CH4_to_CO2e/1000</f>
        <v>13.956388697450031</v>
      </c>
      <c r="G64" s="128">
        <f>'Agriculture - Rice Cultivation'!G16*CH4_to_CO2e/1000</f>
        <v>13.956388697450031</v>
      </c>
      <c r="H64" s="128">
        <f>'Agriculture - Rice Cultivation'!H16*CH4_to_CO2e/1000</f>
        <v>13.956388697450031</v>
      </c>
      <c r="I64" s="128">
        <f>'Agriculture - Rice Cultivation'!I16*CH4_to_CO2e/1000</f>
        <v>13.956388697450031</v>
      </c>
      <c r="J64" s="128">
        <f>'Agriculture - Rice Cultivation'!J16*CH4_to_CO2e/1000</f>
        <v>14.45483115093039</v>
      </c>
      <c r="K64" s="128">
        <f>'Agriculture - Rice Cultivation'!K16*CH4_to_CO2e/1000</f>
        <v>14.45483115093039</v>
      </c>
      <c r="L64" s="128">
        <f>'Agriculture - Rice Cultivation'!L16*CH4_to_CO2e/1000</f>
        <v>14.45483115093039</v>
      </c>
      <c r="M64" s="128">
        <f>'Agriculture - Rice Cultivation'!M16*CH4_to_CO2e/1000</f>
        <v>14.45483115093039</v>
      </c>
      <c r="N64" s="128">
        <f>'Agriculture - Rice Cultivation'!N16*CH4_to_CO2e/1000</f>
        <v>14.45483115093039</v>
      </c>
      <c r="O64" s="128">
        <f>'Agriculture - Rice Cultivation'!O16*CH4_to_CO2e/1000</f>
        <v>14.45483115093039</v>
      </c>
      <c r="P64" s="128">
        <f>'Agriculture - Rice Cultivation'!P16*CH4_to_CO2e/1000</f>
        <v>14.45483115093039</v>
      </c>
      <c r="Q64" s="128">
        <f>'Agriculture - Rice Cultivation'!Q16*CH4_to_CO2e/1000</f>
        <v>14.45483115093039</v>
      </c>
      <c r="R64" s="128">
        <f>'Agriculture - Rice Cultivation'!R16*CH4_to_CO2e/1000</f>
        <v>14.45483115093039</v>
      </c>
      <c r="S64" s="128">
        <f>'Agriculture - Rice Cultivation'!S16*CH4_to_CO2e/1000</f>
        <v>14.45483115093039</v>
      </c>
      <c r="T64" s="128">
        <f>'Agriculture - Rice Cultivation'!T16*CH4_to_CO2e/1000</f>
        <v>14.45483115093039</v>
      </c>
      <c r="U64" s="128">
        <f>'Agriculture - Rice Cultivation'!U16*CH4_to_CO2e/1000</f>
        <v>14.45483115093039</v>
      </c>
      <c r="V64" s="128">
        <f>'Agriculture - Rice Cultivation'!V16*CH4_to_CO2e/1000</f>
        <v>14.45483115093039</v>
      </c>
      <c r="W64" s="128">
        <f>'Agriculture - Rice Cultivation'!W16*CH4_to_CO2e/1000</f>
        <v>14.45483115093039</v>
      </c>
      <c r="X64" s="128">
        <f>'Agriculture - Rice Cultivation'!X16*CH4_to_CO2e/1000</f>
        <v>14.45483115093039</v>
      </c>
      <c r="Y64" s="128">
        <f>'Agriculture - Rice Cultivation'!Y16*CH4_to_CO2e/1000</f>
        <v>14.45483115093039</v>
      </c>
      <c r="Z64" s="128">
        <f>'Agriculture - Rice Cultivation'!Z16*CH4_to_CO2e/1000</f>
        <v>14.45483115093039</v>
      </c>
      <c r="AA64" s="128">
        <f>'Agriculture - Rice Cultivation'!AA16*CH4_to_CO2e/1000</f>
        <v>14.45483115093039</v>
      </c>
      <c r="AB64" s="128">
        <f>'Agriculture - Rice Cultivation'!AB16*CH4_to_CO2e/1000</f>
        <v>14.45483115093039</v>
      </c>
      <c r="AC64" s="128">
        <f>'Agriculture - Rice Cultivation'!AC16*CH4_to_CO2e/1000</f>
        <v>14.45483115093039</v>
      </c>
      <c r="AD64" s="128">
        <f>'Agriculture - Rice Cultivation'!AD16*CH4_to_CO2e/1000</f>
        <v>14.45483115093039</v>
      </c>
      <c r="AE64" s="128">
        <f>'Agriculture - Rice Cultivation'!AE16*CH4_to_CO2e/1000</f>
        <v>14.45483115093039</v>
      </c>
      <c r="AF64" s="128">
        <f>'Agriculture - Rice Cultivation'!AF16*CH4_to_CO2e/1000</f>
        <v>14.45483115093039</v>
      </c>
      <c r="AG64" s="128">
        <f>'Agriculture - Rice Cultivation'!AG16*CH4_to_CO2e/1000</f>
        <v>14.45483115093039</v>
      </c>
      <c r="AH64" s="128">
        <f>'Agriculture - Rice Cultivation'!AH16*CH4_to_CO2e/1000</f>
        <v>14.45483115093039</v>
      </c>
      <c r="AI64" s="128">
        <f>'Agriculture - Rice Cultivation'!AI16*CH4_to_CO2e/1000</f>
        <v>14.45483115093039</v>
      </c>
      <c r="AJ64" s="128">
        <f>'Agriculture - Rice Cultivation'!AJ16*CH4_to_CO2e/1000</f>
        <v>14.45483115093039</v>
      </c>
      <c r="AK64" s="128">
        <f>'Agriculture - Rice Cultivation'!AK16*CH4_to_CO2e/1000</f>
        <v>14.45483115093039</v>
      </c>
    </row>
    <row r="65" spans="1:37" x14ac:dyDescent="0.25">
      <c r="A65" s="120" t="s">
        <v>1031</v>
      </c>
      <c r="B65" s="128">
        <f>SUM('Agriculture - EF &amp; Manure Mgmt'!B29:B36)*CH4_to_CO2e/1000</f>
        <v>186.59631199999998</v>
      </c>
      <c r="C65" s="128">
        <f>SUM('Agriculture - EF &amp; Manure Mgmt'!C29:C36)*CH4_to_CO2e/1000</f>
        <v>188.00324880758237</v>
      </c>
      <c r="D65" s="128">
        <f>SUM('Agriculture - EF &amp; Manure Mgmt'!D29:D36)*CH4_to_CO2e/1000</f>
        <v>193.63544600833978</v>
      </c>
      <c r="E65" s="128">
        <f>SUM('Agriculture - EF &amp; Manure Mgmt'!E29:E36)*CH4_to_CO2e/1000</f>
        <v>191.43455212293674</v>
      </c>
      <c r="F65" s="128">
        <f>SUM('Agriculture - EF &amp; Manure Mgmt'!F29:F36)*CH4_to_CO2e/1000</f>
        <v>195.41284411869376</v>
      </c>
      <c r="G65" s="128">
        <f>SUM('Agriculture - EF &amp; Manure Mgmt'!G29:G36)*CH4_to_CO2e/1000</f>
        <v>197.38406911976227</v>
      </c>
      <c r="H65" s="128">
        <f>SUM('Agriculture - EF &amp; Manure Mgmt'!H29:H36)*CH4_to_CO2e/1000</f>
        <v>200.47894842151604</v>
      </c>
      <c r="I65" s="128">
        <f>SUM('Agriculture - EF &amp; Manure Mgmt'!I29:I36)*CH4_to_CO2e/1000</f>
        <v>200.94518480823243</v>
      </c>
      <c r="J65" s="128">
        <f>SUM('Agriculture - EF &amp; Manure Mgmt'!J29:J36)*CH4_to_CO2e/1000</f>
        <v>201.80314698017904</v>
      </c>
      <c r="K65" s="128">
        <f>SUM('Agriculture - EF &amp; Manure Mgmt'!K29:K36)*CH4_to_CO2e/1000</f>
        <v>201.73165049595937</v>
      </c>
      <c r="L65" s="128">
        <f>SUM('Agriculture - EF &amp; Manure Mgmt'!L29:L36)*CH4_to_CO2e/1000</f>
        <v>202.33824113131192</v>
      </c>
      <c r="M65" s="128">
        <f>SUM('Agriculture - EF &amp; Manure Mgmt'!M29:M36)*CH4_to_CO2e/1000</f>
        <v>202.694638908641</v>
      </c>
      <c r="N65" s="128">
        <f>SUM('Agriculture - EF &amp; Manure Mgmt'!N29:N36)*CH4_to_CO2e/1000</f>
        <v>204.62087240219634</v>
      </c>
      <c r="O65" s="128">
        <f>SUM('Agriculture - EF &amp; Manure Mgmt'!O29:O36)*CH4_to_CO2e/1000</f>
        <v>206.56751605751603</v>
      </c>
      <c r="P65" s="128">
        <f>SUM('Agriculture - EF &amp; Manure Mgmt'!P29:P36)*CH4_to_CO2e/1000</f>
        <v>208.53478354403325</v>
      </c>
      <c r="Q65" s="128">
        <f>SUM('Agriculture - EF &amp; Manure Mgmt'!Q29:Q36)*CH4_to_CO2e/1000</f>
        <v>209.50462819433335</v>
      </c>
      <c r="R65" s="128">
        <f>SUM('Agriculture - EF &amp; Manure Mgmt'!R29:R36)*CH4_to_CO2e/1000</f>
        <v>210.48047542476473</v>
      </c>
      <c r="S65" s="128">
        <f>SUM('Agriculture - EF &amp; Manure Mgmt'!S29:S36)*CH4_to_CO2e/1000</f>
        <v>211.46235723463022</v>
      </c>
      <c r="T65" s="128">
        <f>SUM('Agriculture - EF &amp; Manure Mgmt'!T29:T36)*CH4_to_CO2e/1000</f>
        <v>212.45030588147003</v>
      </c>
      <c r="U65" s="128">
        <f>SUM('Agriculture - EF &amp; Manure Mgmt'!U29:U36)*CH4_to_CO2e/1000</f>
        <v>213.44435388182424</v>
      </c>
      <c r="V65" s="128">
        <f>SUM('Agriculture - EF &amp; Manure Mgmt'!V29:V36)*CH4_to_CO2e/1000</f>
        <v>214.44453401201108</v>
      </c>
      <c r="W65" s="128">
        <f>SUM('Agriculture - EF &amp; Manure Mgmt'!W29:W36)*CH4_to_CO2e/1000</f>
        <v>215.45087930892208</v>
      </c>
      <c r="X65" s="128">
        <f>SUM('Agriculture - EF &amp; Manure Mgmt'!X29:X36)*CH4_to_CO2e/1000</f>
        <v>216.46342307083322</v>
      </c>
      <c r="Y65" s="128">
        <f>SUM('Agriculture - EF &amp; Manure Mgmt'!Y29:Y36)*CH4_to_CO2e/1000</f>
        <v>217.48219885823212</v>
      </c>
      <c r="Z65" s="128">
        <f>SUM('Agriculture - EF &amp; Manure Mgmt'!Z29:Z36)*CH4_to_CO2e/1000</f>
        <v>218.50724049466214</v>
      </c>
      <c r="AA65" s="128">
        <f>SUM('Agriculture - EF &amp; Manure Mgmt'!AA29:AA36)*CH4_to_CO2e/1000</f>
        <v>219.5385820675815</v>
      </c>
      <c r="AB65" s="128">
        <f>SUM('Agriculture - EF &amp; Manure Mgmt'!AB29:AB36)*CH4_to_CO2e/1000</f>
        <v>220.57625792923969</v>
      </c>
      <c r="AC65" s="128">
        <f>SUM('Agriculture - EF &amp; Manure Mgmt'!AC29:AC36)*CH4_to_CO2e/1000</f>
        <v>221.62030269756886</v>
      </c>
      <c r="AD65" s="128">
        <f>SUM('Agriculture - EF &amp; Manure Mgmt'!AD29:AD36)*CH4_to_CO2e/1000</f>
        <v>222.67075125709181</v>
      </c>
      <c r="AE65" s="128">
        <f>SUM('Agriculture - EF &amp; Manure Mgmt'!AE29:AE36)*CH4_to_CO2e/1000</f>
        <v>223.72763875984597</v>
      </c>
      <c r="AF65" s="128">
        <f>SUM('Agriculture - EF &amp; Manure Mgmt'!AF29:AF36)*CH4_to_CO2e/1000</f>
        <v>224.7910006263227</v>
      </c>
      <c r="AG65" s="128">
        <f>SUM('Agriculture - EF &amp; Manure Mgmt'!AG29:AG36)*CH4_to_CO2e/1000</f>
        <v>225.86087254642302</v>
      </c>
      <c r="AH65" s="128">
        <f>SUM('Agriculture - EF &amp; Manure Mgmt'!AH29:AH36)*CH4_to_CO2e/1000</f>
        <v>226.93729048042925</v>
      </c>
      <c r="AI65" s="128">
        <f>SUM('Agriculture - EF &amp; Manure Mgmt'!AI29:AI36)*CH4_to_CO2e/1000</f>
        <v>228.02029065999156</v>
      </c>
      <c r="AJ65" s="128">
        <f>SUM('Agriculture - EF &amp; Manure Mgmt'!AJ29:AJ36)*CH4_to_CO2e/1000</f>
        <v>229.10990958913138</v>
      </c>
      <c r="AK65" s="128">
        <f>SUM('Agriculture - EF &amp; Manure Mgmt'!AK29:AK36)*CH4_to_CO2e/1000</f>
        <v>230.20618404525976</v>
      </c>
    </row>
    <row r="66" spans="1:37" x14ac:dyDescent="0.25">
      <c r="A66" s="120" t="s">
        <v>1067</v>
      </c>
      <c r="B66" s="128">
        <f>'Agriculture - Soil Mgmt'!B148*N2O_to_CO2e/1000</f>
        <v>22.854026845637584</v>
      </c>
      <c r="C66" s="128">
        <f>'Agriculture - Soil Mgmt'!C148*N2O_to_CO2e/1000</f>
        <v>23.308713108485684</v>
      </c>
      <c r="D66" s="128">
        <f>'Agriculture - Soil Mgmt'!D148*N2O_to_CO2e/1000</f>
        <v>23.623031689219971</v>
      </c>
      <c r="E66" s="128">
        <f>'Agriculture - Soil Mgmt'!E148*N2O_to_CO2e/1000</f>
        <v>23.522261903922768</v>
      </c>
      <c r="F66" s="128">
        <f>'Agriculture - Soil Mgmt'!F148*N2O_to_CO2e/1000</f>
        <v>23.752404596529402</v>
      </c>
      <c r="G66" s="128">
        <f>'Agriculture - Soil Mgmt'!G148*N2O_to_CO2e/1000</f>
        <v>23.877343514163808</v>
      </c>
      <c r="H66" s="128">
        <f>'Agriculture - Soil Mgmt'!H148*N2O_to_CO2e/1000</f>
        <v>24.077379097412262</v>
      </c>
      <c r="I66" s="128">
        <f>'Agriculture - Soil Mgmt'!I148*N2O_to_CO2e/1000</f>
        <v>24.072051796279769</v>
      </c>
      <c r="J66" s="128">
        <f>'Agriculture - Soil Mgmt'!J148*N2O_to_CO2e/1000</f>
        <v>24.074462811831051</v>
      </c>
      <c r="K66" s="128">
        <f>'Agriculture - Soil Mgmt'!K148*N2O_to_CO2e/1000</f>
        <v>24.022634231728969</v>
      </c>
      <c r="L66" s="128">
        <f>'Agriculture - Soil Mgmt'!L148*N2O_to_CO2e/1000</f>
        <v>24.020527490428165</v>
      </c>
      <c r="M66" s="128">
        <f>'Agriculture - Soil Mgmt'!M148*N2O_to_CO2e/1000</f>
        <v>24.000787244392384</v>
      </c>
      <c r="N66" s="128">
        <f>'Agriculture - Soil Mgmt'!N148*N2O_to_CO2e/1000</f>
        <v>24.112790926885268</v>
      </c>
      <c r="O66" s="128">
        <f>'Agriculture - Soil Mgmt'!O148*N2O_to_CO2e/1000</f>
        <v>24.225643430199003</v>
      </c>
      <c r="P66" s="128">
        <f>'Agriculture - Soil Mgmt'!P148*N2O_to_CO2e/1000</f>
        <v>24.339349321809994</v>
      </c>
      <c r="Q66" s="128">
        <f>'Agriculture - Soil Mgmt'!Q148*N2O_to_CO2e/1000</f>
        <v>24.453913223801958</v>
      </c>
      <c r="R66" s="128">
        <f>'Agriculture - Soil Mgmt'!R148*N2O_to_CO2e/1000</f>
        <v>24.569339812991572</v>
      </c>
      <c r="S66" s="128">
        <f>'Agriculture - Soil Mgmt'!S148*N2O_to_CO2e/1000</f>
        <v>24.685633821059099</v>
      </c>
      <c r="T66" s="128">
        <f>'Agriculture - Soil Mgmt'!T148*N2O_to_CO2e/1000</f>
        <v>24.802800034684164</v>
      </c>
      <c r="U66" s="128">
        <f>'Agriculture - Soil Mgmt'!U148*N2O_to_CO2e/1000</f>
        <v>24.920843295686566</v>
      </c>
      <c r="V66" s="128">
        <f>'Agriculture - Soil Mgmt'!V148*N2O_to_CO2e/1000</f>
        <v>25.039768501172176</v>
      </c>
      <c r="W66" s="128">
        <f>'Agriculture - Soil Mgmt'!W148*N2O_to_CO2e/1000</f>
        <v>25.159580603683775</v>
      </c>
      <c r="X66" s="128">
        <f>'Agriculture - Soil Mgmt'!X148*N2O_to_CO2e/1000</f>
        <v>25.280284611357033</v>
      </c>
      <c r="Y66" s="128">
        <f>'Agriculture - Soil Mgmt'!Y148*N2O_to_CO2e/1000</f>
        <v>25.401885588081417</v>
      </c>
      <c r="Z66" s="128">
        <f>'Agriculture - Soil Mgmt'!Z148*N2O_to_CO2e/1000</f>
        <v>25.524388653666101</v>
      </c>
      <c r="AA66" s="128">
        <f>'Agriculture - Soil Mgmt'!AA148*N2O_to_CO2e/1000</f>
        <v>25.647798984010887</v>
      </c>
      <c r="AB66" s="128">
        <f>'Agriculture - Soil Mgmt'!AB148*N2O_to_CO2e/1000</f>
        <v>25.772121811281998</v>
      </c>
      <c r="AC66" s="128">
        <f>'Agriculture - Soil Mgmt'!AC148*N2O_to_CO2e/1000</f>
        <v>25.897362424092961</v>
      </c>
      <c r="AD66" s="128">
        <f>'Agriculture - Soil Mgmt'!AD148*N2O_to_CO2e/1000</f>
        <v>26.023526167690346</v>
      </c>
      <c r="AE66" s="128">
        <f>'Agriculture - Soil Mgmt'!AE148*N2O_to_CO2e/1000</f>
        <v>26.150618444144442</v>
      </c>
      <c r="AF66" s="128">
        <f>'Agriculture - Soil Mgmt'!AF148*N2O_to_CO2e/1000</f>
        <v>26.278644712544857</v>
      </c>
      <c r="AG66" s="128">
        <f>'Agriculture - Soil Mgmt'!AG148*N2O_to_CO2e/1000</f>
        <v>26.407610489201051</v>
      </c>
      <c r="AH66" s="128">
        <f>'Agriculture - Soil Mgmt'!AH148*N2O_to_CO2e/1000</f>
        <v>26.537521347847793</v>
      </c>
      <c r="AI66" s="128">
        <f>'Agriculture - Soil Mgmt'!AI148*N2O_to_CO2e/1000</f>
        <v>26.668382919855471</v>
      </c>
      <c r="AJ66" s="128">
        <f>'Agriculture - Soil Mgmt'!AJ148*N2O_to_CO2e/1000</f>
        <v>26.8002008944453</v>
      </c>
      <c r="AK66" s="128">
        <f>'Agriculture - Soil Mgmt'!AK148*N2O_to_CO2e/1000</f>
        <v>26.932981018909416</v>
      </c>
    </row>
    <row r="67" spans="1:37" x14ac:dyDescent="0.25">
      <c r="A67" s="120" t="s">
        <v>1032</v>
      </c>
      <c r="B67" s="128">
        <f>SUM('Agriculture - EF &amp; Manure Mgmt'!B91:B97)*CH4_to_CO2e/1000</f>
        <v>74.261484010503139</v>
      </c>
      <c r="C67" s="128">
        <f>SUM('Agriculture - EF &amp; Manure Mgmt'!C91:C97)*CH4_to_CO2e/1000</f>
        <v>75.861373790563363</v>
      </c>
      <c r="D67" s="128">
        <f>SUM('Agriculture - EF &amp; Manure Mgmt'!D91:D97)*CH4_to_CO2e/1000</f>
        <v>77.51069551078723</v>
      </c>
      <c r="E67" s="128">
        <f>SUM('Agriculture - EF &amp; Manure Mgmt'!E91:E97)*CH4_to_CO2e/1000</f>
        <v>78.534766012008092</v>
      </c>
      <c r="F67" s="128">
        <f>SUM('Agriculture - EF &amp; Manure Mgmt'!F91:F97)*CH4_to_CO2e/1000</f>
        <v>79.932908632711019</v>
      </c>
      <c r="G67" s="128">
        <f>SUM('Agriculture - EF &amp; Manure Mgmt'!G91:G97)*CH4_to_CO2e/1000</f>
        <v>81.336349907979383</v>
      </c>
      <c r="H67" s="128">
        <f>SUM('Agriculture - EF &amp; Manure Mgmt'!H91:H97)*CH4_to_CO2e/1000</f>
        <v>82.706912891285498</v>
      </c>
      <c r="I67" s="128">
        <f>SUM('Agriculture - EF &amp; Manure Mgmt'!I91:I97)*CH4_to_CO2e/1000</f>
        <v>84.019965049974445</v>
      </c>
      <c r="J67" s="128">
        <f>SUM('Agriculture - EF &amp; Manure Mgmt'!J91:J97)*CH4_to_CO2e/1000</f>
        <v>85.19453412991767</v>
      </c>
      <c r="K67" s="128">
        <f>SUM('Agriculture - EF &amp; Manure Mgmt'!K91:K97)*CH4_to_CO2e/1000</f>
        <v>86.473825255632462</v>
      </c>
      <c r="L67" s="128">
        <f>SUM('Agriculture - EF &amp; Manure Mgmt'!L91:L97)*CH4_to_CO2e/1000</f>
        <v>87.74628323018031</v>
      </c>
      <c r="M67" s="128">
        <f>SUM('Agriculture - EF &amp; Manure Mgmt'!M91:M97)*CH4_to_CO2e/1000</f>
        <v>89.029924990050546</v>
      </c>
      <c r="N67" s="128">
        <f>SUM('Agriculture - EF &amp; Manure Mgmt'!N91:N97)*CH4_to_CO2e/1000</f>
        <v>90.556655297654899</v>
      </c>
      <c r="O67" s="128">
        <f>SUM('Agriculture - EF &amp; Manure Mgmt'!O91:O97)*CH4_to_CO2e/1000</f>
        <v>92.114949099218705</v>
      </c>
      <c r="P67" s="128">
        <f>SUM('Agriculture - EF &amp; Manure Mgmt'!P91:P97)*CH4_to_CO2e/1000</f>
        <v>93.705517302764562</v>
      </c>
      <c r="Q67" s="128">
        <f>SUM('Agriculture - EF &amp; Manure Mgmt'!Q91:Q97)*CH4_to_CO2e/1000</f>
        <v>95.329087433717334</v>
      </c>
      <c r="R67" s="128">
        <f>SUM('Agriculture - EF &amp; Manure Mgmt'!R91:R97)*CH4_to_CO2e/1000</f>
        <v>96.986404028314581</v>
      </c>
      <c r="S67" s="128">
        <f>SUM('Agriculture - EF &amp; Manure Mgmt'!S91:S97)*CH4_to_CO2e/1000</f>
        <v>98.678229036382575</v>
      </c>
      <c r="T67" s="128">
        <f>SUM('Agriculture - EF &amp; Manure Mgmt'!T91:T97)*CH4_to_CO2e/1000</f>
        <v>100.4053422337004</v>
      </c>
      <c r="U67" s="128">
        <f>SUM('Agriculture - EF &amp; Manure Mgmt'!U91:U97)*CH4_to_CO2e/1000</f>
        <v>102.16854164418174</v>
      </c>
      <c r="V67" s="128">
        <f>SUM('Agriculture - EF &amp; Manure Mgmt'!V91:V97)*CH4_to_CO2e/1000</f>
        <v>103.9686439721077</v>
      </c>
      <c r="W67" s="128">
        <f>SUM('Agriculture - EF &amp; Manure Mgmt'!W91:W97)*CH4_to_CO2e/1000</f>
        <v>105.80648504465073</v>
      </c>
      <c r="X67" s="128">
        <f>SUM('Agriculture - EF &amp; Manure Mgmt'!X91:X97)*CH4_to_CO2e/1000</f>
        <v>107.68292026493476</v>
      </c>
      <c r="Y67" s="128">
        <f>SUM('Agriculture - EF &amp; Manure Mgmt'!Y91:Y97)*CH4_to_CO2e/1000</f>
        <v>109.59882507588316</v>
      </c>
      <c r="Z67" s="128">
        <f>SUM('Agriculture - EF &amp; Manure Mgmt'!Z91:Z97)*CH4_to_CO2e/1000</f>
        <v>111.55509543511148</v>
      </c>
      <c r="AA67" s="128">
        <f>SUM('Agriculture - EF &amp; Manure Mgmt'!AA91:AA97)*CH4_to_CO2e/1000</f>
        <v>113.55264830112843</v>
      </c>
      <c r="AB67" s="128">
        <f>SUM('Agriculture - EF &amp; Manure Mgmt'!AB91:AB97)*CH4_to_CO2e/1000</f>
        <v>115.59242213111476</v>
      </c>
      <c r="AC67" s="128">
        <f>SUM('Agriculture - EF &amp; Manure Mgmt'!AC91:AC97)*CH4_to_CO2e/1000</f>
        <v>117.67537739055621</v>
      </c>
      <c r="AD67" s="128">
        <f>SUM('Agriculture - EF &amp; Manure Mgmt'!AD91:AD97)*CH4_to_CO2e/1000</f>
        <v>119.80249707501318</v>
      </c>
      <c r="AE67" s="128">
        <f>SUM('Agriculture - EF &amp; Manure Mgmt'!AE91:AE97)*CH4_to_CO2e/1000</f>
        <v>121.97478724431664</v>
      </c>
      <c r="AF67" s="128">
        <f>SUM('Agriculture - EF &amp; Manure Mgmt'!AF91:AF97)*CH4_to_CO2e/1000</f>
        <v>124.19327756948638</v>
      </c>
      <c r="AG67" s="128">
        <f>SUM('Agriculture - EF &amp; Manure Mgmt'!AG91:AG97)*CH4_to_CO2e/1000</f>
        <v>126.45902189267527</v>
      </c>
      <c r="AH67" s="128">
        <f>SUM('Agriculture - EF &amp; Manure Mgmt'!AH91:AH97)*CH4_to_CO2e/1000</f>
        <v>128.77309880045047</v>
      </c>
      <c r="AI67" s="128">
        <f>SUM('Agriculture - EF &amp; Manure Mgmt'!AI91:AI97)*CH4_to_CO2e/1000</f>
        <v>131.13661221072857</v>
      </c>
      <c r="AJ67" s="128">
        <f>SUM('Agriculture - EF &amp; Manure Mgmt'!AJ91:AJ97)*CH4_to_CO2e/1000</f>
        <v>133.55069197369184</v>
      </c>
      <c r="AK67" s="128">
        <f>SUM('Agriculture - EF &amp; Manure Mgmt'!AK91:AK97)*CH4_to_CO2e/1000</f>
        <v>136.01649448701775</v>
      </c>
    </row>
    <row r="68" spans="1:37" x14ac:dyDescent="0.25">
      <c r="A68" s="120" t="s">
        <v>1068</v>
      </c>
      <c r="B68" s="128">
        <f>SUM('Agriculture - Soil Mgmt'!B156:B157)*N2O_to_CO2e/1000</f>
        <v>114.35906040268455</v>
      </c>
      <c r="C68" s="128">
        <f>SUM('Agriculture - Soil Mgmt'!C156:C157)*N2O_to_CO2e/1000</f>
        <v>114.5188851891663</v>
      </c>
      <c r="D68" s="128">
        <f>SUM('Agriculture - Soil Mgmt'!D156:D157)*N2O_to_CO2e/1000</f>
        <v>114.43003732505586</v>
      </c>
      <c r="E68" s="128">
        <f>SUM('Agriculture - Soil Mgmt'!E156:E157)*N2O_to_CO2e/1000</f>
        <v>114.3838090519278</v>
      </c>
      <c r="F68" s="128">
        <f>SUM('Agriculture - Soil Mgmt'!F156:F157)*N2O_to_CO2e/1000</f>
        <v>114.41485288380258</v>
      </c>
      <c r="G68" s="128">
        <f>SUM('Agriculture - Soil Mgmt'!G156:G157)*N2O_to_CO2e/1000</f>
        <v>114.40991070068783</v>
      </c>
      <c r="H68" s="128">
        <f>SUM('Agriculture - Soil Mgmt'!H156:H157)*N2O_to_CO2e/1000</f>
        <v>114.44411480223569</v>
      </c>
      <c r="I68" s="128">
        <f>SUM('Agriculture - Soil Mgmt'!I156:I157)*N2O_to_CO2e/1000</f>
        <v>114.44408000224404</v>
      </c>
      <c r="J68" s="128">
        <f>SUM('Agriculture - Soil Mgmt'!J156:J157)*N2O_to_CO2e/1000</f>
        <v>114.42010679725389</v>
      </c>
      <c r="K68" s="128">
        <f>SUM('Agriculture - Soil Mgmt'!K156:K157)*N2O_to_CO2e/1000</f>
        <v>114.40703165551923</v>
      </c>
      <c r="L68" s="128">
        <f>SUM('Agriculture - Soil Mgmt'!L156:L157)*N2O_to_CO2e/1000</f>
        <v>114.3935708858738</v>
      </c>
      <c r="M68" s="128">
        <f>SUM('Agriculture - Soil Mgmt'!M156:M157)*N2O_to_CO2e/1000</f>
        <v>114.37808294381158</v>
      </c>
      <c r="N68" s="128">
        <f>SUM('Agriculture - Soil Mgmt'!N156:N157)*N2O_to_CO2e/1000</f>
        <v>114.38754872778598</v>
      </c>
      <c r="O68" s="128">
        <f>SUM('Agriculture - Soil Mgmt'!O156:O157)*N2O_to_CO2e/1000</f>
        <v>114.39716566073504</v>
      </c>
      <c r="P68" s="128">
        <f>SUM('Agriculture - Soil Mgmt'!P156:P157)*N2O_to_CO2e/1000</f>
        <v>114.40693455598635</v>
      </c>
      <c r="Q68" s="128">
        <f>SUM('Agriculture - Soil Mgmt'!Q156:Q157)*N2O_to_CO2e/1000</f>
        <v>114.41685623659133</v>
      </c>
      <c r="R68" s="128">
        <f>SUM('Agriculture - Soil Mgmt'!R156:R157)*N2O_to_CO2e/1000</f>
        <v>114.42693153534772</v>
      </c>
      <c r="S68" s="128">
        <f>SUM('Agriculture - Soil Mgmt'!S156:S157)*N2O_to_CO2e/1000</f>
        <v>114.43716129482279</v>
      </c>
      <c r="T68" s="128">
        <f>SUM('Agriculture - Soil Mgmt'!T156:T157)*N2O_to_CO2e/1000</f>
        <v>114.44754636737743</v>
      </c>
      <c r="U68" s="128">
        <f>SUM('Agriculture - Soil Mgmt'!U156:U157)*N2O_to_CO2e/1000</f>
        <v>114.45808761519139</v>
      </c>
      <c r="V68" s="128">
        <f>SUM('Agriculture - Soil Mgmt'!V156:V157)*N2O_to_CO2e/1000</f>
        <v>114.46878591028917</v>
      </c>
      <c r="W68" s="128">
        <f>SUM('Agriculture - Soil Mgmt'!W156:W157)*N2O_to_CO2e/1000</f>
        <v>114.47964213456679</v>
      </c>
      <c r="X68" s="128">
        <f>SUM('Agriculture - Soil Mgmt'!X156:X157)*N2O_to_CO2e/1000</f>
        <v>114.49065717981981</v>
      </c>
      <c r="Y68" s="128">
        <f>SUM('Agriculture - Soil Mgmt'!Y156:Y157)*N2O_to_CO2e/1000</f>
        <v>114.50183194777171</v>
      </c>
      <c r="Z68" s="128">
        <f>SUM('Agriculture - Soil Mgmt'!Z156:Z157)*N2O_to_CO2e/1000</f>
        <v>114.51316735010361</v>
      </c>
      <c r="AA68" s="128">
        <f>SUM('Agriculture - Soil Mgmt'!AA156:AA157)*N2O_to_CO2e/1000</f>
        <v>114.52466430848465</v>
      </c>
      <c r="AB68" s="128">
        <f>SUM('Agriculture - Soil Mgmt'!AB156:AB157)*N2O_to_CO2e/1000</f>
        <v>114.53632375460323</v>
      </c>
      <c r="AC68" s="128">
        <f>SUM('Agriculture - Soil Mgmt'!AC156:AC157)*N2O_to_CO2e/1000</f>
        <v>114.54814663019943</v>
      </c>
      <c r="AD68" s="128">
        <f>SUM('Agriculture - Soil Mgmt'!AD156:AD157)*N2O_to_CO2e/1000</f>
        <v>114.56013388709779</v>
      </c>
      <c r="AE68" s="128">
        <f>SUM('Agriculture - Soil Mgmt'!AE156:AE157)*N2O_to_CO2e/1000</f>
        <v>114.57228648724148</v>
      </c>
      <c r="AF68" s="128">
        <f>SUM('Agriculture - Soil Mgmt'!AF156:AF157)*N2O_to_CO2e/1000</f>
        <v>114.58460540272708</v>
      </c>
      <c r="AG68" s="128">
        <f>SUM('Agriculture - Soil Mgmt'!AG156:AG157)*N2O_to_CO2e/1000</f>
        <v>114.59709161584021</v>
      </c>
      <c r="AH68" s="128">
        <f>SUM('Agriculture - Soil Mgmt'!AH156:AH157)*N2O_to_CO2e/1000</f>
        <v>114.60974611909225</v>
      </c>
      <c r="AI68" s="128">
        <f>SUM('Agriculture - Soil Mgmt'!AI156:AI157)*N2O_to_CO2e/1000</f>
        <v>114.62256991525769</v>
      </c>
      <c r="AJ68" s="128">
        <f>SUM('Agriculture - Soil Mgmt'!AJ156:AJ157)*N2O_to_CO2e/1000</f>
        <v>114.63556401741242</v>
      </c>
      <c r="AK68" s="128">
        <f>SUM('Agriculture - Soil Mgmt'!AK156:AK157)*N2O_to_CO2e/1000</f>
        <v>114.64872944897309</v>
      </c>
    </row>
    <row r="69" spans="1:37" x14ac:dyDescent="0.25">
      <c r="A69" s="337" t="s">
        <v>1838</v>
      </c>
      <c r="B69" s="128">
        <f>'Other Industrial Processes'!C523*CH4_to_CO2e/1000</f>
        <v>0.308</v>
      </c>
      <c r="C69" s="128">
        <f>'Other Industrial Processes'!D523*CH4_to_CO2e/1000</f>
        <v>0.308</v>
      </c>
      <c r="D69" s="128">
        <f>'Other Industrial Processes'!E523*CH4_to_CO2e/1000</f>
        <v>0.308</v>
      </c>
      <c r="E69" s="128">
        <f>'Other Industrial Processes'!F523*CH4_to_CO2e/1000</f>
        <v>0.308</v>
      </c>
      <c r="F69" s="128">
        <f>'Other Industrial Processes'!G523*CH4_to_CO2e/1000</f>
        <v>0.308</v>
      </c>
      <c r="G69" s="128">
        <f>'Other Industrial Processes'!H523*CH4_to_CO2e/1000</f>
        <v>0.308</v>
      </c>
      <c r="H69" s="128">
        <f>'Other Industrial Processes'!I523*CH4_to_CO2e/1000</f>
        <v>0.308</v>
      </c>
      <c r="I69" s="128">
        <f>'Other Industrial Processes'!J523*CH4_to_CO2e/1000</f>
        <v>0.308</v>
      </c>
      <c r="J69" s="128">
        <f>'Other Industrial Processes'!K523*CH4_to_CO2e/1000</f>
        <v>0.308</v>
      </c>
      <c r="K69" s="128">
        <f>'Other Industrial Processes'!L523*CH4_to_CO2e/1000</f>
        <v>0.308</v>
      </c>
      <c r="L69" s="128">
        <f>'Other Industrial Processes'!M523*CH4_to_CO2e/1000</f>
        <v>0.308</v>
      </c>
      <c r="M69" s="128">
        <f>'Other Industrial Processes'!N523*CH4_to_CO2e/1000</f>
        <v>0.308</v>
      </c>
      <c r="N69" s="128">
        <f>'Other Industrial Processes'!O523*CH4_to_CO2e/1000</f>
        <v>0.308</v>
      </c>
      <c r="O69" s="128">
        <f>'Other Industrial Processes'!P523*CH4_to_CO2e/1000</f>
        <v>0.308</v>
      </c>
      <c r="P69" s="128">
        <f>'Other Industrial Processes'!Q523*CH4_to_CO2e/1000</f>
        <v>0.308</v>
      </c>
      <c r="Q69" s="128">
        <f>'Other Industrial Processes'!R523*CH4_to_CO2e/1000</f>
        <v>0.308</v>
      </c>
      <c r="R69" s="128">
        <f>'Other Industrial Processes'!S523*CH4_to_CO2e/1000</f>
        <v>0.308</v>
      </c>
      <c r="S69" s="128">
        <f>'Other Industrial Processes'!T523*CH4_to_CO2e/1000</f>
        <v>0.308</v>
      </c>
      <c r="T69" s="128">
        <f>'Other Industrial Processes'!U523*CH4_to_CO2e/1000</f>
        <v>0.308</v>
      </c>
      <c r="U69" s="128">
        <f>'Other Industrial Processes'!V523*CH4_to_CO2e/1000</f>
        <v>0.308</v>
      </c>
      <c r="V69" s="128">
        <f>'Other Industrial Processes'!W523*CH4_to_CO2e/1000</f>
        <v>0.308</v>
      </c>
      <c r="W69" s="128">
        <f>'Other Industrial Processes'!X523*CH4_to_CO2e/1000</f>
        <v>0.308</v>
      </c>
      <c r="X69" s="128">
        <f>'Other Industrial Processes'!Y523*CH4_to_CO2e/1000</f>
        <v>0.308</v>
      </c>
      <c r="Y69" s="128">
        <f>'Other Industrial Processes'!Z523*CH4_to_CO2e/1000</f>
        <v>0.308</v>
      </c>
      <c r="Z69" s="128">
        <f>'Other Industrial Processes'!AA523*CH4_to_CO2e/1000</f>
        <v>0.308</v>
      </c>
      <c r="AA69" s="128">
        <f>'Other Industrial Processes'!AB523*CH4_to_CO2e/1000</f>
        <v>0.308</v>
      </c>
      <c r="AB69" s="128">
        <f>'Other Industrial Processes'!AC523*CH4_to_CO2e/1000</f>
        <v>0.308</v>
      </c>
      <c r="AC69" s="128">
        <f>'Other Industrial Processes'!AD523*CH4_to_CO2e/1000</f>
        <v>0.308</v>
      </c>
      <c r="AD69" s="128">
        <f>'Other Industrial Processes'!AE523*CH4_to_CO2e/1000</f>
        <v>0.308</v>
      </c>
      <c r="AE69" s="128">
        <f>'Other Industrial Processes'!AF523*CH4_to_CO2e/1000</f>
        <v>0.308</v>
      </c>
      <c r="AF69" s="128">
        <f>'Other Industrial Processes'!AG523*CH4_to_CO2e/1000</f>
        <v>0.308</v>
      </c>
      <c r="AG69" s="128">
        <f>'Other Industrial Processes'!AH523*CH4_to_CO2e/1000</f>
        <v>0.308</v>
      </c>
      <c r="AH69" s="128">
        <f>'Other Industrial Processes'!AI523*CH4_to_CO2e/1000</f>
        <v>0.308</v>
      </c>
      <c r="AI69" s="128">
        <f>'Other Industrial Processes'!AJ523*CH4_to_CO2e/1000</f>
        <v>0.308</v>
      </c>
      <c r="AJ69" s="128">
        <f>'Other Industrial Processes'!AK523*CH4_to_CO2e/1000</f>
        <v>0.308</v>
      </c>
      <c r="AK69" s="128">
        <f>'Other Industrial Processes'!AL523*CH4_to_CO2e/1000</f>
        <v>0.308</v>
      </c>
    </row>
    <row r="70" spans="1:37" x14ac:dyDescent="0.25">
      <c r="A70" s="131"/>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c r="AG70" s="128"/>
      <c r="AH70" s="128"/>
      <c r="AI70" s="128"/>
      <c r="AJ70" s="128"/>
      <c r="AK70" s="128"/>
    </row>
    <row r="71" spans="1:37" x14ac:dyDescent="0.25">
      <c r="A71" s="134" t="s">
        <v>1033</v>
      </c>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row>
    <row r="72" spans="1:37" x14ac:dyDescent="0.25">
      <c r="A72" s="130" t="s">
        <v>1034</v>
      </c>
      <c r="B72" s="127">
        <f>SUM(B76,B78,B80,B82)</f>
        <v>12.5</v>
      </c>
      <c r="C72" s="127">
        <f t="shared" ref="C72:AK72" si="14">SUM(C76,C78,C80,C82)</f>
        <v>12.568297342829027</v>
      </c>
      <c r="D72" s="127">
        <f t="shared" si="14"/>
        <v>12.633625898131969</v>
      </c>
      <c r="E72" s="127">
        <f t="shared" si="14"/>
        <v>12.689120568518071</v>
      </c>
      <c r="F72" s="127">
        <f t="shared" si="14"/>
        <v>12.727787496668093</v>
      </c>
      <c r="G72" s="127">
        <f t="shared" si="14"/>
        <v>12.742730060372017</v>
      </c>
      <c r="H72" s="127">
        <f t="shared" si="14"/>
        <v>12.975361409475436</v>
      </c>
      <c r="I72" s="127">
        <f t="shared" si="14"/>
        <v>13.227766954109105</v>
      </c>
      <c r="J72" s="127">
        <f t="shared" si="14"/>
        <v>13.500583051298422</v>
      </c>
      <c r="K72" s="127">
        <f t="shared" si="14"/>
        <v>13.794500064786394</v>
      </c>
      <c r="L72" s="127">
        <f t="shared" si="14"/>
        <v>14.110263847812565</v>
      </c>
      <c r="M72" s="127">
        <f t="shared" si="14"/>
        <v>14.448677401469663</v>
      </c>
      <c r="N72" s="127">
        <f t="shared" si="14"/>
        <v>14.810602710648551</v>
      </c>
      <c r="O72" s="127">
        <f t="shared" si="14"/>
        <v>15.196962760272353</v>
      </c>
      <c r="P72" s="127">
        <f t="shared" si="14"/>
        <v>15.608743735203126</v>
      </c>
      <c r="Q72" s="127">
        <f t="shared" si="14"/>
        <v>16.046997407881573</v>
      </c>
      <c r="R72" s="127">
        <f t="shared" si="14"/>
        <v>16.512843718435782</v>
      </c>
      <c r="S72" s="127">
        <f t="shared" si="14"/>
        <v>17.007473552671595</v>
      </c>
      <c r="T72" s="127">
        <f t="shared" si="14"/>
        <v>17.53215172403786</v>
      </c>
      <c r="U72" s="127">
        <f t="shared" si="14"/>
        <v>18.088220166347678</v>
      </c>
      <c r="V72" s="127">
        <f t="shared" si="14"/>
        <v>18.677101344734233</v>
      </c>
      <c r="W72" s="127">
        <f t="shared" si="14"/>
        <v>19.300301893030223</v>
      </c>
      <c r="X72" s="127">
        <f t="shared" si="14"/>
        <v>19.959416486485516</v>
      </c>
      <c r="Y72" s="127">
        <f t="shared" si="14"/>
        <v>20.656131959481677</v>
      </c>
      <c r="Z72" s="127">
        <f t="shared" si="14"/>
        <v>21.392231678667137</v>
      </c>
      <c r="AA72" s="127">
        <f t="shared" si="14"/>
        <v>22.169600182725326</v>
      </c>
      <c r="AB72" s="127">
        <f t="shared" si="14"/>
        <v>22.990228100803954</v>
      </c>
      <c r="AC72" s="127">
        <f t="shared" si="14"/>
        <v>23.856217362478283</v>
      </c>
      <c r="AD72" s="127">
        <f t="shared" si="14"/>
        <v>24.769786712999075</v>
      </c>
      <c r="AE72" s="127">
        <f t="shared" si="14"/>
        <v>25.733277548488637</v>
      </c>
      <c r="AF72" s="127">
        <f t="shared" si="14"/>
        <v>26.749160086700066</v>
      </c>
      <c r="AG72" s="127">
        <f t="shared" si="14"/>
        <v>27.820039889947942</v>
      </c>
      <c r="AH72" s="127">
        <f t="shared" si="14"/>
        <v>28.948664757857117</v>
      </c>
      <c r="AI72" s="127">
        <f t="shared" si="14"/>
        <v>30.137932008662592</v>
      </c>
      <c r="AJ72" s="127">
        <f t="shared" si="14"/>
        <v>31.390896168932397</v>
      </c>
      <c r="AK72" s="127">
        <f t="shared" si="14"/>
        <v>32.710777092779018</v>
      </c>
    </row>
    <row r="73" spans="1:37" x14ac:dyDescent="0.25">
      <c r="A73" s="130" t="s">
        <v>1035</v>
      </c>
      <c r="B73" s="139">
        <f>SUM(B79,B81,B83)</f>
        <v>26.512999999999998</v>
      </c>
      <c r="C73" s="139">
        <f t="shared" ref="C73:AK73" si="15">SUM(C79,C81,C83)</f>
        <v>27.68799022336767</v>
      </c>
      <c r="D73" s="139">
        <f t="shared" si="15"/>
        <v>27.866274600002491</v>
      </c>
      <c r="E73" s="139">
        <f t="shared" si="15"/>
        <v>28.067048174152703</v>
      </c>
      <c r="F73" s="139">
        <f t="shared" si="15"/>
        <v>28.288130349393974</v>
      </c>
      <c r="G73" s="139">
        <f t="shared" si="15"/>
        <v>28.52756873395235</v>
      </c>
      <c r="H73" s="139">
        <f t="shared" si="15"/>
        <v>28.783614884398062</v>
      </c>
      <c r="I73" s="139">
        <f t="shared" si="15"/>
        <v>29.054702637134206</v>
      </c>
      <c r="J73" s="139">
        <f t="shared" si="15"/>
        <v>29.339428751336335</v>
      </c>
      <c r="K73" s="139">
        <f t="shared" si="15"/>
        <v>29.636535616517136</v>
      </c>
      <c r="L73" s="139">
        <f t="shared" si="15"/>
        <v>29.944895804254834</v>
      </c>
      <c r="M73" s="139">
        <f t="shared" si="15"/>
        <v>30.263498267172572</v>
      </c>
      <c r="N73" s="139">
        <f t="shared" si="15"/>
        <v>30.59143600928828</v>
      </c>
      <c r="O73" s="139">
        <f t="shared" si="15"/>
        <v>30.927895070641121</v>
      </c>
      <c r="P73" s="139">
        <f t="shared" si="15"/>
        <v>31.272144685879489</v>
      </c>
      <c r="Q73" s="139">
        <f t="shared" si="15"/>
        <v>31.623528491482347</v>
      </c>
      <c r="R73" s="139">
        <f t="shared" si="15"/>
        <v>31.98145666967185</v>
      </c>
      <c r="S73" s="139">
        <f t="shared" si="15"/>
        <v>32.345398929030885</v>
      </c>
      <c r="T73" s="139">
        <f t="shared" si="15"/>
        <v>32.714878232518352</v>
      </c>
      <c r="U73" s="139">
        <f t="shared" si="15"/>
        <v>33.089465193112794</v>
      </c>
      <c r="V73" s="139">
        <f t="shared" si="15"/>
        <v>33.46877306583459</v>
      </c>
      <c r="W73" s="139">
        <f t="shared" si="15"/>
        <v>33.852453272505919</v>
      </c>
      <c r="X73" s="139">
        <f t="shared" si="15"/>
        <v>34.240191402404328</v>
      </c>
      <c r="Y73" s="139">
        <f t="shared" si="15"/>
        <v>34.631703638036043</v>
      </c>
      <c r="Z73" s="139">
        <f t="shared" si="15"/>
        <v>35.026733560677428</v>
      </c>
      <c r="AA73" s="139">
        <f t="shared" si="15"/>
        <v>35.425049295175505</v>
      </c>
      <c r="AB73" s="139">
        <f t="shared" si="15"/>
        <v>35.826440957824566</v>
      </c>
      <c r="AC73" s="139">
        <f t="shared" si="15"/>
        <v>36.230718374998816</v>
      </c>
      <c r="AD73" s="139">
        <f t="shared" si="15"/>
        <v>36.637709043672473</v>
      </c>
      <c r="AE73" s="139">
        <f t="shared" si="15"/>
        <v>37.047256308040666</v>
      </c>
      <c r="AF73" s="139">
        <f t="shared" si="15"/>
        <v>37.459217729207566</v>
      </c>
      <c r="AG73" s="139">
        <f t="shared" si="15"/>
        <v>37.873463627367379</v>
      </c>
      <c r="AH73" s="139">
        <f t="shared" si="15"/>
        <v>38.289875778100026</v>
      </c>
      <c r="AI73" s="139">
        <f t="shared" si="15"/>
        <v>38.708346246365259</v>
      </c>
      <c r="AJ73" s="139">
        <f t="shared" si="15"/>
        <v>39.128776343530994</v>
      </c>
      <c r="AK73" s="139">
        <f t="shared" si="15"/>
        <v>39.551075694337158</v>
      </c>
    </row>
    <row r="74" spans="1:37" x14ac:dyDescent="0.25">
      <c r="A74" s="130" t="s">
        <v>1076</v>
      </c>
      <c r="B74" s="127">
        <f>B77+B84</f>
        <v>3.9750000000000001</v>
      </c>
      <c r="C74" s="127">
        <f t="shared" ref="C74:AK74" si="16">C77+C84</f>
        <v>3.99414625</v>
      </c>
      <c r="D74" s="127">
        <f t="shared" si="16"/>
        <v>4.0127814640624999</v>
      </c>
      <c r="E74" s="127">
        <f t="shared" si="16"/>
        <v>4.0305360878867189</v>
      </c>
      <c r="F74" s="127">
        <f t="shared" si="16"/>
        <v>4.0470322705500639</v>
      </c>
      <c r="G74" s="127">
        <f t="shared" si="16"/>
        <v>4.061896384077567</v>
      </c>
      <c r="H74" s="127">
        <f t="shared" si="16"/>
        <v>4.0775037032814447</v>
      </c>
      <c r="I74" s="127">
        <f t="shared" si="16"/>
        <v>4.0938913884455168</v>
      </c>
      <c r="J74" s="127">
        <f t="shared" si="16"/>
        <v>4.1110984578677936</v>
      </c>
      <c r="K74" s="127">
        <f t="shared" si="16"/>
        <v>4.1291658807611826</v>
      </c>
      <c r="L74" s="127">
        <f t="shared" si="16"/>
        <v>4.1481366747992423</v>
      </c>
      <c r="M74" s="127">
        <f t="shared" si="16"/>
        <v>4.168056008539204</v>
      </c>
      <c r="N74" s="127">
        <f t="shared" si="16"/>
        <v>4.1889713089661642</v>
      </c>
      <c r="O74" s="127">
        <f t="shared" si="16"/>
        <v>4.2109323744144724</v>
      </c>
      <c r="P74" s="127">
        <f t="shared" si="16"/>
        <v>4.2339914931351963</v>
      </c>
      <c r="Q74" s="127">
        <f t="shared" si="16"/>
        <v>4.2582035677919565</v>
      </c>
      <c r="R74" s="127">
        <f t="shared" si="16"/>
        <v>4.2836262461815542</v>
      </c>
      <c r="S74" s="127">
        <f t="shared" si="16"/>
        <v>4.3103200584906318</v>
      </c>
      <c r="T74" s="127">
        <f t="shared" si="16"/>
        <v>4.3383485614151631</v>
      </c>
      <c r="U74" s="127">
        <f t="shared" si="16"/>
        <v>4.3677784894859215</v>
      </c>
      <c r="V74" s="127">
        <f t="shared" si="16"/>
        <v>4.3986799139602173</v>
      </c>
      <c r="W74" s="127">
        <f t="shared" si="16"/>
        <v>4.4311264096582281</v>
      </c>
      <c r="X74" s="127">
        <f t="shared" si="16"/>
        <v>4.4651952301411395</v>
      </c>
      <c r="Y74" s="127">
        <f t="shared" si="16"/>
        <v>4.500967491648197</v>
      </c>
      <c r="Z74" s="127">
        <f t="shared" si="16"/>
        <v>4.5385283662306071</v>
      </c>
      <c r="AA74" s="127">
        <f t="shared" si="16"/>
        <v>4.5779672845421375</v>
      </c>
      <c r="AB74" s="127">
        <f t="shared" si="16"/>
        <v>4.6193781487692442</v>
      </c>
      <c r="AC74" s="127">
        <f t="shared" si="16"/>
        <v>4.6628595562077066</v>
      </c>
      <c r="AD74" s="127">
        <f t="shared" si="16"/>
        <v>4.7085150340180917</v>
      </c>
      <c r="AE74" s="127">
        <f t="shared" si="16"/>
        <v>4.7564532857189965</v>
      </c>
      <c r="AF74" s="127">
        <f t="shared" si="16"/>
        <v>4.8067884500049463</v>
      </c>
      <c r="AG74" s="127">
        <f t="shared" si="16"/>
        <v>4.8596403725051935</v>
      </c>
      <c r="AH74" s="127">
        <f t="shared" si="16"/>
        <v>4.915134891130454</v>
      </c>
      <c r="AI74" s="127">
        <f t="shared" si="16"/>
        <v>4.9734041356869767</v>
      </c>
      <c r="AJ74" s="127">
        <f t="shared" si="16"/>
        <v>5.0345868424713256</v>
      </c>
      <c r="AK74" s="127">
        <f t="shared" si="16"/>
        <v>5.098828684594892</v>
      </c>
    </row>
    <row r="75" spans="1:37" x14ac:dyDescent="0.25">
      <c r="A75" s="130" t="s">
        <v>1980</v>
      </c>
      <c r="B75" s="127">
        <f>B85</f>
        <v>2.8000000000000001E-2</v>
      </c>
      <c r="C75" s="127">
        <f t="shared" ref="C75:AK75" si="17">C85</f>
        <v>3.1111111111111114E-2</v>
      </c>
      <c r="D75" s="127">
        <f t="shared" si="17"/>
        <v>3.422222222222223E-2</v>
      </c>
      <c r="E75" s="127">
        <f t="shared" si="17"/>
        <v>3.7333333333333336E-2</v>
      </c>
      <c r="F75" s="127">
        <f t="shared" si="17"/>
        <v>4.044444444444445E-2</v>
      </c>
      <c r="G75" s="127">
        <f t="shared" si="17"/>
        <v>4.3555555555555563E-2</v>
      </c>
      <c r="H75" s="127">
        <f t="shared" si="17"/>
        <v>4.6666666666666669E-2</v>
      </c>
      <c r="I75" s="127">
        <f t="shared" si="17"/>
        <v>4.9777777777777789E-2</v>
      </c>
      <c r="J75" s="127">
        <f t="shared" si="17"/>
        <v>5.2888888888888902E-2</v>
      </c>
      <c r="K75" s="127">
        <f t="shared" si="17"/>
        <v>5.6000000000000015E-2</v>
      </c>
      <c r="L75" s="127">
        <f t="shared" si="17"/>
        <v>5.9111111111111128E-2</v>
      </c>
      <c r="M75" s="127">
        <f t="shared" si="17"/>
        <v>6.2222222222222234E-2</v>
      </c>
      <c r="N75" s="127">
        <f t="shared" si="17"/>
        <v>6.533333333333334E-2</v>
      </c>
      <c r="O75" s="127">
        <f t="shared" si="17"/>
        <v>6.8444444444444461E-2</v>
      </c>
      <c r="P75" s="127">
        <f t="shared" si="17"/>
        <v>7.1555555555555567E-2</v>
      </c>
      <c r="Q75" s="127">
        <f t="shared" si="17"/>
        <v>7.4666666666666687E-2</v>
      </c>
      <c r="R75" s="127">
        <f t="shared" si="17"/>
        <v>7.7777777777777807E-2</v>
      </c>
      <c r="S75" s="127">
        <f t="shared" si="17"/>
        <v>8.0888888888888913E-2</v>
      </c>
      <c r="T75" s="127">
        <f t="shared" si="17"/>
        <v>8.4000000000000033E-2</v>
      </c>
      <c r="U75" s="127">
        <f t="shared" si="17"/>
        <v>8.7111111111111139E-2</v>
      </c>
      <c r="V75" s="127">
        <f t="shared" si="17"/>
        <v>9.0222222222222259E-2</v>
      </c>
      <c r="W75" s="127">
        <f t="shared" si="17"/>
        <v>9.3333333333333351E-2</v>
      </c>
      <c r="X75" s="127">
        <f t="shared" si="17"/>
        <v>9.6444444444444472E-2</v>
      </c>
      <c r="Y75" s="127">
        <f t="shared" si="17"/>
        <v>9.9555555555555592E-2</v>
      </c>
      <c r="Z75" s="127">
        <f t="shared" si="17"/>
        <v>0.1026666666666667</v>
      </c>
      <c r="AA75" s="127">
        <f t="shared" si="17"/>
        <v>0.10577777777777782</v>
      </c>
      <c r="AB75" s="127">
        <f t="shared" si="17"/>
        <v>0.10888888888888892</v>
      </c>
      <c r="AC75" s="127">
        <f t="shared" si="17"/>
        <v>0.11200000000000003</v>
      </c>
      <c r="AD75" s="127">
        <f t="shared" si="17"/>
        <v>0.11511111111111112</v>
      </c>
      <c r="AE75" s="127">
        <f t="shared" si="17"/>
        <v>0.11822222222222223</v>
      </c>
      <c r="AF75" s="127">
        <f t="shared" si="17"/>
        <v>0.12133333333333333</v>
      </c>
      <c r="AG75" s="127">
        <f t="shared" si="17"/>
        <v>0.12444444444444443</v>
      </c>
      <c r="AH75" s="127">
        <f t="shared" si="17"/>
        <v>0.12755555555555553</v>
      </c>
      <c r="AI75" s="127">
        <f t="shared" si="17"/>
        <v>0.13066666666666663</v>
      </c>
      <c r="AJ75" s="127">
        <f t="shared" si="17"/>
        <v>0.13377777777777772</v>
      </c>
      <c r="AK75" s="127">
        <f t="shared" si="17"/>
        <v>0.13688888888888884</v>
      </c>
    </row>
    <row r="76" spans="1:37" x14ac:dyDescent="0.25">
      <c r="A76" s="120" t="s">
        <v>1036</v>
      </c>
      <c r="B76" s="121">
        <f>'Other - Semiconductor Mfg'!B14</f>
        <v>4.8</v>
      </c>
      <c r="C76" s="121">
        <f>'Other - Semiconductor Mfg'!C14</f>
        <v>5.1467999999999989</v>
      </c>
      <c r="D76" s="121">
        <f>'Other - Semiconductor Mfg'!D14</f>
        <v>5.4843434999999987</v>
      </c>
      <c r="E76" s="121">
        <f>'Other - Semiconductor Mfg'!E14</f>
        <v>5.805936686249999</v>
      </c>
      <c r="F76" s="121">
        <f>'Other - Semiconductor Mfg'!F14</f>
        <v>6.1047354665671874</v>
      </c>
      <c r="G76" s="121">
        <f>'Other - Semiconductor Mfg'!G14</f>
        <v>6.3739722398955472</v>
      </c>
      <c r="H76" s="121">
        <f>'Other - Semiconductor Mfg'!H14</f>
        <v>6.6566708518903246</v>
      </c>
      <c r="I76" s="121">
        <f>'Other - Semiconductor Mfg'!I14</f>
        <v>6.9535043944848409</v>
      </c>
      <c r="J76" s="121">
        <f>'Other - Semiconductor Mfg'!J14</f>
        <v>7.2651796142090843</v>
      </c>
      <c r="K76" s="121">
        <f>'Other - Semiconductor Mfg'!K14</f>
        <v>7.5924385949195381</v>
      </c>
      <c r="L76" s="121">
        <f>'Other - Semiconductor Mfg'!L14</f>
        <v>7.9360605246655167</v>
      </c>
      <c r="M76" s="121">
        <f>'Other - Semiconductor Mfg'!M14</f>
        <v>8.2968635508987916</v>
      </c>
      <c r="N76" s="121">
        <f>'Other - Semiconductor Mfg'!N14</f>
        <v>8.6757067284437319</v>
      </c>
      <c r="O76" s="121">
        <f>'Other - Semiconductor Mfg'!O14</f>
        <v>9.0734920648659187</v>
      </c>
      <c r="P76" s="121">
        <f>'Other - Semiconductor Mfg'!P14</f>
        <v>9.4911666681092157</v>
      </c>
      <c r="Q76" s="121">
        <f>'Other - Semiconductor Mfg'!Q14</f>
        <v>9.9297250015146776</v>
      </c>
      <c r="R76" s="121">
        <f>'Other - Semiconductor Mfg'!R14</f>
        <v>10.39021125159041</v>
      </c>
      <c r="S76" s="121">
        <f>'Other - Semiconductor Mfg'!S14</f>
        <v>10.873721814169933</v>
      </c>
      <c r="T76" s="121">
        <f>'Other - Semiconductor Mfg'!T14</f>
        <v>11.381407904878429</v>
      </c>
      <c r="U76" s="121">
        <f>'Other - Semiconductor Mfg'!U14</f>
        <v>11.914478300122353</v>
      </c>
      <c r="V76" s="121">
        <f>'Other - Semiconductor Mfg'!V14</f>
        <v>12.47420221512847</v>
      </c>
      <c r="W76" s="121">
        <f>'Other - Semiconductor Mfg'!W14</f>
        <v>13.061912325884894</v>
      </c>
      <c r="X76" s="121">
        <f>'Other - Semiconductor Mfg'!X14</f>
        <v>13.679007942179139</v>
      </c>
      <c r="Y76" s="121">
        <f>'Other - Semiconductor Mfg'!Y14</f>
        <v>14.326958339288099</v>
      </c>
      <c r="Z76" s="121">
        <f>'Other - Semiconductor Mfg'!Z14</f>
        <v>15.007306256252505</v>
      </c>
      <c r="AA76" s="121">
        <f>'Other - Semiconductor Mfg'!AA14</f>
        <v>15.72167156906513</v>
      </c>
      <c r="AB76" s="121">
        <f>'Other - Semiconductor Mfg'!AB14</f>
        <v>16.471755147518387</v>
      </c>
      <c r="AC76" s="121">
        <f>'Other - Semiconductor Mfg'!AC14</f>
        <v>17.259342904894304</v>
      </c>
      <c r="AD76" s="121">
        <f>'Other - Semiconductor Mfg'!AD14</f>
        <v>18.086310050139023</v>
      </c>
      <c r="AE76" s="121">
        <f>'Other - Semiconductor Mfg'!AE14</f>
        <v>18.954625552645975</v>
      </c>
      <c r="AF76" s="121">
        <f>'Other - Semiconductor Mfg'!AF14</f>
        <v>19.866356830278278</v>
      </c>
      <c r="AG76" s="121">
        <f>'Other - Semiconductor Mfg'!AG14</f>
        <v>20.823674671792194</v>
      </c>
      <c r="AH76" s="121">
        <f>'Other - Semiconductor Mfg'!AH14</f>
        <v>21.828858405381805</v>
      </c>
      <c r="AI76" s="121">
        <f>'Other - Semiconductor Mfg'!AI14</f>
        <v>22.884301325650895</v>
      </c>
      <c r="AJ76" s="121">
        <f>'Other - Semiconductor Mfg'!AJ14</f>
        <v>23.992516391933439</v>
      </c>
      <c r="AK76" s="121">
        <f>'Other - Semiconductor Mfg'!AK14</f>
        <v>25.156142211530113</v>
      </c>
    </row>
    <row r="77" spans="1:37" x14ac:dyDescent="0.25">
      <c r="A77" s="120" t="s">
        <v>1069</v>
      </c>
      <c r="B77" s="121">
        <f>'Other - Semiconductor Mfg'!B15*N2O_to_CO2e/1000</f>
        <v>0.26500000000000001</v>
      </c>
      <c r="C77" s="121">
        <f>'Other - Semiconductor Mfg'!C15*N2O_to_CO2e/1000</f>
        <v>0.28414624999999993</v>
      </c>
      <c r="D77" s="121">
        <f>'Other - Semiconductor Mfg'!D15*N2O_to_CO2e/1000</f>
        <v>0.30278146406250001</v>
      </c>
      <c r="E77" s="121">
        <f>'Other - Semiconductor Mfg'!E15*N2O_to_CO2e/1000</f>
        <v>0.32053608788671872</v>
      </c>
      <c r="F77" s="121">
        <f>'Other - Semiconductor Mfg'!F15*N2O_to_CO2e/1000</f>
        <v>0.33703227055006352</v>
      </c>
      <c r="G77" s="121">
        <f>'Other - Semiconductor Mfg'!G15*N2O_to_CO2e/1000</f>
        <v>0.35189638407756674</v>
      </c>
      <c r="H77" s="121">
        <f>'Other - Semiconductor Mfg'!H15*N2O_to_CO2e/1000</f>
        <v>0.36750370328144505</v>
      </c>
      <c r="I77" s="121">
        <f>'Other - Semiconductor Mfg'!I15*N2O_to_CO2e/1000</f>
        <v>0.38389138844551729</v>
      </c>
      <c r="J77" s="121">
        <f>'Other - Semiconductor Mfg'!J15*N2O_to_CO2e/1000</f>
        <v>0.40109845786779319</v>
      </c>
      <c r="K77" s="121">
        <f>'Other - Semiconductor Mfg'!K15*N2O_to_CO2e/1000</f>
        <v>0.41916588076118283</v>
      </c>
      <c r="L77" s="121">
        <f>'Other - Semiconductor Mfg'!L15*N2O_to_CO2e/1000</f>
        <v>0.43813667479924201</v>
      </c>
      <c r="M77" s="121">
        <f>'Other - Semiconductor Mfg'!M15*N2O_to_CO2e/1000</f>
        <v>0.4580560085392042</v>
      </c>
      <c r="N77" s="121">
        <f>'Other - Semiconductor Mfg'!N15*N2O_to_CO2e/1000</f>
        <v>0.47897130896616441</v>
      </c>
      <c r="O77" s="121">
        <f>'Other - Semiconductor Mfg'!O15*N2O_to_CO2e/1000</f>
        <v>0.50093237441447258</v>
      </c>
      <c r="P77" s="121">
        <f>'Other - Semiconductor Mfg'!P15*N2O_to_CO2e/1000</f>
        <v>0.52399149313519622</v>
      </c>
      <c r="Q77" s="121">
        <f>'Other - Semiconductor Mfg'!Q15*N2O_to_CO2e/1000</f>
        <v>0.54820356779195623</v>
      </c>
      <c r="R77" s="121">
        <f>'Other - Semiconductor Mfg'!R15*N2O_to_CO2e/1000</f>
        <v>0.57362624618155389</v>
      </c>
      <c r="S77" s="121">
        <f>'Other - Semiconductor Mfg'!S15*N2O_to_CO2e/1000</f>
        <v>0.60032005849063175</v>
      </c>
      <c r="T77" s="121">
        <f>'Other - Semiconductor Mfg'!T15*N2O_to_CO2e/1000</f>
        <v>0.62834856141516338</v>
      </c>
      <c r="U77" s="121">
        <f>'Other - Semiconductor Mfg'!U15*N2O_to_CO2e/1000</f>
        <v>0.65777848948592155</v>
      </c>
      <c r="V77" s="121">
        <f>'Other - Semiconductor Mfg'!V15*N2O_to_CO2e/1000</f>
        <v>0.68867991396021766</v>
      </c>
      <c r="W77" s="121">
        <f>'Other - Semiconductor Mfg'!W15*N2O_to_CO2e/1000</f>
        <v>0.7211264096582285</v>
      </c>
      <c r="X77" s="121">
        <f>'Other - Semiconductor Mfg'!X15*N2O_to_CO2e/1000</f>
        <v>0.75519523014113998</v>
      </c>
      <c r="Y77" s="121">
        <f>'Other - Semiconductor Mfg'!Y15*N2O_to_CO2e/1000</f>
        <v>0.79096749164819713</v>
      </c>
      <c r="Z77" s="121">
        <f>'Other - Semiconductor Mfg'!Z15*N2O_to_CO2e/1000</f>
        <v>0.82852836623060699</v>
      </c>
      <c r="AA77" s="121">
        <f>'Other - Semiconductor Mfg'!AA15*N2O_to_CO2e/1000</f>
        <v>0.86796728454213734</v>
      </c>
      <c r="AB77" s="121">
        <f>'Other - Semiconductor Mfg'!AB15*N2O_to_CO2e/1000</f>
        <v>0.90937814876924428</v>
      </c>
      <c r="AC77" s="121">
        <f>'Other - Semiconductor Mfg'!AC15*N2O_to_CO2e/1000</f>
        <v>0.95285955620770646</v>
      </c>
      <c r="AD77" s="121">
        <f>'Other - Semiconductor Mfg'!AD15*N2O_to_CO2e/1000</f>
        <v>0.99851503401809194</v>
      </c>
      <c r="AE77" s="121">
        <f>'Other - Semiconductor Mfg'!AE15*N2O_to_CO2e/1000</f>
        <v>1.0464532857189968</v>
      </c>
      <c r="AF77" s="121">
        <f>'Other - Semiconductor Mfg'!AF15*N2O_to_CO2e/1000</f>
        <v>1.0967884500049465</v>
      </c>
      <c r="AG77" s="121">
        <f>'Other - Semiconductor Mfg'!AG15*N2O_to_CO2e/1000</f>
        <v>1.149640372505194</v>
      </c>
      <c r="AH77" s="121">
        <f>'Other - Semiconductor Mfg'!AH15*N2O_to_CO2e/1000</f>
        <v>1.2051348911304538</v>
      </c>
      <c r="AI77" s="121">
        <f>'Other - Semiconductor Mfg'!AI15*N2O_to_CO2e/1000</f>
        <v>1.2634041356869765</v>
      </c>
      <c r="AJ77" s="121">
        <f>'Other - Semiconductor Mfg'!AJ15*N2O_to_CO2e/1000</f>
        <v>1.3245868424713254</v>
      </c>
      <c r="AK77" s="121">
        <f>'Other - Semiconductor Mfg'!AK15*N2O_to_CO2e/1000</f>
        <v>1.3888286845948916</v>
      </c>
    </row>
    <row r="78" spans="1:37" x14ac:dyDescent="0.25">
      <c r="A78" s="120" t="s">
        <v>1037</v>
      </c>
      <c r="B78" s="121">
        <f>'Other - Aluminum'!B19</f>
        <v>2</v>
      </c>
      <c r="C78" s="121">
        <f>'Other - Aluminum'!C19</f>
        <v>1.801501751313485</v>
      </c>
      <c r="D78" s="121">
        <f>'Other - Aluminum'!D19</f>
        <v>1.60300350262697</v>
      </c>
      <c r="E78" s="121">
        <f>'Other - Aluminum'!E19</f>
        <v>1.4045052539404554</v>
      </c>
      <c r="F78" s="121">
        <f>'Other - Aluminum'!F19</f>
        <v>1.2060070052539402</v>
      </c>
      <c r="G78" s="121">
        <f>'Other - Aluminum'!G19</f>
        <v>1.0075087565674252</v>
      </c>
      <c r="H78" s="121">
        <f>'Other - Aluminum'!H19</f>
        <v>1.0075087565674252</v>
      </c>
      <c r="I78" s="121">
        <f>'Other - Aluminum'!I19</f>
        <v>1.0075087565674252</v>
      </c>
      <c r="J78" s="121">
        <f>'Other - Aluminum'!J19</f>
        <v>1.0075087565674252</v>
      </c>
      <c r="K78" s="121">
        <f>'Other - Aluminum'!K19</f>
        <v>1.0075087565674252</v>
      </c>
      <c r="L78" s="121">
        <f>'Other - Aluminum'!L19</f>
        <v>1.0075087565674252</v>
      </c>
      <c r="M78" s="121">
        <f>'Other - Aluminum'!M19</f>
        <v>1.0075087565674252</v>
      </c>
      <c r="N78" s="121">
        <f>'Other - Aluminum'!N19</f>
        <v>1.0075087565674252</v>
      </c>
      <c r="O78" s="121">
        <f>'Other - Aluminum'!O19</f>
        <v>1.0075087565674252</v>
      </c>
      <c r="P78" s="121">
        <f>'Other - Aluminum'!P19</f>
        <v>1.0075087565674252</v>
      </c>
      <c r="Q78" s="121">
        <f>'Other - Aluminum'!Q19</f>
        <v>1.0075087565674252</v>
      </c>
      <c r="R78" s="121">
        <f>'Other - Aluminum'!R19</f>
        <v>1.0075087565674252</v>
      </c>
      <c r="S78" s="121">
        <f>'Other - Aluminum'!S19</f>
        <v>1.0075087565674252</v>
      </c>
      <c r="T78" s="121">
        <f>'Other - Aluminum'!T19</f>
        <v>1.0075087565674252</v>
      </c>
      <c r="U78" s="121">
        <f>'Other - Aluminum'!U19</f>
        <v>1.0075087565674252</v>
      </c>
      <c r="V78" s="121">
        <f>'Other - Aluminum'!V19</f>
        <v>1.0075087565674252</v>
      </c>
      <c r="W78" s="121">
        <f>'Other - Aluminum'!W19</f>
        <v>1.0075087565674252</v>
      </c>
      <c r="X78" s="121">
        <f>'Other - Aluminum'!X19</f>
        <v>1.0075087565674252</v>
      </c>
      <c r="Y78" s="121">
        <f>'Other - Aluminum'!Y19</f>
        <v>1.0075087565674252</v>
      </c>
      <c r="Z78" s="121">
        <f>'Other - Aluminum'!Z19</f>
        <v>1.0075087565674252</v>
      </c>
      <c r="AA78" s="121">
        <f>'Other - Aluminum'!AA19</f>
        <v>1.0075087565674252</v>
      </c>
      <c r="AB78" s="121">
        <f>'Other - Aluminum'!AB19</f>
        <v>1.0075087565674252</v>
      </c>
      <c r="AC78" s="121">
        <f>'Other - Aluminum'!AC19</f>
        <v>1.0075087565674252</v>
      </c>
      <c r="AD78" s="121">
        <f>'Other - Aluminum'!AD19</f>
        <v>1.0075087565674252</v>
      </c>
      <c r="AE78" s="121">
        <f>'Other - Aluminum'!AE19</f>
        <v>1.0075087565674252</v>
      </c>
      <c r="AF78" s="121">
        <f>'Other - Aluminum'!AF19</f>
        <v>1.0075087565674252</v>
      </c>
      <c r="AG78" s="121">
        <f>'Other - Aluminum'!AG19</f>
        <v>1.0075087565674252</v>
      </c>
      <c r="AH78" s="121">
        <f>'Other - Aluminum'!AH19</f>
        <v>1.0075087565674252</v>
      </c>
      <c r="AI78" s="121">
        <f>'Other - Aluminum'!AI19</f>
        <v>1.0075087565674252</v>
      </c>
      <c r="AJ78" s="121">
        <f>'Other - Aluminum'!AJ19</f>
        <v>1.0075087565674252</v>
      </c>
      <c r="AK78" s="121">
        <f>'Other - Aluminum'!AK19</f>
        <v>1.0075087565674252</v>
      </c>
    </row>
    <row r="79" spans="1:37" x14ac:dyDescent="0.25">
      <c r="A79" s="120" t="s">
        <v>1070</v>
      </c>
      <c r="B79" s="121">
        <f>'Other - Aluminum'!B18</f>
        <v>2.7669999999999999</v>
      </c>
      <c r="C79" s="121">
        <f>'Other - Aluminum'!C18</f>
        <v>2.6630389604514644</v>
      </c>
      <c r="D79" s="121">
        <f>'Other - Aluminum'!D18</f>
        <v>2.6630389604514644</v>
      </c>
      <c r="E79" s="121">
        <f>'Other - Aluminum'!E18</f>
        <v>2.6630389604514644</v>
      </c>
      <c r="F79" s="121">
        <f>'Other - Aluminum'!F18</f>
        <v>2.6630389604514644</v>
      </c>
      <c r="G79" s="121">
        <f>'Other - Aluminum'!G18</f>
        <v>2.6630389604514644</v>
      </c>
      <c r="H79" s="121">
        <f>'Other - Aluminum'!H18</f>
        <v>2.6630389604514644</v>
      </c>
      <c r="I79" s="121">
        <f>'Other - Aluminum'!I18</f>
        <v>2.6630389604514644</v>
      </c>
      <c r="J79" s="121">
        <f>'Other - Aluminum'!J18</f>
        <v>2.6630389604514644</v>
      </c>
      <c r="K79" s="121">
        <f>'Other - Aluminum'!K18</f>
        <v>2.6630389604514644</v>
      </c>
      <c r="L79" s="121">
        <f>'Other - Aluminum'!L18</f>
        <v>2.6630389604514644</v>
      </c>
      <c r="M79" s="121">
        <f>'Other - Aluminum'!M18</f>
        <v>2.6630389604514644</v>
      </c>
      <c r="N79" s="121">
        <f>'Other - Aluminum'!N18</f>
        <v>2.6630389604514644</v>
      </c>
      <c r="O79" s="121">
        <f>'Other - Aluminum'!O18</f>
        <v>2.6630389604514644</v>
      </c>
      <c r="P79" s="121">
        <f>'Other - Aluminum'!P18</f>
        <v>2.6630389604514644</v>
      </c>
      <c r="Q79" s="121">
        <f>'Other - Aluminum'!Q18</f>
        <v>2.6630389604514644</v>
      </c>
      <c r="R79" s="121">
        <f>'Other - Aluminum'!R18</f>
        <v>2.6630389604514644</v>
      </c>
      <c r="S79" s="121">
        <f>'Other - Aluminum'!S18</f>
        <v>2.6630389604514644</v>
      </c>
      <c r="T79" s="121">
        <f>'Other - Aluminum'!T18</f>
        <v>2.6630389604514644</v>
      </c>
      <c r="U79" s="121">
        <f>'Other - Aluminum'!U18</f>
        <v>2.6630389604514644</v>
      </c>
      <c r="V79" s="121">
        <f>'Other - Aluminum'!V18</f>
        <v>2.6630389604514644</v>
      </c>
      <c r="W79" s="121">
        <f>'Other - Aluminum'!W18</f>
        <v>2.6630389604514644</v>
      </c>
      <c r="X79" s="121">
        <f>'Other - Aluminum'!X18</f>
        <v>2.6630389604514644</v>
      </c>
      <c r="Y79" s="121">
        <f>'Other - Aluminum'!Y18</f>
        <v>2.6630389604514644</v>
      </c>
      <c r="Z79" s="121">
        <f>'Other - Aluminum'!Z18</f>
        <v>2.6630389604514644</v>
      </c>
      <c r="AA79" s="121">
        <f>'Other - Aluminum'!AA18</f>
        <v>2.6630389604514644</v>
      </c>
      <c r="AB79" s="121">
        <f>'Other - Aluminum'!AB18</f>
        <v>2.6630389604514644</v>
      </c>
      <c r="AC79" s="121">
        <f>'Other - Aluminum'!AC18</f>
        <v>2.6630389604514644</v>
      </c>
      <c r="AD79" s="121">
        <f>'Other - Aluminum'!AD18</f>
        <v>2.6630389604514644</v>
      </c>
      <c r="AE79" s="121">
        <f>'Other - Aluminum'!AE18</f>
        <v>2.6630389604514644</v>
      </c>
      <c r="AF79" s="121">
        <f>'Other - Aluminum'!AF18</f>
        <v>2.6630389604514644</v>
      </c>
      <c r="AG79" s="121">
        <f>'Other - Aluminum'!AG18</f>
        <v>2.6630389604514644</v>
      </c>
      <c r="AH79" s="121">
        <f>'Other - Aluminum'!AH18</f>
        <v>2.6630389604514644</v>
      </c>
      <c r="AI79" s="121">
        <f>'Other - Aluminum'!AI18</f>
        <v>2.6630389604514644</v>
      </c>
      <c r="AJ79" s="121">
        <f>'Other - Aluminum'!AJ18</f>
        <v>2.6630389604514644</v>
      </c>
      <c r="AK79" s="121">
        <f>'Other - Aluminum'!AK18</f>
        <v>2.6630389604514644</v>
      </c>
    </row>
    <row r="80" spans="1:37" x14ac:dyDescent="0.25">
      <c r="A80" s="120" t="s">
        <v>1038</v>
      </c>
      <c r="B80" s="121">
        <f>'Other - Magnesium'!B4</f>
        <v>1</v>
      </c>
      <c r="C80" s="121">
        <f>'Other - Magnesium'!C4</f>
        <v>1</v>
      </c>
      <c r="D80" s="121">
        <f>'Other - Magnesium'!D4</f>
        <v>1</v>
      </c>
      <c r="E80" s="121">
        <f>'Other - Magnesium'!E4</f>
        <v>1</v>
      </c>
      <c r="F80" s="121">
        <f>'Other - Magnesium'!F4</f>
        <v>1</v>
      </c>
      <c r="G80" s="121">
        <f>'Other - Magnesium'!G4</f>
        <v>1</v>
      </c>
      <c r="H80" s="121">
        <f>'Other - Magnesium'!H4</f>
        <v>1</v>
      </c>
      <c r="I80" s="121">
        <f>'Other - Magnesium'!I4</f>
        <v>1</v>
      </c>
      <c r="J80" s="121">
        <f>'Other - Magnesium'!J4</f>
        <v>1</v>
      </c>
      <c r="K80" s="121">
        <f>'Other - Magnesium'!K4</f>
        <v>1</v>
      </c>
      <c r="L80" s="121">
        <f>'Other - Magnesium'!L4</f>
        <v>1</v>
      </c>
      <c r="M80" s="121">
        <f>'Other - Magnesium'!M4</f>
        <v>1</v>
      </c>
      <c r="N80" s="121">
        <f>'Other - Magnesium'!N4</f>
        <v>1</v>
      </c>
      <c r="O80" s="121">
        <f>'Other - Magnesium'!O4</f>
        <v>1</v>
      </c>
      <c r="P80" s="121">
        <f>'Other - Magnesium'!P4</f>
        <v>1</v>
      </c>
      <c r="Q80" s="121">
        <f>'Other - Magnesium'!Q4</f>
        <v>1</v>
      </c>
      <c r="R80" s="121">
        <f>'Other - Magnesium'!R4</f>
        <v>1</v>
      </c>
      <c r="S80" s="121">
        <f>'Other - Magnesium'!S4</f>
        <v>1</v>
      </c>
      <c r="T80" s="121">
        <f>'Other - Magnesium'!T4</f>
        <v>1</v>
      </c>
      <c r="U80" s="121">
        <f>'Other - Magnesium'!U4</f>
        <v>1</v>
      </c>
      <c r="V80" s="121">
        <f>'Other - Magnesium'!V4</f>
        <v>1</v>
      </c>
      <c r="W80" s="121">
        <f>'Other - Magnesium'!W4</f>
        <v>1</v>
      </c>
      <c r="X80" s="121">
        <f>'Other - Magnesium'!X4</f>
        <v>1</v>
      </c>
      <c r="Y80" s="121">
        <f>'Other - Magnesium'!Y4</f>
        <v>1</v>
      </c>
      <c r="Z80" s="121">
        <f>'Other - Magnesium'!Z4</f>
        <v>1</v>
      </c>
      <c r="AA80" s="121">
        <f>'Other - Magnesium'!AA4</f>
        <v>1</v>
      </c>
      <c r="AB80" s="121">
        <f>'Other - Magnesium'!AB4</f>
        <v>1</v>
      </c>
      <c r="AC80" s="121">
        <f>'Other - Magnesium'!AC4</f>
        <v>1</v>
      </c>
      <c r="AD80" s="121">
        <f>'Other - Magnesium'!AD4</f>
        <v>1</v>
      </c>
      <c r="AE80" s="121">
        <f>'Other - Magnesium'!AE4</f>
        <v>1</v>
      </c>
      <c r="AF80" s="121">
        <f>'Other - Magnesium'!AF4</f>
        <v>1</v>
      </c>
      <c r="AG80" s="121">
        <f>'Other - Magnesium'!AG4</f>
        <v>1</v>
      </c>
      <c r="AH80" s="121">
        <f>'Other - Magnesium'!AH4</f>
        <v>1</v>
      </c>
      <c r="AI80" s="121">
        <f>'Other - Magnesium'!AI4</f>
        <v>1</v>
      </c>
      <c r="AJ80" s="121">
        <f>'Other - Magnesium'!AJ4</f>
        <v>1</v>
      </c>
      <c r="AK80" s="121">
        <f>'Other - Magnesium'!AK4</f>
        <v>1</v>
      </c>
    </row>
    <row r="81" spans="1:37" x14ac:dyDescent="0.25">
      <c r="A81" s="120" t="s">
        <v>1071</v>
      </c>
      <c r="B81" s="121">
        <f>'Other - Magnesium'!B3</f>
        <v>3</v>
      </c>
      <c r="C81" s="121">
        <f>'Other - Magnesium'!C3</f>
        <v>3</v>
      </c>
      <c r="D81" s="121">
        <f>'Other - Magnesium'!D3</f>
        <v>3</v>
      </c>
      <c r="E81" s="121">
        <f>'Other - Magnesium'!E3</f>
        <v>3</v>
      </c>
      <c r="F81" s="121">
        <f>'Other - Magnesium'!F3</f>
        <v>3</v>
      </c>
      <c r="G81" s="121">
        <f>'Other - Magnesium'!G3</f>
        <v>3</v>
      </c>
      <c r="H81" s="121">
        <f>'Other - Magnesium'!H3</f>
        <v>3</v>
      </c>
      <c r="I81" s="121">
        <f>'Other - Magnesium'!I3</f>
        <v>3</v>
      </c>
      <c r="J81" s="121">
        <f>'Other - Magnesium'!J3</f>
        <v>3</v>
      </c>
      <c r="K81" s="121">
        <f>'Other - Magnesium'!K3</f>
        <v>3</v>
      </c>
      <c r="L81" s="121">
        <f>'Other - Magnesium'!L3</f>
        <v>3</v>
      </c>
      <c r="M81" s="121">
        <f>'Other - Magnesium'!M3</f>
        <v>3</v>
      </c>
      <c r="N81" s="121">
        <f>'Other - Magnesium'!N3</f>
        <v>3</v>
      </c>
      <c r="O81" s="121">
        <f>'Other - Magnesium'!O3</f>
        <v>3</v>
      </c>
      <c r="P81" s="121">
        <f>'Other - Magnesium'!P3</f>
        <v>3</v>
      </c>
      <c r="Q81" s="121">
        <f>'Other - Magnesium'!Q3</f>
        <v>3</v>
      </c>
      <c r="R81" s="121">
        <f>'Other - Magnesium'!R3</f>
        <v>3</v>
      </c>
      <c r="S81" s="121">
        <f>'Other - Magnesium'!S3</f>
        <v>3</v>
      </c>
      <c r="T81" s="121">
        <f>'Other - Magnesium'!T3</f>
        <v>3</v>
      </c>
      <c r="U81" s="121">
        <f>'Other - Magnesium'!U3</f>
        <v>3</v>
      </c>
      <c r="V81" s="121">
        <f>'Other - Magnesium'!V3</f>
        <v>3</v>
      </c>
      <c r="W81" s="121">
        <f>'Other - Magnesium'!W3</f>
        <v>3</v>
      </c>
      <c r="X81" s="121">
        <f>'Other - Magnesium'!X3</f>
        <v>3</v>
      </c>
      <c r="Y81" s="121">
        <f>'Other - Magnesium'!Y3</f>
        <v>3</v>
      </c>
      <c r="Z81" s="121">
        <f>'Other - Magnesium'!Z3</f>
        <v>3</v>
      </c>
      <c r="AA81" s="121">
        <f>'Other - Magnesium'!AA3</f>
        <v>3</v>
      </c>
      <c r="AB81" s="121">
        <f>'Other - Magnesium'!AB3</f>
        <v>3</v>
      </c>
      <c r="AC81" s="121">
        <f>'Other - Magnesium'!AC3</f>
        <v>3</v>
      </c>
      <c r="AD81" s="121">
        <f>'Other - Magnesium'!AD3</f>
        <v>3</v>
      </c>
      <c r="AE81" s="121">
        <f>'Other - Magnesium'!AE3</f>
        <v>3</v>
      </c>
      <c r="AF81" s="121">
        <f>'Other - Magnesium'!AF3</f>
        <v>3</v>
      </c>
      <c r="AG81" s="121">
        <f>'Other - Magnesium'!AG3</f>
        <v>3</v>
      </c>
      <c r="AH81" s="121">
        <f>'Other - Magnesium'!AH3</f>
        <v>3</v>
      </c>
      <c r="AI81" s="121">
        <f>'Other - Magnesium'!AI3</f>
        <v>3</v>
      </c>
      <c r="AJ81" s="121">
        <f>'Other - Magnesium'!AJ3</f>
        <v>3</v>
      </c>
      <c r="AK81" s="121">
        <f>'Other - Magnesium'!AK3</f>
        <v>3</v>
      </c>
    </row>
    <row r="82" spans="1:37" x14ac:dyDescent="0.25">
      <c r="A82" s="120" t="s">
        <v>1039</v>
      </c>
      <c r="B82" s="121">
        <f>'Other - Elec Trans and Dist'!B45</f>
        <v>4.7</v>
      </c>
      <c r="C82" s="121">
        <f>'Other - Elec Trans and Dist'!C45</f>
        <v>4.6199955915155417</v>
      </c>
      <c r="D82" s="121">
        <f>'Other - Elec Trans and Dist'!D45</f>
        <v>4.5462788955050009</v>
      </c>
      <c r="E82" s="121">
        <f>'Other - Elec Trans and Dist'!E45</f>
        <v>4.478678628327617</v>
      </c>
      <c r="F82" s="121">
        <f>'Other - Elec Trans and Dist'!F45</f>
        <v>4.4170450248469644</v>
      </c>
      <c r="G82" s="121">
        <f>'Other - Elec Trans and Dist'!G45</f>
        <v>4.3612490639090442</v>
      </c>
      <c r="H82" s="121">
        <f>'Other - Elec Trans and Dist'!H45</f>
        <v>4.3111818010176854</v>
      </c>
      <c r="I82" s="121">
        <f>'Other - Elec Trans and Dist'!I45</f>
        <v>4.2667538030568384</v>
      </c>
      <c r="J82" s="121">
        <f>'Other - Elec Trans and Dist'!J45</f>
        <v>4.2278946805219118</v>
      </c>
      <c r="K82" s="121">
        <f>'Other - Elec Trans and Dist'!K45</f>
        <v>4.19455271329943</v>
      </c>
      <c r="L82" s="121">
        <f>'Other - Elec Trans and Dist'!L45</f>
        <v>4.166694566579622</v>
      </c>
      <c r="M82" s="121">
        <f>'Other - Elec Trans and Dist'!M45</f>
        <v>4.1443050940034469</v>
      </c>
      <c r="N82" s="121">
        <f>'Other - Elec Trans and Dist'!N45</f>
        <v>4.1273872256373938</v>
      </c>
      <c r="O82" s="121">
        <f>'Other - Elec Trans and Dist'!O45</f>
        <v>4.1159619388390078</v>
      </c>
      <c r="P82" s="121">
        <f>'Other - Elec Trans and Dist'!P45</f>
        <v>4.1100683105264846</v>
      </c>
      <c r="Q82" s="121">
        <f>'Other - Elec Trans and Dist'!Q45</f>
        <v>4.1097636497994703</v>
      </c>
      <c r="R82" s="121">
        <f>'Other - Elec Trans and Dist'!R45</f>
        <v>4.1151237102779454</v>
      </c>
      <c r="S82" s="121">
        <f>'Other - Elec Trans and Dist'!S45</f>
        <v>4.1262429819342374</v>
      </c>
      <c r="T82" s="121">
        <f>'Other - Elec Trans and Dist'!T45</f>
        <v>4.143235062592006</v>
      </c>
      <c r="U82" s="121">
        <f>'Other - Elec Trans and Dist'!U45</f>
        <v>4.1662331096578997</v>
      </c>
      <c r="V82" s="121">
        <f>'Other - Elec Trans and Dist'!V45</f>
        <v>4.1953903730383377</v>
      </c>
      <c r="W82" s="121">
        <f>'Other - Elec Trans and Dist'!W45</f>
        <v>4.2308808105779061</v>
      </c>
      <c r="X82" s="121">
        <f>'Other - Elec Trans and Dist'!X45</f>
        <v>4.2728997877389503</v>
      </c>
      <c r="Y82" s="121">
        <f>'Other - Elec Trans and Dist'!Y45</f>
        <v>4.3216648636261557</v>
      </c>
      <c r="Z82" s="121">
        <f>'Other - Elec Trans and Dist'!Z45</f>
        <v>4.377416665847206</v>
      </c>
      <c r="AA82" s="121">
        <f>'Other - Elec Trans and Dist'!AA45</f>
        <v>4.4404198570927722</v>
      </c>
      <c r="AB82" s="121">
        <f>'Other - Elec Trans and Dist'!AB45</f>
        <v>4.5109641967181417</v>
      </c>
      <c r="AC82" s="121">
        <f>'Other - Elec Trans and Dist'!AC45</f>
        <v>4.5893657010165523</v>
      </c>
      <c r="AD82" s="121">
        <f>'Other - Elec Trans and Dist'!AD45</f>
        <v>4.6759679062926276</v>
      </c>
      <c r="AE82" s="121">
        <f>'Other - Elec Trans and Dist'!AE45</f>
        <v>4.7711432392752382</v>
      </c>
      <c r="AF82" s="121">
        <f>'Other - Elec Trans and Dist'!AF45</f>
        <v>4.8752944998543626</v>
      </c>
      <c r="AG82" s="121">
        <f>'Other - Elec Trans and Dist'!AG45</f>
        <v>4.9888564615883251</v>
      </c>
      <c r="AH82" s="121">
        <f>'Other - Elec Trans and Dist'!AH45</f>
        <v>5.1122975959078847</v>
      </c>
      <c r="AI82" s="121">
        <f>'Other - Elec Trans and Dist'!AI45</f>
        <v>5.2461219264442711</v>
      </c>
      <c r="AJ82" s="121">
        <f>'Other - Elec Trans and Dist'!AJ45</f>
        <v>5.3908710204315327</v>
      </c>
      <c r="AK82" s="121">
        <f>'Other - Elec Trans and Dist'!AK45</f>
        <v>5.5471261246814816</v>
      </c>
    </row>
    <row r="83" spans="1:37" x14ac:dyDescent="0.25">
      <c r="A83" s="120" t="s">
        <v>1831</v>
      </c>
      <c r="B83" s="121">
        <f>'Other Industrial Processes'!C531/1000</f>
        <v>20.745999999999999</v>
      </c>
      <c r="C83" s="121">
        <f>'Other Industrial Processes'!D531/1000</f>
        <v>22.024951262916204</v>
      </c>
      <c r="D83" s="121">
        <f>'Other Industrial Processes'!E531/1000</f>
        <v>22.203235639551025</v>
      </c>
      <c r="E83" s="121">
        <f>'Other Industrial Processes'!F531/1000</f>
        <v>22.40400921370124</v>
      </c>
      <c r="F83" s="121">
        <f>'Other Industrial Processes'!G531/1000</f>
        <v>22.625091388942511</v>
      </c>
      <c r="G83" s="121">
        <f>'Other Industrial Processes'!H531/1000</f>
        <v>22.864529773500887</v>
      </c>
      <c r="H83" s="121">
        <f>'Other Industrial Processes'!I531/1000</f>
        <v>23.1205759239466</v>
      </c>
      <c r="I83" s="121">
        <f>'Other Industrial Processes'!J531/1000</f>
        <v>23.391663676682743</v>
      </c>
      <c r="J83" s="121">
        <f>'Other Industrial Processes'!K531/1000</f>
        <v>23.676389790884873</v>
      </c>
      <c r="K83" s="121">
        <f>'Other Industrial Processes'!L531/1000</f>
        <v>23.97349665606567</v>
      </c>
      <c r="L83" s="121">
        <f>'Other Industrial Processes'!M531/1000</f>
        <v>24.281856843803372</v>
      </c>
      <c r="M83" s="121">
        <f>'Other Industrial Processes'!N531/1000</f>
        <v>24.60045930672111</v>
      </c>
      <c r="N83" s="121">
        <f>'Other Industrial Processes'!O531/1000</f>
        <v>24.928397048836818</v>
      </c>
      <c r="O83" s="121">
        <f>'Other Industrial Processes'!P531/1000</f>
        <v>25.264856110189658</v>
      </c>
      <c r="P83" s="121">
        <f>'Other Industrial Processes'!Q531/1000</f>
        <v>25.609105725428027</v>
      </c>
      <c r="Q83" s="121">
        <f>'Other Industrial Processes'!R531/1000</f>
        <v>25.960489531030884</v>
      </c>
      <c r="R83" s="121">
        <f>'Other Industrial Processes'!S531/1000</f>
        <v>26.318417709220384</v>
      </c>
      <c r="S83" s="121">
        <f>'Other Industrial Processes'!T531/1000</f>
        <v>26.682359968579423</v>
      </c>
      <c r="T83" s="121">
        <f>'Other Industrial Processes'!U531/1000</f>
        <v>27.051839272066889</v>
      </c>
      <c r="U83" s="121">
        <f>'Other Industrial Processes'!V531/1000</f>
        <v>27.426426232661328</v>
      </c>
      <c r="V83" s="121">
        <f>'Other Industrial Processes'!W531/1000</f>
        <v>27.805734105383127</v>
      </c>
      <c r="W83" s="121">
        <f>'Other Industrial Processes'!X531/1000</f>
        <v>28.189414312054453</v>
      </c>
      <c r="X83" s="121">
        <f>'Other Industrial Processes'!Y531/1000</f>
        <v>28.577152441952865</v>
      </c>
      <c r="Y83" s="121">
        <f>'Other Industrial Processes'!Z531/1000</f>
        <v>28.968664677584577</v>
      </c>
      <c r="Z83" s="121">
        <f>'Other Industrial Processes'!AA531/1000</f>
        <v>29.363694600225962</v>
      </c>
      <c r="AA83" s="121">
        <f>'Other Industrial Processes'!AB531/1000</f>
        <v>29.762010334724042</v>
      </c>
      <c r="AB83" s="121">
        <f>'Other Industrial Processes'!AC531/1000</f>
        <v>30.163401997373104</v>
      </c>
      <c r="AC83" s="121">
        <f>'Other Industrial Processes'!AD531/1000</f>
        <v>30.567679414547353</v>
      </c>
      <c r="AD83" s="121">
        <f>'Other Industrial Processes'!AE531/1000</f>
        <v>30.97467008322101</v>
      </c>
      <c r="AE83" s="121">
        <f>'Other Industrial Processes'!AF531/1000</f>
        <v>31.3842173475892</v>
      </c>
      <c r="AF83" s="121">
        <f>'Other Industrial Processes'!AG531/1000</f>
        <v>31.7961787687561</v>
      </c>
      <c r="AG83" s="121">
        <f>'Other Industrial Processes'!AH531/1000</f>
        <v>32.210424666915912</v>
      </c>
      <c r="AH83" s="121">
        <f>'Other Industrial Processes'!AI531/1000</f>
        <v>32.626836817648559</v>
      </c>
      <c r="AI83" s="121">
        <f>'Other Industrial Processes'!AJ531/1000</f>
        <v>33.045307285913793</v>
      </c>
      <c r="AJ83" s="121">
        <f>'Other Industrial Processes'!AK531/1000</f>
        <v>33.465737383079528</v>
      </c>
      <c r="AK83" s="121">
        <f>'Other Industrial Processes'!AL531/1000</f>
        <v>33.888036733885691</v>
      </c>
    </row>
    <row r="84" spans="1:37" x14ac:dyDescent="0.25">
      <c r="A84" s="136" t="s">
        <v>1979</v>
      </c>
      <c r="B84" s="121">
        <f>'Other Industrial Processes'!C532*N2O_to_CO2e/1000</f>
        <v>3.71</v>
      </c>
      <c r="C84" s="121">
        <f>'Other Industrial Processes'!D532*N2O_to_CO2e/1000</f>
        <v>3.71</v>
      </c>
      <c r="D84" s="121">
        <f>'Other Industrial Processes'!E532*N2O_to_CO2e/1000</f>
        <v>3.71</v>
      </c>
      <c r="E84" s="121">
        <f>'Other Industrial Processes'!F532*N2O_to_CO2e/1000</f>
        <v>3.71</v>
      </c>
      <c r="F84" s="121">
        <f>'Other Industrial Processes'!G532*N2O_to_CO2e/1000</f>
        <v>3.71</v>
      </c>
      <c r="G84" s="121">
        <f>'Other Industrial Processes'!H532*N2O_to_CO2e/1000</f>
        <v>3.71</v>
      </c>
      <c r="H84" s="121">
        <f>'Other Industrial Processes'!I532*N2O_to_CO2e/1000</f>
        <v>3.71</v>
      </c>
      <c r="I84" s="121">
        <f>'Other Industrial Processes'!J532*N2O_to_CO2e/1000</f>
        <v>3.71</v>
      </c>
      <c r="J84" s="121">
        <f>'Other Industrial Processes'!K532*N2O_to_CO2e/1000</f>
        <v>3.71</v>
      </c>
      <c r="K84" s="121">
        <f>'Other Industrial Processes'!L532*N2O_to_CO2e/1000</f>
        <v>3.71</v>
      </c>
      <c r="L84" s="121">
        <f>'Other Industrial Processes'!M532*N2O_to_CO2e/1000</f>
        <v>3.71</v>
      </c>
      <c r="M84" s="121">
        <f>'Other Industrial Processes'!N532*N2O_to_CO2e/1000</f>
        <v>3.71</v>
      </c>
      <c r="N84" s="121">
        <f>'Other Industrial Processes'!O532*N2O_to_CO2e/1000</f>
        <v>3.71</v>
      </c>
      <c r="O84" s="121">
        <f>'Other Industrial Processes'!P532*N2O_to_CO2e/1000</f>
        <v>3.71</v>
      </c>
      <c r="P84" s="121">
        <f>'Other Industrial Processes'!Q532*N2O_to_CO2e/1000</f>
        <v>3.71</v>
      </c>
      <c r="Q84" s="121">
        <f>'Other Industrial Processes'!R532*N2O_to_CO2e/1000</f>
        <v>3.71</v>
      </c>
      <c r="R84" s="121">
        <f>'Other Industrial Processes'!S532*N2O_to_CO2e/1000</f>
        <v>3.71</v>
      </c>
      <c r="S84" s="121">
        <f>'Other Industrial Processes'!T532*N2O_to_CO2e/1000</f>
        <v>3.71</v>
      </c>
      <c r="T84" s="121">
        <f>'Other Industrial Processes'!U532*N2O_to_CO2e/1000</f>
        <v>3.71</v>
      </c>
      <c r="U84" s="121">
        <f>'Other Industrial Processes'!V532*N2O_to_CO2e/1000</f>
        <v>3.71</v>
      </c>
      <c r="V84" s="121">
        <f>'Other Industrial Processes'!W532*N2O_to_CO2e/1000</f>
        <v>3.71</v>
      </c>
      <c r="W84" s="121">
        <f>'Other Industrial Processes'!X532*N2O_to_CO2e/1000</f>
        <v>3.71</v>
      </c>
      <c r="X84" s="121">
        <f>'Other Industrial Processes'!Y532*N2O_to_CO2e/1000</f>
        <v>3.71</v>
      </c>
      <c r="Y84" s="121">
        <f>'Other Industrial Processes'!Z532*N2O_to_CO2e/1000</f>
        <v>3.71</v>
      </c>
      <c r="Z84" s="121">
        <f>'Other Industrial Processes'!AA532*N2O_to_CO2e/1000</f>
        <v>3.71</v>
      </c>
      <c r="AA84" s="121">
        <f>'Other Industrial Processes'!AB532*N2O_to_CO2e/1000</f>
        <v>3.71</v>
      </c>
      <c r="AB84" s="121">
        <f>'Other Industrial Processes'!AC532*N2O_to_CO2e/1000</f>
        <v>3.71</v>
      </c>
      <c r="AC84" s="121">
        <f>'Other Industrial Processes'!AD532*N2O_to_CO2e/1000</f>
        <v>3.71</v>
      </c>
      <c r="AD84" s="121">
        <f>'Other Industrial Processes'!AE532*N2O_to_CO2e/1000</f>
        <v>3.71</v>
      </c>
      <c r="AE84" s="121">
        <f>'Other Industrial Processes'!AF532*N2O_to_CO2e/1000</f>
        <v>3.71</v>
      </c>
      <c r="AF84" s="121">
        <f>'Other Industrial Processes'!AG532*N2O_to_CO2e/1000</f>
        <v>3.71</v>
      </c>
      <c r="AG84" s="121">
        <f>'Other Industrial Processes'!AH532*N2O_to_CO2e/1000</f>
        <v>3.71</v>
      </c>
      <c r="AH84" s="121">
        <f>'Other Industrial Processes'!AI532*N2O_to_CO2e/1000</f>
        <v>3.71</v>
      </c>
      <c r="AI84" s="121">
        <f>'Other Industrial Processes'!AJ532*N2O_to_CO2e/1000</f>
        <v>3.71</v>
      </c>
      <c r="AJ84" s="121">
        <f>'Other Industrial Processes'!AK532*N2O_to_CO2e/1000</f>
        <v>3.71</v>
      </c>
      <c r="AK84" s="121">
        <f>'Other Industrial Processes'!AL532*N2O_to_CO2e/1000</f>
        <v>3.71</v>
      </c>
    </row>
    <row r="85" spans="1:37" x14ac:dyDescent="0.25">
      <c r="A85" s="136" t="s">
        <v>1838</v>
      </c>
      <c r="B85" s="140">
        <f>'Other Industrial Processes'!C530*CH4_to_CO2e/1000</f>
        <v>2.8000000000000001E-2</v>
      </c>
      <c r="C85" s="140">
        <f>'Other Industrial Processes'!D530*CH4_to_CO2e/1000</f>
        <v>3.1111111111111114E-2</v>
      </c>
      <c r="D85" s="140">
        <f>'Other Industrial Processes'!E530*CH4_to_CO2e/1000</f>
        <v>3.422222222222223E-2</v>
      </c>
      <c r="E85" s="140">
        <f>'Other Industrial Processes'!F530*CH4_to_CO2e/1000</f>
        <v>3.7333333333333336E-2</v>
      </c>
      <c r="F85" s="140">
        <f>'Other Industrial Processes'!G530*CH4_to_CO2e/1000</f>
        <v>4.044444444444445E-2</v>
      </c>
      <c r="G85" s="140">
        <f>'Other Industrial Processes'!H530*CH4_to_CO2e/1000</f>
        <v>4.3555555555555563E-2</v>
      </c>
      <c r="H85" s="140">
        <f>'Other Industrial Processes'!I530*CH4_to_CO2e/1000</f>
        <v>4.6666666666666669E-2</v>
      </c>
      <c r="I85" s="140">
        <f>'Other Industrial Processes'!J530*CH4_to_CO2e/1000</f>
        <v>4.9777777777777789E-2</v>
      </c>
      <c r="J85" s="140">
        <f>'Other Industrial Processes'!K530*CH4_to_CO2e/1000</f>
        <v>5.2888888888888902E-2</v>
      </c>
      <c r="K85" s="140">
        <f>'Other Industrial Processes'!L530*CH4_to_CO2e/1000</f>
        <v>5.6000000000000015E-2</v>
      </c>
      <c r="L85" s="140">
        <f>'Other Industrial Processes'!M530*CH4_to_CO2e/1000</f>
        <v>5.9111111111111128E-2</v>
      </c>
      <c r="M85" s="140">
        <f>'Other Industrial Processes'!N530*CH4_to_CO2e/1000</f>
        <v>6.2222222222222234E-2</v>
      </c>
      <c r="N85" s="140">
        <f>'Other Industrial Processes'!O530*CH4_to_CO2e/1000</f>
        <v>6.533333333333334E-2</v>
      </c>
      <c r="O85" s="140">
        <f>'Other Industrial Processes'!P530*CH4_to_CO2e/1000</f>
        <v>6.8444444444444461E-2</v>
      </c>
      <c r="P85" s="140">
        <f>'Other Industrial Processes'!Q530*CH4_to_CO2e/1000</f>
        <v>7.1555555555555567E-2</v>
      </c>
      <c r="Q85" s="140">
        <f>'Other Industrial Processes'!R530*CH4_to_CO2e/1000</f>
        <v>7.4666666666666687E-2</v>
      </c>
      <c r="R85" s="140">
        <f>'Other Industrial Processes'!S530*CH4_to_CO2e/1000</f>
        <v>7.7777777777777807E-2</v>
      </c>
      <c r="S85" s="140">
        <f>'Other Industrial Processes'!T530*CH4_to_CO2e/1000</f>
        <v>8.0888888888888913E-2</v>
      </c>
      <c r="T85" s="140">
        <f>'Other Industrial Processes'!U530*CH4_to_CO2e/1000</f>
        <v>8.4000000000000033E-2</v>
      </c>
      <c r="U85" s="140">
        <f>'Other Industrial Processes'!V530*CH4_to_CO2e/1000</f>
        <v>8.7111111111111139E-2</v>
      </c>
      <c r="V85" s="140">
        <f>'Other Industrial Processes'!W530*CH4_to_CO2e/1000</f>
        <v>9.0222222222222259E-2</v>
      </c>
      <c r="W85" s="140">
        <f>'Other Industrial Processes'!X530*CH4_to_CO2e/1000</f>
        <v>9.3333333333333351E-2</v>
      </c>
      <c r="X85" s="140">
        <f>'Other Industrial Processes'!Y530*CH4_to_CO2e/1000</f>
        <v>9.6444444444444472E-2</v>
      </c>
      <c r="Y85" s="140">
        <f>'Other Industrial Processes'!Z530*CH4_to_CO2e/1000</f>
        <v>9.9555555555555592E-2</v>
      </c>
      <c r="Z85" s="140">
        <f>'Other Industrial Processes'!AA530*CH4_to_CO2e/1000</f>
        <v>0.1026666666666667</v>
      </c>
      <c r="AA85" s="140">
        <f>'Other Industrial Processes'!AB530*CH4_to_CO2e/1000</f>
        <v>0.10577777777777782</v>
      </c>
      <c r="AB85" s="140">
        <f>'Other Industrial Processes'!AC530*CH4_to_CO2e/1000</f>
        <v>0.10888888888888892</v>
      </c>
      <c r="AC85" s="140">
        <f>'Other Industrial Processes'!AD530*CH4_to_CO2e/1000</f>
        <v>0.11200000000000003</v>
      </c>
      <c r="AD85" s="140">
        <f>'Other Industrial Processes'!AE530*CH4_to_CO2e/1000</f>
        <v>0.11511111111111112</v>
      </c>
      <c r="AE85" s="140">
        <f>'Other Industrial Processes'!AF530*CH4_to_CO2e/1000</f>
        <v>0.11822222222222223</v>
      </c>
      <c r="AF85" s="140">
        <f>'Other Industrial Processes'!AG530*CH4_to_CO2e/1000</f>
        <v>0.12133333333333333</v>
      </c>
      <c r="AG85" s="140">
        <f>'Other Industrial Processes'!AH530*CH4_to_CO2e/1000</f>
        <v>0.12444444444444443</v>
      </c>
      <c r="AH85" s="140">
        <f>'Other Industrial Processes'!AI530*CH4_to_CO2e/1000</f>
        <v>0.12755555555555553</v>
      </c>
      <c r="AI85" s="140">
        <f>'Other Industrial Processes'!AJ530*CH4_to_CO2e/1000</f>
        <v>0.13066666666666663</v>
      </c>
      <c r="AJ85" s="140">
        <f>'Other Industrial Processes'!AK530*CH4_to_CO2e/1000</f>
        <v>0.13377777777777772</v>
      </c>
      <c r="AK85" s="140">
        <f>'Other Industrial Processes'!AL530*CH4_to_CO2e/1000</f>
        <v>0.13688888888888884</v>
      </c>
    </row>
  </sheetData>
  <pageMargins left="0.75" right="0.75" top="1" bottom="1" header="0.5" footer="0.5"/>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3"/>
  </sheetPr>
  <dimension ref="A1:I37"/>
  <sheetViews>
    <sheetView topLeftCell="A4" workbookViewId="0">
      <selection activeCell="B1" sqref="A1:I37"/>
    </sheetView>
  </sheetViews>
  <sheetFormatPr defaultColWidth="10.28515625" defaultRowHeight="15" x14ac:dyDescent="0.25"/>
  <cols>
    <col min="1" max="1" width="10.28515625" style="110"/>
    <col min="2" max="9" width="20.140625" style="110" customWidth="1"/>
    <col min="10" max="16384" width="10.28515625" style="108"/>
  </cols>
  <sheetData>
    <row r="1" spans="1:9" x14ac:dyDescent="0.25">
      <c r="A1" s="110" t="s">
        <v>284</v>
      </c>
      <c r="B1" s="110" t="s">
        <v>1040</v>
      </c>
      <c r="C1" s="110" t="s">
        <v>1041</v>
      </c>
      <c r="D1" s="110" t="s">
        <v>1042</v>
      </c>
      <c r="E1" s="110" t="s">
        <v>1043</v>
      </c>
      <c r="F1" s="110" t="s">
        <v>1044</v>
      </c>
      <c r="G1" s="110" t="s">
        <v>1045</v>
      </c>
      <c r="H1" s="110" t="s">
        <v>1046</v>
      </c>
      <c r="I1" s="110" t="s">
        <v>1047</v>
      </c>
    </row>
    <row r="2" spans="1:9" x14ac:dyDescent="0.25">
      <c r="A2" s="110">
        <v>2015</v>
      </c>
      <c r="B2" s="342">
        <f>INDEX('Combined Data'!$B$4:$AK$4,1,MATCH('BPEiC-CO2'!$A2,'Combined Data'!$B$2:$AK$2))*10^12</f>
        <v>64113200000000.008</v>
      </c>
      <c r="C2" s="342">
        <f>INDEX('Combined Data'!$B$10:$AK$10,1,MATCH('BPEiC-CO2'!$A2,'Combined Data'!$B$2:$AK$2))*10^12</f>
        <v>73940991268518.156</v>
      </c>
      <c r="D2" s="342">
        <f>INDEX('Combined Data'!$B$19:$AK$19,1,MATCH('BPEiC-CO2'!$A2,'Combined Data'!$B$2:$AK$2))*10^12</f>
        <v>61677000000000.008</v>
      </c>
      <c r="E2" s="342">
        <f>INDEX('Combined Data'!$B$29:$AK$29,1,MATCH('BPEiC-CO2'!$A2,'Combined Data'!$B$2:$AK$2))*10^12</f>
        <v>112187000000000.02</v>
      </c>
      <c r="F2" s="342">
        <v>0</v>
      </c>
      <c r="G2" s="342">
        <v>0</v>
      </c>
      <c r="H2" s="342">
        <v>0</v>
      </c>
      <c r="I2" s="342">
        <f>INDEX('Combined Data'!$B$73:$AK$73,1,MATCH('BPEiC-CO2'!$A2,'Combined Data'!$B$2:$AK$2))*10^12</f>
        <v>26513000000000</v>
      </c>
    </row>
    <row r="3" spans="1:9" x14ac:dyDescent="0.25">
      <c r="A3" s="110">
        <v>2016</v>
      </c>
      <c r="B3" s="342">
        <f>INDEX('Combined Data'!$B$4:$AK$4,1,MATCH('BPEiC-CO2'!$A3,'Combined Data'!$B$2:$AK$2))*10^12</f>
        <v>67382133565598.734</v>
      </c>
      <c r="C3" s="342">
        <f>INDEX('Combined Data'!$B$10:$AK$10,1,MATCH('BPEiC-CO2'!$A3,'Combined Data'!$B$2:$AK$2))*10^12</f>
        <v>74519531417968.375</v>
      </c>
      <c r="D3" s="342">
        <f>INDEX('Combined Data'!$B$19:$AK$19,1,MATCH('BPEiC-CO2'!$A3,'Combined Data'!$B$2:$AK$2))*10^12</f>
        <v>64863010205368.664</v>
      </c>
      <c r="E3" s="342">
        <f>INDEX('Combined Data'!$B$29:$AK$29,1,MATCH('BPEiC-CO2'!$A3,'Combined Data'!$B$2:$AK$2))*10^12</f>
        <v>115070617697742.48</v>
      </c>
      <c r="F3" s="342">
        <v>0</v>
      </c>
      <c r="G3" s="342">
        <v>0</v>
      </c>
      <c r="H3" s="342">
        <v>0</v>
      </c>
      <c r="I3" s="342">
        <f>INDEX('Combined Data'!$B$73:$AK$73,1,MATCH('BPEiC-CO2'!$A3,'Combined Data'!$B$2:$AK$2))*10^12</f>
        <v>27687990223367.672</v>
      </c>
    </row>
    <row r="4" spans="1:9" x14ac:dyDescent="0.25">
      <c r="A4" s="110">
        <v>2017</v>
      </c>
      <c r="B4" s="342">
        <f>INDEX('Combined Data'!$B$4:$AK$4,1,MATCH('BPEiC-CO2'!$A4,'Combined Data'!$B$2:$AK$2))*10^12</f>
        <v>70158319780576.664</v>
      </c>
      <c r="C4" s="342">
        <f>INDEX('Combined Data'!$B$10:$AK$10,1,MATCH('BPEiC-CO2'!$A4,'Combined Data'!$B$2:$AK$2))*10^12</f>
        <v>76744509227937.609</v>
      </c>
      <c r="D4" s="342">
        <f>INDEX('Combined Data'!$B$19:$AK$19,1,MATCH('BPEiC-CO2'!$A4,'Combined Data'!$B$2:$AK$2))*10^12</f>
        <v>66813195052640.352</v>
      </c>
      <c r="E4" s="342">
        <f>INDEX('Combined Data'!$B$29:$AK$29,1,MATCH('BPEiC-CO2'!$A4,'Combined Data'!$B$2:$AK$2))*10^12</f>
        <v>123869466226591</v>
      </c>
      <c r="F4" s="342">
        <v>0</v>
      </c>
      <c r="G4" s="342">
        <v>0</v>
      </c>
      <c r="H4" s="342">
        <v>0</v>
      </c>
      <c r="I4" s="342">
        <f>INDEX('Combined Data'!$B$73:$AK$73,1,MATCH('BPEiC-CO2'!$A4,'Combined Data'!$B$2:$AK$2))*10^12</f>
        <v>27866274600002.492</v>
      </c>
    </row>
    <row r="5" spans="1:9" x14ac:dyDescent="0.25">
      <c r="A5" s="110">
        <v>2018</v>
      </c>
      <c r="B5" s="342">
        <f>INDEX('Combined Data'!$B$4:$AK$4,1,MATCH('BPEiC-CO2'!$A5,'Combined Data'!$B$2:$AK$2))*10^12</f>
        <v>71442561791409.063</v>
      </c>
      <c r="C5" s="342">
        <f>INDEX('Combined Data'!$B$10:$AK$10,1,MATCH('BPEiC-CO2'!$A5,'Combined Data'!$B$2:$AK$2))*10^12</f>
        <v>78925300216208.219</v>
      </c>
      <c r="D5" s="342">
        <f>INDEX('Combined Data'!$B$19:$AK$19,1,MATCH('BPEiC-CO2'!$A5,'Combined Data'!$B$2:$AK$2))*10^12</f>
        <v>70142077073939.461</v>
      </c>
      <c r="E5" s="342">
        <f>INDEX('Combined Data'!$B$29:$AK$29,1,MATCH('BPEiC-CO2'!$A5,'Combined Data'!$B$2:$AK$2))*10^12</f>
        <v>128121425932914.27</v>
      </c>
      <c r="F5" s="342">
        <v>0</v>
      </c>
      <c r="G5" s="342">
        <v>0</v>
      </c>
      <c r="H5" s="342">
        <v>0</v>
      </c>
      <c r="I5" s="342">
        <f>INDEX('Combined Data'!$B$73:$AK$73,1,MATCH('BPEiC-CO2'!$A5,'Combined Data'!$B$2:$AK$2))*10^12</f>
        <v>28067048174152.703</v>
      </c>
    </row>
    <row r="6" spans="1:9" x14ac:dyDescent="0.25">
      <c r="A6" s="110">
        <v>2019</v>
      </c>
      <c r="B6" s="342">
        <f>INDEX('Combined Data'!$B$4:$AK$4,1,MATCH('BPEiC-CO2'!$A6,'Combined Data'!$B$2:$AK$2))*10^12</f>
        <v>72391312255816.75</v>
      </c>
      <c r="C6" s="342">
        <f>INDEX('Combined Data'!$B$10:$AK$10,1,MATCH('BPEiC-CO2'!$A6,'Combined Data'!$B$2:$AK$2))*10^12</f>
        <v>80463673479183.078</v>
      </c>
      <c r="D6" s="342">
        <f>INDEX('Combined Data'!$B$19:$AK$19,1,MATCH('BPEiC-CO2'!$A6,'Combined Data'!$B$2:$AK$2))*10^12</f>
        <v>70855946538546.469</v>
      </c>
      <c r="E6" s="342">
        <f>INDEX('Combined Data'!$B$29:$AK$29,1,MATCH('BPEiC-CO2'!$A6,'Combined Data'!$B$2:$AK$2))*10^12</f>
        <v>132537685137405.36</v>
      </c>
      <c r="F6" s="342">
        <v>0</v>
      </c>
      <c r="G6" s="342">
        <v>0</v>
      </c>
      <c r="H6" s="342">
        <v>0</v>
      </c>
      <c r="I6" s="342">
        <f>INDEX('Combined Data'!$B$73:$AK$73,1,MATCH('BPEiC-CO2'!$A6,'Combined Data'!$B$2:$AK$2))*10^12</f>
        <v>28288130349393.973</v>
      </c>
    </row>
    <row r="7" spans="1:9" x14ac:dyDescent="0.25">
      <c r="A7" s="110">
        <v>2020</v>
      </c>
      <c r="B7" s="342">
        <f>INDEX('Combined Data'!$B$4:$AK$4,1,MATCH('BPEiC-CO2'!$A7,'Combined Data'!$B$2:$AK$2))*10^12</f>
        <v>73028005846222.141</v>
      </c>
      <c r="C7" s="342">
        <f>INDEX('Combined Data'!$B$10:$AK$10,1,MATCH('BPEiC-CO2'!$A7,'Combined Data'!$B$2:$AK$2))*10^12</f>
        <v>81789590199096.578</v>
      </c>
      <c r="D7" s="342">
        <f>INDEX('Combined Data'!$B$19:$AK$19,1,MATCH('BPEiC-CO2'!$A7,'Combined Data'!$B$2:$AK$2))*10^12</f>
        <v>70118097728749.094</v>
      </c>
      <c r="E7" s="342">
        <f>INDEX('Combined Data'!$B$29:$AK$29,1,MATCH('BPEiC-CO2'!$A7,'Combined Data'!$B$2:$AK$2))*10^12</f>
        <v>133187320511954.52</v>
      </c>
      <c r="F7" s="342">
        <v>0</v>
      </c>
      <c r="G7" s="342">
        <v>0</v>
      </c>
      <c r="H7" s="342">
        <v>0</v>
      </c>
      <c r="I7" s="342">
        <f>INDEX('Combined Data'!$B$73:$AK$73,1,MATCH('BPEiC-CO2'!$A7,'Combined Data'!$B$2:$AK$2))*10^12</f>
        <v>28527568733952.352</v>
      </c>
    </row>
    <row r="8" spans="1:9" x14ac:dyDescent="0.25">
      <c r="A8" s="110">
        <v>2021</v>
      </c>
      <c r="B8" s="342">
        <f>INDEX('Combined Data'!$B$4:$AK$4,1,MATCH('BPEiC-CO2'!$A8,'Combined Data'!$B$2:$AK$2))*10^12</f>
        <v>75014872108451.469</v>
      </c>
      <c r="C8" s="342">
        <f>INDEX('Combined Data'!$B$10:$AK$10,1,MATCH('BPEiC-CO2'!$A8,'Combined Data'!$B$2:$AK$2))*10^12</f>
        <v>82159352931150.266</v>
      </c>
      <c r="D8" s="342">
        <f>INDEX('Combined Data'!$B$19:$AK$19,1,MATCH('BPEiC-CO2'!$A8,'Combined Data'!$B$2:$AK$2))*10^12</f>
        <v>69017344889072.688</v>
      </c>
      <c r="E8" s="342">
        <f>INDEX('Combined Data'!$B$29:$AK$29,1,MATCH('BPEiC-CO2'!$A8,'Combined Data'!$B$2:$AK$2))*10^12</f>
        <v>135200868617447.95</v>
      </c>
      <c r="F8" s="342">
        <v>0</v>
      </c>
      <c r="G8" s="342">
        <v>0</v>
      </c>
      <c r="H8" s="342">
        <v>0</v>
      </c>
      <c r="I8" s="342">
        <f>INDEX('Combined Data'!$B$73:$AK$73,1,MATCH('BPEiC-CO2'!$A8,'Combined Data'!$B$2:$AK$2))*10^12</f>
        <v>28783614884398.063</v>
      </c>
    </row>
    <row r="9" spans="1:9" x14ac:dyDescent="0.25">
      <c r="A9" s="110">
        <v>2022</v>
      </c>
      <c r="B9" s="342">
        <f>INDEX('Combined Data'!$B$4:$AK$4,1,MATCH('BPEiC-CO2'!$A9,'Combined Data'!$B$2:$AK$2))*10^12</f>
        <v>76689695980782.766</v>
      </c>
      <c r="C9" s="342">
        <f>INDEX('Combined Data'!$B$10:$AK$10,1,MATCH('BPEiC-CO2'!$A9,'Combined Data'!$B$2:$AK$2))*10^12</f>
        <v>82983771509016.094</v>
      </c>
      <c r="D9" s="342">
        <f>INDEX('Combined Data'!$B$19:$AK$19,1,MATCH('BPEiC-CO2'!$A9,'Combined Data'!$B$2:$AK$2))*10^12</f>
        <v>68749153156973.93</v>
      </c>
      <c r="E9" s="342">
        <f>INDEX('Combined Data'!$B$29:$AK$29,1,MATCH('BPEiC-CO2'!$A9,'Combined Data'!$B$2:$AK$2))*10^12</f>
        <v>137961963349765.38</v>
      </c>
      <c r="F9" s="342">
        <v>0</v>
      </c>
      <c r="G9" s="342">
        <v>0</v>
      </c>
      <c r="H9" s="342">
        <v>0</v>
      </c>
      <c r="I9" s="342">
        <f>INDEX('Combined Data'!$B$73:$AK$73,1,MATCH('BPEiC-CO2'!$A9,'Combined Data'!$B$2:$AK$2))*10^12</f>
        <v>29054702637134.207</v>
      </c>
    </row>
    <row r="10" spans="1:9" x14ac:dyDescent="0.25">
      <c r="A10" s="110">
        <v>2023</v>
      </c>
      <c r="B10" s="342">
        <f>INDEX('Combined Data'!$B$4:$AK$4,1,MATCH('BPEiC-CO2'!$A10,'Combined Data'!$B$2:$AK$2))*10^12</f>
        <v>78194125781029.922</v>
      </c>
      <c r="C10" s="342">
        <f>INDEX('Combined Data'!$B$10:$AK$10,1,MATCH('BPEiC-CO2'!$A10,'Combined Data'!$B$2:$AK$2))*10^12</f>
        <v>84012206548259.703</v>
      </c>
      <c r="D10" s="342">
        <f>INDEX('Combined Data'!$B$19:$AK$19,1,MATCH('BPEiC-CO2'!$A10,'Combined Data'!$B$2:$AK$2))*10^12</f>
        <v>69316398157044.859</v>
      </c>
      <c r="E10" s="342">
        <f>INDEX('Combined Data'!$B$29:$AK$29,1,MATCH('BPEiC-CO2'!$A10,'Combined Data'!$B$2:$AK$2))*10^12</f>
        <v>140505871555845.45</v>
      </c>
      <c r="F10" s="342">
        <v>0</v>
      </c>
      <c r="G10" s="342">
        <v>0</v>
      </c>
      <c r="H10" s="342">
        <v>0</v>
      </c>
      <c r="I10" s="342">
        <f>INDEX('Combined Data'!$B$73:$AK$73,1,MATCH('BPEiC-CO2'!$A10,'Combined Data'!$B$2:$AK$2))*10^12</f>
        <v>29339428751336.336</v>
      </c>
    </row>
    <row r="11" spans="1:9" x14ac:dyDescent="0.25">
      <c r="A11" s="110">
        <v>2024</v>
      </c>
      <c r="B11" s="342">
        <f>INDEX('Combined Data'!$B$4:$AK$4,1,MATCH('BPEiC-CO2'!$A11,'Combined Data'!$B$2:$AK$2))*10^12</f>
        <v>79390504705510.547</v>
      </c>
      <c r="C11" s="342">
        <f>INDEX('Combined Data'!$B$10:$AK$10,1,MATCH('BPEiC-CO2'!$A11,'Combined Data'!$B$2:$AK$2))*10^12</f>
        <v>84972805976000.297</v>
      </c>
      <c r="D11" s="342">
        <f>INDEX('Combined Data'!$B$19:$AK$19,1,MATCH('BPEiC-CO2'!$A11,'Combined Data'!$B$2:$AK$2))*10^12</f>
        <v>70417642338144.563</v>
      </c>
      <c r="E11" s="342">
        <f>INDEX('Combined Data'!$B$29:$AK$29,1,MATCH('BPEiC-CO2'!$A11,'Combined Data'!$B$2:$AK$2))*10^12</f>
        <v>142357000603983.28</v>
      </c>
      <c r="F11" s="342">
        <v>0</v>
      </c>
      <c r="G11" s="342">
        <v>0</v>
      </c>
      <c r="H11" s="342">
        <v>0</v>
      </c>
      <c r="I11" s="342">
        <f>INDEX('Combined Data'!$B$73:$AK$73,1,MATCH('BPEiC-CO2'!$A11,'Combined Data'!$B$2:$AK$2))*10^12</f>
        <v>29636535616517.137</v>
      </c>
    </row>
    <row r="12" spans="1:9" x14ac:dyDescent="0.25">
      <c r="A12" s="110">
        <v>2025</v>
      </c>
      <c r="B12" s="342">
        <f>INDEX('Combined Data'!$B$4:$AK$4,1,MATCH('BPEiC-CO2'!$A12,'Combined Data'!$B$2:$AK$2))*10^12</f>
        <v>80232675083555.234</v>
      </c>
      <c r="C12" s="342">
        <f>INDEX('Combined Data'!$B$10:$AK$10,1,MATCH('BPEiC-CO2'!$A12,'Combined Data'!$B$2:$AK$2))*10^12</f>
        <v>85856746339003.031</v>
      </c>
      <c r="D12" s="342">
        <f>INDEX('Combined Data'!$B$19:$AK$19,1,MATCH('BPEiC-CO2'!$A12,'Combined Data'!$B$2:$AK$2))*10^12</f>
        <v>72175870759615.594</v>
      </c>
      <c r="E12" s="342">
        <f>INDEX('Combined Data'!$B$29:$AK$29,1,MATCH('BPEiC-CO2'!$A12,'Combined Data'!$B$2:$AK$2))*10^12</f>
        <v>143639163919883.81</v>
      </c>
      <c r="F12" s="342">
        <v>0</v>
      </c>
      <c r="G12" s="342">
        <v>0</v>
      </c>
      <c r="H12" s="342">
        <v>0</v>
      </c>
      <c r="I12" s="342">
        <f>INDEX('Combined Data'!$B$73:$AK$73,1,MATCH('BPEiC-CO2'!$A12,'Combined Data'!$B$2:$AK$2))*10^12</f>
        <v>29944895804254.836</v>
      </c>
    </row>
    <row r="13" spans="1:9" x14ac:dyDescent="0.25">
      <c r="A13" s="110">
        <v>2026</v>
      </c>
      <c r="B13" s="342">
        <f>INDEX('Combined Data'!$B$4:$AK$4,1,MATCH('BPEiC-CO2'!$A13,'Combined Data'!$B$2:$AK$2))*10^12</f>
        <v>81304032801247.125</v>
      </c>
      <c r="C13" s="342">
        <f>INDEX('Combined Data'!$B$10:$AK$10,1,MATCH('BPEiC-CO2'!$A13,'Combined Data'!$B$2:$AK$2))*10^12</f>
        <v>86722638052426.734</v>
      </c>
      <c r="D13" s="342">
        <f>INDEX('Combined Data'!$B$19:$AK$19,1,MATCH('BPEiC-CO2'!$A13,'Combined Data'!$B$2:$AK$2))*10^12</f>
        <v>74666283825507.25</v>
      </c>
      <c r="E13" s="342">
        <f>INDEX('Combined Data'!$B$29:$AK$29,1,MATCH('BPEiC-CO2'!$A13,'Combined Data'!$B$2:$AK$2))*10^12</f>
        <v>145131963792003.53</v>
      </c>
      <c r="F13" s="342">
        <v>0</v>
      </c>
      <c r="G13" s="342">
        <v>0</v>
      </c>
      <c r="H13" s="342">
        <v>0</v>
      </c>
      <c r="I13" s="342">
        <f>INDEX('Combined Data'!$B$73:$AK$73,1,MATCH('BPEiC-CO2'!$A13,'Combined Data'!$B$2:$AK$2))*10^12</f>
        <v>30263498267172.574</v>
      </c>
    </row>
    <row r="14" spans="1:9" x14ac:dyDescent="0.25">
      <c r="A14" s="110">
        <v>2027</v>
      </c>
      <c r="B14" s="342">
        <f>INDEX('Combined Data'!$B$4:$AK$4,1,MATCH('BPEiC-CO2'!$A14,'Combined Data'!$B$2:$AK$2))*10^12</f>
        <v>82223847258781.375</v>
      </c>
      <c r="C14" s="342">
        <f>INDEX('Combined Data'!$B$10:$AK$10,1,MATCH('BPEiC-CO2'!$A14,'Combined Data'!$B$2:$AK$2))*10^12</f>
        <v>87094048511732.094</v>
      </c>
      <c r="D14" s="342">
        <f>INDEX('Combined Data'!$B$19:$AK$19,1,MATCH('BPEiC-CO2'!$A14,'Combined Data'!$B$2:$AK$2))*10^12</f>
        <v>76201000607606.516</v>
      </c>
      <c r="E14" s="342">
        <f>INDEX('Combined Data'!$B$29:$AK$29,1,MATCH('BPEiC-CO2'!$A14,'Combined Data'!$B$2:$AK$2))*10^12</f>
        <v>145433923293291.31</v>
      </c>
      <c r="F14" s="342">
        <v>0</v>
      </c>
      <c r="G14" s="342">
        <v>0</v>
      </c>
      <c r="H14" s="342">
        <v>0</v>
      </c>
      <c r="I14" s="342">
        <f>INDEX('Combined Data'!$B$73:$AK$73,1,MATCH('BPEiC-CO2'!$A14,'Combined Data'!$B$2:$AK$2))*10^12</f>
        <v>30591436009288.281</v>
      </c>
    </row>
    <row r="15" spans="1:9" x14ac:dyDescent="0.25">
      <c r="A15" s="110">
        <v>2028</v>
      </c>
      <c r="B15" s="342">
        <f>INDEX('Combined Data'!$B$4:$AK$4,1,MATCH('BPEiC-CO2'!$A15,'Combined Data'!$B$2:$AK$2))*10^12</f>
        <v>83022443953523.953</v>
      </c>
      <c r="C15" s="342">
        <f>INDEX('Combined Data'!$B$10:$AK$10,1,MATCH('BPEiC-CO2'!$A15,'Combined Data'!$B$2:$AK$2))*10^12</f>
        <v>87576041000440.063</v>
      </c>
      <c r="D15" s="342">
        <f>INDEX('Combined Data'!$B$19:$AK$19,1,MATCH('BPEiC-CO2'!$A15,'Combined Data'!$B$2:$AK$2))*10^12</f>
        <v>78163345429057.641</v>
      </c>
      <c r="E15" s="342">
        <f>INDEX('Combined Data'!$B$29:$AK$29,1,MATCH('BPEiC-CO2'!$A15,'Combined Data'!$B$2:$AK$2))*10^12</f>
        <v>146118199948237.69</v>
      </c>
      <c r="F15" s="342">
        <v>0</v>
      </c>
      <c r="G15" s="342">
        <v>0</v>
      </c>
      <c r="H15" s="342">
        <v>0</v>
      </c>
      <c r="I15" s="342">
        <f>INDEX('Combined Data'!$B$73:$AK$73,1,MATCH('BPEiC-CO2'!$A15,'Combined Data'!$B$2:$AK$2))*10^12</f>
        <v>30927895070641.121</v>
      </c>
    </row>
    <row r="16" spans="1:9" x14ac:dyDescent="0.25">
      <c r="A16" s="110">
        <v>2029</v>
      </c>
      <c r="B16" s="342">
        <f>INDEX('Combined Data'!$B$4:$AK$4,1,MATCH('BPEiC-CO2'!$A16,'Combined Data'!$B$2:$AK$2))*10^12</f>
        <v>83830060425828.422</v>
      </c>
      <c r="C16" s="342">
        <f>INDEX('Combined Data'!$B$10:$AK$10,1,MATCH('BPEiC-CO2'!$A16,'Combined Data'!$B$2:$AK$2))*10^12</f>
        <v>88027142557225.969</v>
      </c>
      <c r="D16" s="342">
        <f>INDEX('Combined Data'!$B$19:$AK$19,1,MATCH('BPEiC-CO2'!$A16,'Combined Data'!$B$2:$AK$2))*10^12</f>
        <v>79775566832805.813</v>
      </c>
      <c r="E16" s="342">
        <f>INDEX('Combined Data'!$B$29:$AK$29,1,MATCH('BPEiC-CO2'!$A16,'Combined Data'!$B$2:$AK$2))*10^12</f>
        <v>147348468573419.56</v>
      </c>
      <c r="F16" s="342">
        <v>0</v>
      </c>
      <c r="G16" s="342">
        <v>0</v>
      </c>
      <c r="H16" s="342">
        <v>0</v>
      </c>
      <c r="I16" s="342">
        <f>INDEX('Combined Data'!$B$73:$AK$73,1,MATCH('BPEiC-CO2'!$A16,'Combined Data'!$B$2:$AK$2))*10^12</f>
        <v>31272144685879.488</v>
      </c>
    </row>
    <row r="17" spans="1:9" x14ac:dyDescent="0.25">
      <c r="A17" s="110">
        <v>2030</v>
      </c>
      <c r="B17" s="342">
        <f>INDEX('Combined Data'!$B$4:$AK$4,1,MATCH('BPEiC-CO2'!$A17,'Combined Data'!$B$2:$AK$2))*10^12</f>
        <v>84963119260613.797</v>
      </c>
      <c r="C17" s="342">
        <f>INDEX('Combined Data'!$B$10:$AK$10,1,MATCH('BPEiC-CO2'!$A17,'Combined Data'!$B$2:$AK$2))*10^12</f>
        <v>88368733280329.047</v>
      </c>
      <c r="D17" s="342">
        <f>INDEX('Combined Data'!$B$19:$AK$19,1,MATCH('BPEiC-CO2'!$A17,'Combined Data'!$B$2:$AK$2))*10^12</f>
        <v>81499345090483.297</v>
      </c>
      <c r="E17" s="342">
        <f>INDEX('Combined Data'!$B$29:$AK$29,1,MATCH('BPEiC-CO2'!$A17,'Combined Data'!$B$2:$AK$2))*10^12</f>
        <v>148705484464476.56</v>
      </c>
      <c r="F17" s="342">
        <v>0</v>
      </c>
      <c r="G17" s="342">
        <v>0</v>
      </c>
      <c r="H17" s="342">
        <v>0</v>
      </c>
      <c r="I17" s="342">
        <f>INDEX('Combined Data'!$B$73:$AK$73,1,MATCH('BPEiC-CO2'!$A17,'Combined Data'!$B$2:$AK$2))*10^12</f>
        <v>31623528491482.348</v>
      </c>
    </row>
    <row r="18" spans="1:9" x14ac:dyDescent="0.25">
      <c r="A18" s="110">
        <v>2031</v>
      </c>
      <c r="B18" s="342">
        <f>INDEX('Combined Data'!$B$4:$AK$4,1,MATCH('BPEiC-CO2'!$A18,'Combined Data'!$B$2:$AK$2))*10^12</f>
        <v>86140206424803.578</v>
      </c>
      <c r="C18" s="342">
        <f>INDEX('Combined Data'!$B$10:$AK$10,1,MATCH('BPEiC-CO2'!$A18,'Combined Data'!$B$2:$AK$2))*10^12</f>
        <v>88706948703006.219</v>
      </c>
      <c r="D18" s="342">
        <f>INDEX('Combined Data'!$B$19:$AK$19,1,MATCH('BPEiC-CO2'!$A18,'Combined Data'!$B$2:$AK$2))*10^12</f>
        <v>84089552676648.109</v>
      </c>
      <c r="E18" s="342">
        <f>INDEX('Combined Data'!$B$29:$AK$29,1,MATCH('BPEiC-CO2'!$A18,'Combined Data'!$B$2:$AK$2))*10^12</f>
        <v>149929081116356.75</v>
      </c>
      <c r="F18" s="342">
        <v>0</v>
      </c>
      <c r="G18" s="342">
        <v>0</v>
      </c>
      <c r="H18" s="342">
        <v>0</v>
      </c>
      <c r="I18" s="342">
        <f>INDEX('Combined Data'!$B$73:$AK$73,1,MATCH('BPEiC-CO2'!$A18,'Combined Data'!$B$2:$AK$2))*10^12</f>
        <v>31981456669671.852</v>
      </c>
    </row>
    <row r="19" spans="1:9" x14ac:dyDescent="0.25">
      <c r="A19" s="110">
        <v>2032</v>
      </c>
      <c r="B19" s="342">
        <f>INDEX('Combined Data'!$B$4:$AK$4,1,MATCH('BPEiC-CO2'!$A19,'Combined Data'!$B$2:$AK$2))*10^12</f>
        <v>87038950159076.844</v>
      </c>
      <c r="C19" s="342">
        <f>INDEX('Combined Data'!$B$10:$AK$10,1,MATCH('BPEiC-CO2'!$A19,'Combined Data'!$B$2:$AK$2))*10^12</f>
        <v>89189625344080.844</v>
      </c>
      <c r="D19" s="342">
        <f>INDEX('Combined Data'!$B$19:$AK$19,1,MATCH('BPEiC-CO2'!$A19,'Combined Data'!$B$2:$AK$2))*10^12</f>
        <v>86119878843404.703</v>
      </c>
      <c r="E19" s="342">
        <f>INDEX('Combined Data'!$B$29:$AK$29,1,MATCH('BPEiC-CO2'!$A19,'Combined Data'!$B$2:$AK$2))*10^12</f>
        <v>151105605899997.56</v>
      </c>
      <c r="F19" s="342">
        <v>0</v>
      </c>
      <c r="G19" s="342">
        <v>0</v>
      </c>
      <c r="H19" s="342">
        <v>0</v>
      </c>
      <c r="I19" s="342">
        <f>INDEX('Combined Data'!$B$73:$AK$73,1,MATCH('BPEiC-CO2'!$A19,'Combined Data'!$B$2:$AK$2))*10^12</f>
        <v>32345398929030.887</v>
      </c>
    </row>
    <row r="20" spans="1:9" x14ac:dyDescent="0.25">
      <c r="A20" s="110">
        <v>2033</v>
      </c>
      <c r="B20" s="342">
        <f>INDEX('Combined Data'!$B$4:$AK$4,1,MATCH('BPEiC-CO2'!$A20,'Combined Data'!$B$2:$AK$2))*10^12</f>
        <v>88390765467783.031</v>
      </c>
      <c r="C20" s="342">
        <f>INDEX('Combined Data'!$B$10:$AK$10,1,MATCH('BPEiC-CO2'!$A20,'Combined Data'!$B$2:$AK$2))*10^12</f>
        <v>89664433445604.063</v>
      </c>
      <c r="D20" s="342">
        <f>INDEX('Combined Data'!$B$19:$AK$19,1,MATCH('BPEiC-CO2'!$A20,'Combined Data'!$B$2:$AK$2))*10^12</f>
        <v>86906953561739.641</v>
      </c>
      <c r="E20" s="342">
        <f>INDEX('Combined Data'!$B$29:$AK$29,1,MATCH('BPEiC-CO2'!$A20,'Combined Data'!$B$2:$AK$2))*10^12</f>
        <v>151946237634800.31</v>
      </c>
      <c r="F20" s="342">
        <v>0</v>
      </c>
      <c r="G20" s="342">
        <v>0</v>
      </c>
      <c r="H20" s="342">
        <v>0</v>
      </c>
      <c r="I20" s="342">
        <f>INDEX('Combined Data'!$B$73:$AK$73,1,MATCH('BPEiC-CO2'!$A20,'Combined Data'!$B$2:$AK$2))*10^12</f>
        <v>32714878232518.352</v>
      </c>
    </row>
    <row r="21" spans="1:9" x14ac:dyDescent="0.25">
      <c r="A21" s="110">
        <v>2034</v>
      </c>
      <c r="B21" s="342">
        <f>INDEX('Combined Data'!$B$4:$AK$4,1,MATCH('BPEiC-CO2'!$A21,'Combined Data'!$B$2:$AK$2))*10^12</f>
        <v>90035749146702.422</v>
      </c>
      <c r="C21" s="342">
        <f>INDEX('Combined Data'!$B$10:$AK$10,1,MATCH('BPEiC-CO2'!$A21,'Combined Data'!$B$2:$AK$2))*10^12</f>
        <v>90351315429227.031</v>
      </c>
      <c r="D21" s="342">
        <f>INDEX('Combined Data'!$B$19:$AK$19,1,MATCH('BPEiC-CO2'!$A21,'Combined Data'!$B$2:$AK$2))*10^12</f>
        <v>88439661147716.859</v>
      </c>
      <c r="E21" s="342">
        <f>INDEX('Combined Data'!$B$29:$AK$29,1,MATCH('BPEiC-CO2'!$A21,'Combined Data'!$B$2:$AK$2))*10^12</f>
        <v>153316612764893.78</v>
      </c>
      <c r="F21" s="342">
        <v>0</v>
      </c>
      <c r="G21" s="342">
        <v>0</v>
      </c>
      <c r="H21" s="342">
        <v>0</v>
      </c>
      <c r="I21" s="342">
        <f>INDEX('Combined Data'!$B$73:$AK$73,1,MATCH('BPEiC-CO2'!$A21,'Combined Data'!$B$2:$AK$2))*10^12</f>
        <v>33089465193112.793</v>
      </c>
    </row>
    <row r="22" spans="1:9" x14ac:dyDescent="0.25">
      <c r="A22" s="110">
        <v>2035</v>
      </c>
      <c r="B22" s="342">
        <f>INDEX('Combined Data'!$B$4:$AK$4,1,MATCH('BPEiC-CO2'!$A22,'Combined Data'!$B$2:$AK$2))*10^12</f>
        <v>91624242722503.563</v>
      </c>
      <c r="C22" s="342">
        <f>INDEX('Combined Data'!$B$10:$AK$10,1,MATCH('BPEiC-CO2'!$A22,'Combined Data'!$B$2:$AK$2))*10^12</f>
        <v>91264437546412.969</v>
      </c>
      <c r="D22" s="342">
        <f>INDEX('Combined Data'!$B$19:$AK$19,1,MATCH('BPEiC-CO2'!$A22,'Combined Data'!$B$2:$AK$2))*10^12</f>
        <v>89576930154614.063</v>
      </c>
      <c r="E22" s="342">
        <f>INDEX('Combined Data'!$B$29:$AK$29,1,MATCH('BPEiC-CO2'!$A22,'Combined Data'!$B$2:$AK$2))*10^12</f>
        <v>154559245262570.78</v>
      </c>
      <c r="F22" s="342">
        <v>0</v>
      </c>
      <c r="G22" s="342">
        <v>0</v>
      </c>
      <c r="H22" s="342">
        <v>0</v>
      </c>
      <c r="I22" s="342">
        <f>INDEX('Combined Data'!$B$73:$AK$73,1,MATCH('BPEiC-CO2'!$A22,'Combined Data'!$B$2:$AK$2))*10^12</f>
        <v>33468773065834.59</v>
      </c>
    </row>
    <row r="23" spans="1:9" x14ac:dyDescent="0.25">
      <c r="A23" s="110">
        <v>2036</v>
      </c>
      <c r="B23" s="342">
        <f>INDEX('Combined Data'!$B$4:$AK$4,1,MATCH('BPEiC-CO2'!$A23,'Combined Data'!$B$2:$AK$2))*10^12</f>
        <v>93329582587617.328</v>
      </c>
      <c r="C23" s="342">
        <f>INDEX('Combined Data'!$B$10:$AK$10,1,MATCH('BPEiC-CO2'!$A23,'Combined Data'!$B$2:$AK$2))*10^12</f>
        <v>92015953587401.531</v>
      </c>
      <c r="D23" s="342">
        <f>INDEX('Combined Data'!$B$19:$AK$19,1,MATCH('BPEiC-CO2'!$A23,'Combined Data'!$B$2:$AK$2))*10^12</f>
        <v>91566972634296.578</v>
      </c>
      <c r="E23" s="342">
        <f>INDEX('Combined Data'!$B$29:$AK$29,1,MATCH('BPEiC-CO2'!$A23,'Combined Data'!$B$2:$AK$2))*10^12</f>
        <v>156034913839335.91</v>
      </c>
      <c r="F23" s="342">
        <v>0</v>
      </c>
      <c r="G23" s="342">
        <v>0</v>
      </c>
      <c r="H23" s="342">
        <v>0</v>
      </c>
      <c r="I23" s="342">
        <f>INDEX('Combined Data'!$B$73:$AK$73,1,MATCH('BPEiC-CO2'!$A23,'Combined Data'!$B$2:$AK$2))*10^12</f>
        <v>33852453272505.918</v>
      </c>
    </row>
    <row r="24" spans="1:9" x14ac:dyDescent="0.25">
      <c r="A24" s="110">
        <v>2037</v>
      </c>
      <c r="B24" s="342">
        <f>INDEX('Combined Data'!$B$4:$AK$4,1,MATCH('BPEiC-CO2'!$A24,'Combined Data'!$B$2:$AK$2))*10^12</f>
        <v>95090653373688.125</v>
      </c>
      <c r="C24" s="342">
        <f>INDEX('Combined Data'!$B$10:$AK$10,1,MATCH('BPEiC-CO2'!$A24,'Combined Data'!$B$2:$AK$2))*10^12</f>
        <v>92697086786021.641</v>
      </c>
      <c r="D24" s="342">
        <f>INDEX('Combined Data'!$B$19:$AK$19,1,MATCH('BPEiC-CO2'!$A24,'Combined Data'!$B$2:$AK$2))*10^12</f>
        <v>92357144417471.625</v>
      </c>
      <c r="E24" s="342">
        <f>INDEX('Combined Data'!$B$29:$AK$29,1,MATCH('BPEiC-CO2'!$A24,'Combined Data'!$B$2:$AK$2))*10^12</f>
        <v>157289180526061.66</v>
      </c>
      <c r="F24" s="342">
        <v>0</v>
      </c>
      <c r="G24" s="342">
        <v>0</v>
      </c>
      <c r="H24" s="342">
        <v>0</v>
      </c>
      <c r="I24" s="342">
        <f>INDEX('Combined Data'!$B$73:$AK$73,1,MATCH('BPEiC-CO2'!$A24,'Combined Data'!$B$2:$AK$2))*10^12</f>
        <v>34240191402404.328</v>
      </c>
    </row>
    <row r="25" spans="1:9" x14ac:dyDescent="0.25">
      <c r="A25" s="110">
        <v>2038</v>
      </c>
      <c r="B25" s="342">
        <f>INDEX('Combined Data'!$B$4:$AK$4,1,MATCH('BPEiC-CO2'!$A25,'Combined Data'!$B$2:$AK$2))*10^12</f>
        <v>96690979767213.016</v>
      </c>
      <c r="C25" s="342">
        <f>INDEX('Combined Data'!$B$10:$AK$10,1,MATCH('BPEiC-CO2'!$A25,'Combined Data'!$B$2:$AK$2))*10^12</f>
        <v>93197625046753.297</v>
      </c>
      <c r="D25" s="342">
        <f>INDEX('Combined Data'!$B$19:$AK$19,1,MATCH('BPEiC-CO2'!$A25,'Combined Data'!$B$2:$AK$2))*10^12</f>
        <v>92750902018292.031</v>
      </c>
      <c r="E25" s="342">
        <f>INDEX('Combined Data'!$B$29:$AK$29,1,MATCH('BPEiC-CO2'!$A25,'Combined Data'!$B$2:$AK$2))*10^12</f>
        <v>158749102266987.5</v>
      </c>
      <c r="F25" s="342">
        <v>0</v>
      </c>
      <c r="G25" s="342">
        <v>0</v>
      </c>
      <c r="H25" s="342">
        <v>0</v>
      </c>
      <c r="I25" s="342">
        <f>INDEX('Combined Data'!$B$73:$AK$73,1,MATCH('BPEiC-CO2'!$A25,'Combined Data'!$B$2:$AK$2))*10^12</f>
        <v>34631703638036.043</v>
      </c>
    </row>
    <row r="26" spans="1:9" x14ac:dyDescent="0.25">
      <c r="A26" s="110">
        <v>2039</v>
      </c>
      <c r="B26" s="342">
        <f>INDEX('Combined Data'!$B$4:$AK$4,1,MATCH('BPEiC-CO2'!$A26,'Combined Data'!$B$2:$AK$2))*10^12</f>
        <v>98473733837572.266</v>
      </c>
      <c r="C26" s="342">
        <f>INDEX('Combined Data'!$B$10:$AK$10,1,MATCH('BPEiC-CO2'!$A26,'Combined Data'!$B$2:$AK$2))*10^12</f>
        <v>93871019438033.078</v>
      </c>
      <c r="D26" s="342">
        <f>INDEX('Combined Data'!$B$19:$AK$19,1,MATCH('BPEiC-CO2'!$A26,'Combined Data'!$B$2:$AK$2))*10^12</f>
        <v>94524419007212.109</v>
      </c>
      <c r="E26" s="342">
        <f>INDEX('Combined Data'!$B$29:$AK$29,1,MATCH('BPEiC-CO2'!$A26,'Combined Data'!$B$2:$AK$2))*10^12</f>
        <v>160492372421685.56</v>
      </c>
      <c r="F26" s="342">
        <v>0</v>
      </c>
      <c r="G26" s="342">
        <v>0</v>
      </c>
      <c r="H26" s="342">
        <v>0</v>
      </c>
      <c r="I26" s="342">
        <f>INDEX('Combined Data'!$B$73:$AK$73,1,MATCH('BPEiC-CO2'!$A26,'Combined Data'!$B$2:$AK$2))*10^12</f>
        <v>35026733560677.43</v>
      </c>
    </row>
    <row r="27" spans="1:9" x14ac:dyDescent="0.25">
      <c r="A27" s="110">
        <v>2040</v>
      </c>
      <c r="B27" s="342">
        <f>INDEX('Combined Data'!$B$4:$AK$4,1,MATCH('BPEiC-CO2'!$A27,'Combined Data'!$B$2:$AK$2))*10^12</f>
        <v>100637473342625.09</v>
      </c>
      <c r="C27" s="342">
        <f>INDEX('Combined Data'!$B$10:$AK$10,1,MATCH('BPEiC-CO2'!$A27,'Combined Data'!$B$2:$AK$2))*10^12</f>
        <v>94283392066988.672</v>
      </c>
      <c r="D27" s="342">
        <f>INDEX('Combined Data'!$B$19:$AK$19,1,MATCH('BPEiC-CO2'!$A27,'Combined Data'!$B$2:$AK$2))*10^12</f>
        <v>96354535555339.266</v>
      </c>
      <c r="E27" s="342">
        <f>INDEX('Combined Data'!$B$29:$AK$29,1,MATCH('BPEiC-CO2'!$A27,'Combined Data'!$B$2:$AK$2))*10^12</f>
        <v>161580115491636.94</v>
      </c>
      <c r="F27" s="342">
        <v>0</v>
      </c>
      <c r="G27" s="342">
        <v>0</v>
      </c>
      <c r="H27" s="342">
        <v>0</v>
      </c>
      <c r="I27" s="342">
        <f>INDEX('Combined Data'!$B$73:$AK$73,1,MATCH('BPEiC-CO2'!$A27,'Combined Data'!$B$2:$AK$2))*10^12</f>
        <v>35425049295175.508</v>
      </c>
    </row>
    <row r="28" spans="1:9" x14ac:dyDescent="0.25">
      <c r="A28" s="110">
        <v>2041</v>
      </c>
      <c r="B28" s="342">
        <f>INDEX('Combined Data'!$B$4:$AK$4,1,MATCH('BPEiC-CO2'!$A28,'Combined Data'!$B$2:$AK$2))*10^12</f>
        <v>102708876513746.38</v>
      </c>
      <c r="C28" s="342">
        <f>INDEX('Combined Data'!$B$10:$AK$10,1,MATCH('BPEiC-CO2'!$A28,'Combined Data'!$B$2:$AK$2))*10^12</f>
        <v>94652164362637.313</v>
      </c>
      <c r="D28" s="342">
        <f>INDEX('Combined Data'!$B$19:$AK$19,1,MATCH('BPEiC-CO2'!$A28,'Combined Data'!$B$2:$AK$2))*10^12</f>
        <v>98348582683810.25</v>
      </c>
      <c r="E28" s="342">
        <f>INDEX('Combined Data'!$B$29:$AK$29,1,MATCH('BPEiC-CO2'!$A28,'Combined Data'!$B$2:$AK$2))*10^12</f>
        <v>162117176023756.19</v>
      </c>
      <c r="F28" s="342">
        <v>0</v>
      </c>
      <c r="G28" s="342">
        <v>0</v>
      </c>
      <c r="H28" s="342">
        <v>0</v>
      </c>
      <c r="I28" s="342">
        <f>INDEX('Combined Data'!$B$73:$AK$73,1,MATCH('BPEiC-CO2'!$A28,'Combined Data'!$B$2:$AK$2))*10^12</f>
        <v>35826440957824.563</v>
      </c>
    </row>
    <row r="29" spans="1:9" x14ac:dyDescent="0.25">
      <c r="A29" s="110">
        <v>2042</v>
      </c>
      <c r="B29" s="342">
        <f>INDEX('Combined Data'!$B$4:$AK$4,1,MATCH('BPEiC-CO2'!$A29,'Combined Data'!$B$2:$AK$2))*10^12</f>
        <v>104524135941241.64</v>
      </c>
      <c r="C29" s="342">
        <f>INDEX('Combined Data'!$B$10:$AK$10,1,MATCH('BPEiC-CO2'!$A29,'Combined Data'!$B$2:$AK$2))*10^12</f>
        <v>94940515753402.281</v>
      </c>
      <c r="D29" s="342">
        <f>INDEX('Combined Data'!$B$19:$AK$19,1,MATCH('BPEiC-CO2'!$A29,'Combined Data'!$B$2:$AK$2))*10^12</f>
        <v>99790607810245.313</v>
      </c>
      <c r="E29" s="342">
        <f>INDEX('Combined Data'!$B$29:$AK$29,1,MATCH('BPEiC-CO2'!$A29,'Combined Data'!$B$2:$AK$2))*10^12</f>
        <v>162753135152330.19</v>
      </c>
      <c r="F29" s="342">
        <v>0</v>
      </c>
      <c r="G29" s="342">
        <v>0</v>
      </c>
      <c r="H29" s="342">
        <v>0</v>
      </c>
      <c r="I29" s="342">
        <f>INDEX('Combined Data'!$B$73:$AK$73,1,MATCH('BPEiC-CO2'!$A29,'Combined Data'!$B$2:$AK$2))*10^12</f>
        <v>36230718374998.813</v>
      </c>
    </row>
    <row r="30" spans="1:9" x14ac:dyDescent="0.25">
      <c r="A30" s="110">
        <v>2043</v>
      </c>
      <c r="B30" s="342">
        <f>INDEX('Combined Data'!$B$4:$AK$4,1,MATCH('BPEiC-CO2'!$A30,'Combined Data'!$B$2:$AK$2))*10^12</f>
        <v>106822917020063.44</v>
      </c>
      <c r="C30" s="342">
        <f>INDEX('Combined Data'!$B$10:$AK$10,1,MATCH('BPEiC-CO2'!$A30,'Combined Data'!$B$2:$AK$2))*10^12</f>
        <v>95321742180093.313</v>
      </c>
      <c r="D30" s="342">
        <f>INDEX('Combined Data'!$B$19:$AK$19,1,MATCH('BPEiC-CO2'!$A30,'Combined Data'!$B$2:$AK$2))*10^12</f>
        <v>100932747819951.11</v>
      </c>
      <c r="E30" s="342">
        <f>INDEX('Combined Data'!$B$29:$AK$29,1,MATCH('BPEiC-CO2'!$A30,'Combined Data'!$B$2:$AK$2))*10^12</f>
        <v>163543745071606.97</v>
      </c>
      <c r="F30" s="342">
        <v>0</v>
      </c>
      <c r="G30" s="342">
        <v>0</v>
      </c>
      <c r="H30" s="342">
        <v>0</v>
      </c>
      <c r="I30" s="342">
        <f>INDEX('Combined Data'!$B$73:$AK$73,1,MATCH('BPEiC-CO2'!$A30,'Combined Data'!$B$2:$AK$2))*10^12</f>
        <v>36637709043672.477</v>
      </c>
    </row>
    <row r="31" spans="1:9" x14ac:dyDescent="0.25">
      <c r="A31" s="110">
        <v>2044</v>
      </c>
      <c r="B31" s="342">
        <f>INDEX('Combined Data'!$B$4:$AK$4,1,MATCH('BPEiC-CO2'!$A31,'Combined Data'!$B$2:$AK$2))*10^12</f>
        <v>109332323417601.06</v>
      </c>
      <c r="C31" s="342">
        <f>INDEX('Combined Data'!$B$10:$AK$10,1,MATCH('BPEiC-CO2'!$A31,'Combined Data'!$B$2:$AK$2))*10^12</f>
        <v>95864033214992.609</v>
      </c>
      <c r="D31" s="342">
        <f>INDEX('Combined Data'!$B$19:$AK$19,1,MATCH('BPEiC-CO2'!$A31,'Combined Data'!$B$2:$AK$2))*10^12</f>
        <v>101793027866325.47</v>
      </c>
      <c r="E31" s="342">
        <f>INDEX('Combined Data'!$B$29:$AK$29,1,MATCH('BPEiC-CO2'!$A31,'Combined Data'!$B$2:$AK$2))*10^12</f>
        <v>164393914314980</v>
      </c>
      <c r="F31" s="342">
        <v>0</v>
      </c>
      <c r="G31" s="342">
        <v>0</v>
      </c>
      <c r="H31" s="342">
        <v>0</v>
      </c>
      <c r="I31" s="342">
        <f>INDEX('Combined Data'!$B$73:$AK$73,1,MATCH('BPEiC-CO2'!$A31,'Combined Data'!$B$2:$AK$2))*10^12</f>
        <v>37047256308040.664</v>
      </c>
    </row>
    <row r="32" spans="1:9" x14ac:dyDescent="0.25">
      <c r="A32" s="110">
        <v>2045</v>
      </c>
      <c r="B32" s="342">
        <f>INDEX('Combined Data'!$B$4:$AK$4,1,MATCH('BPEiC-CO2'!$A32,'Combined Data'!$B$2:$AK$2))*10^12</f>
        <v>111645357722227.56</v>
      </c>
      <c r="C32" s="342">
        <f>INDEX('Combined Data'!$B$10:$AK$10,1,MATCH('BPEiC-CO2'!$A32,'Combined Data'!$B$2:$AK$2))*10^12</f>
        <v>96392585447407.391</v>
      </c>
      <c r="D32" s="342">
        <f>INDEX('Combined Data'!$B$19:$AK$19,1,MATCH('BPEiC-CO2'!$A32,'Combined Data'!$B$2:$AK$2))*10^12</f>
        <v>102371130242749.28</v>
      </c>
      <c r="E32" s="342">
        <f>INDEX('Combined Data'!$B$29:$AK$29,1,MATCH('BPEiC-CO2'!$A32,'Combined Data'!$B$2:$AK$2))*10^12</f>
        <v>165321509352442.28</v>
      </c>
      <c r="F32" s="342">
        <v>0</v>
      </c>
      <c r="G32" s="342">
        <v>0</v>
      </c>
      <c r="H32" s="342">
        <v>0</v>
      </c>
      <c r="I32" s="342">
        <f>INDEX('Combined Data'!$B$73:$AK$73,1,MATCH('BPEiC-CO2'!$A32,'Combined Data'!$B$2:$AK$2))*10^12</f>
        <v>37459217729207.563</v>
      </c>
    </row>
    <row r="33" spans="1:9" x14ac:dyDescent="0.25">
      <c r="A33" s="110">
        <v>2046</v>
      </c>
      <c r="B33" s="342">
        <f>INDEX('Combined Data'!$B$4:$AK$4,1,MATCH('BPEiC-CO2'!$A33,'Combined Data'!$B$2:$AK$2))*10^12</f>
        <v>113973862398378.52</v>
      </c>
      <c r="C33" s="342">
        <f>INDEX('Combined Data'!$B$10:$AK$10,1,MATCH('BPEiC-CO2'!$A33,'Combined Data'!$B$2:$AK$2))*10^12</f>
        <v>96874638952829.906</v>
      </c>
      <c r="D33" s="342">
        <f>INDEX('Combined Data'!$B$19:$AK$19,1,MATCH('BPEiC-CO2'!$A33,'Combined Data'!$B$2:$AK$2))*10^12</f>
        <v>102690758489659.55</v>
      </c>
      <c r="E33" s="342">
        <f>INDEX('Combined Data'!$B$29:$AK$29,1,MATCH('BPEiC-CO2'!$A33,'Combined Data'!$B$2:$AK$2))*10^12</f>
        <v>166006659290296.06</v>
      </c>
      <c r="F33" s="342">
        <v>0</v>
      </c>
      <c r="G33" s="342">
        <v>0</v>
      </c>
      <c r="H33" s="342">
        <v>0</v>
      </c>
      <c r="I33" s="342">
        <f>INDEX('Combined Data'!$B$73:$AK$73,1,MATCH('BPEiC-CO2'!$A33,'Combined Data'!$B$2:$AK$2))*10^12</f>
        <v>37873463627367.375</v>
      </c>
    </row>
    <row r="34" spans="1:9" x14ac:dyDescent="0.25">
      <c r="A34" s="110">
        <v>2047</v>
      </c>
      <c r="B34" s="342">
        <f>INDEX('Combined Data'!$B$4:$AK$4,1,MATCH('BPEiC-CO2'!$A34,'Combined Data'!$B$2:$AK$2))*10^12</f>
        <v>116068628615103.73</v>
      </c>
      <c r="C34" s="342">
        <f>INDEX('Combined Data'!$B$10:$AK$10,1,MATCH('BPEiC-CO2'!$A34,'Combined Data'!$B$2:$AK$2))*10^12</f>
        <v>97412700695064.016</v>
      </c>
      <c r="D34" s="342">
        <f>INDEX('Combined Data'!$B$19:$AK$19,1,MATCH('BPEiC-CO2'!$A34,'Combined Data'!$B$2:$AK$2))*10^12</f>
        <v>103380149389157.34</v>
      </c>
      <c r="E34" s="342">
        <f>INDEX('Combined Data'!$B$29:$AK$29,1,MATCH('BPEiC-CO2'!$A34,'Combined Data'!$B$2:$AK$2))*10^12</f>
        <v>167242358704531.84</v>
      </c>
      <c r="F34" s="342">
        <v>0</v>
      </c>
      <c r="G34" s="342">
        <v>0</v>
      </c>
      <c r="H34" s="342">
        <v>0</v>
      </c>
      <c r="I34" s="342">
        <f>INDEX('Combined Data'!$B$73:$AK$73,1,MATCH('BPEiC-CO2'!$A34,'Combined Data'!$B$2:$AK$2))*10^12</f>
        <v>38289875778100.023</v>
      </c>
    </row>
    <row r="35" spans="1:9" x14ac:dyDescent="0.25">
      <c r="A35" s="110">
        <v>2048</v>
      </c>
      <c r="B35" s="342">
        <f>INDEX('Combined Data'!$B$4:$AK$4,1,MATCH('BPEiC-CO2'!$A35,'Combined Data'!$B$2:$AK$2))*10^12</f>
        <v>118141725458101.17</v>
      </c>
      <c r="C35" s="342">
        <f>INDEX('Combined Data'!$B$10:$AK$10,1,MATCH('BPEiC-CO2'!$A35,'Combined Data'!$B$2:$AK$2))*10^12</f>
        <v>97842181144290.016</v>
      </c>
      <c r="D35" s="342">
        <f>INDEX('Combined Data'!$B$19:$AK$19,1,MATCH('BPEiC-CO2'!$A35,'Combined Data'!$B$2:$AK$2))*10^12</f>
        <v>103521245357313.19</v>
      </c>
      <c r="E35" s="342">
        <f>INDEX('Combined Data'!$B$29:$AK$29,1,MATCH('BPEiC-CO2'!$A35,'Combined Data'!$B$2:$AK$2))*10^12</f>
        <v>168343900636681.44</v>
      </c>
      <c r="F35" s="342">
        <v>0</v>
      </c>
      <c r="G35" s="342">
        <v>0</v>
      </c>
      <c r="H35" s="342">
        <v>0</v>
      </c>
      <c r="I35" s="342">
        <f>INDEX('Combined Data'!$B$73:$AK$73,1,MATCH('BPEiC-CO2'!$A35,'Combined Data'!$B$2:$AK$2))*10^12</f>
        <v>38708346246365.258</v>
      </c>
    </row>
    <row r="36" spans="1:9" x14ac:dyDescent="0.25">
      <c r="A36" s="110">
        <v>2049</v>
      </c>
      <c r="B36" s="342">
        <f>INDEX('Combined Data'!$B$4:$AK$4,1,MATCH('BPEiC-CO2'!$A36,'Combined Data'!$B$2:$AK$2))*10^12</f>
        <v>120356089585650.33</v>
      </c>
      <c r="C36" s="342">
        <f>INDEX('Combined Data'!$B$10:$AK$10,1,MATCH('BPEiC-CO2'!$A36,'Combined Data'!$B$2:$AK$2))*10^12</f>
        <v>98277876840047.469</v>
      </c>
      <c r="D36" s="342">
        <f>INDEX('Combined Data'!$B$19:$AK$19,1,MATCH('BPEiC-CO2'!$A36,'Combined Data'!$B$2:$AK$2))*10^12</f>
        <v>103900664484004.41</v>
      </c>
      <c r="E36" s="342">
        <f>INDEX('Combined Data'!$B$29:$AK$29,1,MATCH('BPEiC-CO2'!$A36,'Combined Data'!$B$2:$AK$2))*10^12</f>
        <v>169760877805324.41</v>
      </c>
      <c r="F36" s="342">
        <v>0</v>
      </c>
      <c r="G36" s="342">
        <v>0</v>
      </c>
      <c r="H36" s="342">
        <v>0</v>
      </c>
      <c r="I36" s="342">
        <f>INDEX('Combined Data'!$B$73:$AK$73,1,MATCH('BPEiC-CO2'!$A36,'Combined Data'!$B$2:$AK$2))*10^12</f>
        <v>39128776343530.992</v>
      </c>
    </row>
    <row r="37" spans="1:9" x14ac:dyDescent="0.25">
      <c r="A37" s="110">
        <v>2050</v>
      </c>
      <c r="B37" s="342">
        <f>INDEX('Combined Data'!$B$4:$AK$4,1,MATCH('BPEiC-CO2'!$A37,'Combined Data'!$B$2:$AK$2))*10^12</f>
        <v>122527834278043.77</v>
      </c>
      <c r="C37" s="342">
        <f>INDEX('Combined Data'!$B$10:$AK$10,1,MATCH('BPEiC-CO2'!$A37,'Combined Data'!$B$2:$AK$2))*10^12</f>
        <v>98843997491845.063</v>
      </c>
      <c r="D37" s="342">
        <f>INDEX('Combined Data'!$B$19:$AK$19,1,MATCH('BPEiC-CO2'!$A37,'Combined Data'!$B$2:$AK$2))*10^12</f>
        <v>104233213082731.42</v>
      </c>
      <c r="E37" s="342">
        <f>INDEX('Combined Data'!$B$29:$AK$29,1,MATCH('BPEiC-CO2'!$A37,'Combined Data'!$B$2:$AK$2))*10^12</f>
        <v>171622313910585.13</v>
      </c>
      <c r="F37" s="342">
        <v>0</v>
      </c>
      <c r="G37" s="342">
        <v>0</v>
      </c>
      <c r="H37" s="342">
        <v>0</v>
      </c>
      <c r="I37" s="342">
        <f>INDEX('Combined Data'!$B$73:$AK$73,1,MATCH('BPEiC-CO2'!$A37,'Combined Data'!$B$2:$AK$2))*10^12</f>
        <v>39551075694337.156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3"/>
  </sheetPr>
  <dimension ref="A1:I37"/>
  <sheetViews>
    <sheetView workbookViewId="0">
      <selection activeCell="E13" sqref="A1:I37"/>
    </sheetView>
  </sheetViews>
  <sheetFormatPr defaultColWidth="10.28515625" defaultRowHeight="15" x14ac:dyDescent="0.25"/>
  <cols>
    <col min="1" max="1" width="10.28515625" style="110"/>
    <col min="2" max="9" width="20.140625" style="110" customWidth="1"/>
    <col min="10" max="16384" width="10.28515625" style="108"/>
  </cols>
  <sheetData>
    <row r="1" spans="1:9" x14ac:dyDescent="0.25">
      <c r="A1" s="110" t="s">
        <v>284</v>
      </c>
      <c r="B1" s="110" t="s">
        <v>1040</v>
      </c>
      <c r="C1" s="110" t="s">
        <v>1041</v>
      </c>
      <c r="D1" s="110" t="s">
        <v>1042</v>
      </c>
      <c r="E1" s="110" t="s">
        <v>1043</v>
      </c>
      <c r="F1" s="110" t="s">
        <v>1044</v>
      </c>
      <c r="G1" s="110" t="s">
        <v>1045</v>
      </c>
      <c r="H1" s="110" t="s">
        <v>1046</v>
      </c>
      <c r="I1" s="110" t="s">
        <v>1047</v>
      </c>
    </row>
    <row r="2" spans="1:9" x14ac:dyDescent="0.25">
      <c r="A2" s="110">
        <v>2015</v>
      </c>
      <c r="B2" s="342">
        <v>0</v>
      </c>
      <c r="C2" s="342">
        <f>INDEX('Combined Data'!$B$9:$AK$9,1,MATCH('BPEiC-CO2'!$A2,'Combined Data'!$B$2:$AK$2))*10^12</f>
        <v>226772370181157.44</v>
      </c>
      <c r="D2" s="342">
        <f>INDEX('Combined Data'!$B$20:$AK$20,1,MATCH('BPEiC-CO2'!$A2,'Combined Data'!$B$2:$AK$2))*10^12</f>
        <v>8400000000.000001</v>
      </c>
      <c r="E2" s="342">
        <v>0</v>
      </c>
      <c r="F2" s="342">
        <f>INDEX('Combined Data'!$B$39:$AK$39,1,MATCH('BPEiC-CO2'!$A2,'Combined Data'!$B$2:$AK$2))*10^12</f>
        <v>75376000000000</v>
      </c>
      <c r="G2" s="342">
        <f>INDEX('Combined Data'!$B$47:$AK$47,1,MATCH('BPEiC-CO2'!$A2,'Combined Data'!$B$2:$AK$2))*10^12</f>
        <v>148588214220883.94</v>
      </c>
      <c r="H2" s="342">
        <f>INDEX('Combined Data'!$B$60:$AK$60,1,MATCH('BPEiC-CO2'!$A2,'Combined Data'!$B$2:$AK$2))*10^12</f>
        <v>273737796010503.13</v>
      </c>
      <c r="I2" s="342">
        <f>INDEX('Combined Data'!$B$75:$AK$75,1,MATCH('BPEiC-CO2'!$A2,'Combined Data'!$B$2:$AK$2))*10^12</f>
        <v>28000000000</v>
      </c>
    </row>
    <row r="3" spans="1:9" x14ac:dyDescent="0.25">
      <c r="A3" s="110">
        <v>2016</v>
      </c>
      <c r="B3" s="342">
        <v>0</v>
      </c>
      <c r="C3" s="342">
        <f>INDEX('Combined Data'!$B$9:$AK$9,1,MATCH('BPEiC-CO2'!$A3,'Combined Data'!$B$2:$AK$2))*10^12</f>
        <v>239984435610650</v>
      </c>
      <c r="D3" s="342">
        <f>INDEX('Combined Data'!$B$20:$AK$20,1,MATCH('BPEiC-CO2'!$A3,'Combined Data'!$B$2:$AK$2))*10^12</f>
        <v>8887153881.8439713</v>
      </c>
      <c r="E3" s="342">
        <v>0</v>
      </c>
      <c r="F3" s="342">
        <f>INDEX('Combined Data'!$B$39:$AK$39,1,MATCH('BPEiC-CO2'!$A3,'Combined Data'!$B$2:$AK$2))*10^12</f>
        <v>68713480258627.953</v>
      </c>
      <c r="G3" s="342">
        <f>INDEX('Combined Data'!$B$47:$AK$47,1,MATCH('BPEiC-CO2'!$A3,'Combined Data'!$B$2:$AK$2))*10^12</f>
        <v>147829964280404.22</v>
      </c>
      <c r="H3" s="342">
        <f>INDEX('Combined Data'!$B$60:$AK$60,1,MATCH('BPEiC-CO2'!$A3,'Combined Data'!$B$2:$AK$2))*10^12</f>
        <v>279624338656036.81</v>
      </c>
      <c r="I3" s="342">
        <f>INDEX('Combined Data'!$B$75:$AK$75,1,MATCH('BPEiC-CO2'!$A3,'Combined Data'!$B$2:$AK$2))*10^12</f>
        <v>31111111111.111115</v>
      </c>
    </row>
    <row r="4" spans="1:9" x14ac:dyDescent="0.25">
      <c r="A4" s="110">
        <v>2017</v>
      </c>
      <c r="B4" s="342">
        <v>0</v>
      </c>
      <c r="C4" s="342">
        <f>INDEX('Combined Data'!$B$9:$AK$9,1,MATCH('BPEiC-CO2'!$A4,'Combined Data'!$B$2:$AK$2))*10^12</f>
        <v>243556276707159.66</v>
      </c>
      <c r="D4" s="342">
        <f>INDEX('Combined Data'!$B$20:$AK$20,1,MATCH('BPEiC-CO2'!$A4,'Combined Data'!$B$2:$AK$2))*10^12</f>
        <v>9028542218.7556934</v>
      </c>
      <c r="E4" s="342">
        <v>0</v>
      </c>
      <c r="F4" s="342">
        <f>INDEX('Combined Data'!$B$39:$AK$39,1,MATCH('BPEiC-CO2'!$A4,'Combined Data'!$B$2:$AK$2))*10^12</f>
        <v>69936915475616.672</v>
      </c>
      <c r="G4" s="342">
        <f>INDEX('Combined Data'!$B$47:$AK$47,1,MATCH('BPEiC-CO2'!$A4,'Combined Data'!$B$2:$AK$2))*10^12</f>
        <v>147655821614933.94</v>
      </c>
      <c r="H4" s="342">
        <f>INDEX('Combined Data'!$B$60:$AK$60,1,MATCH('BPEiC-CO2'!$A4,'Combined Data'!$B$2:$AK$2))*10^12</f>
        <v>284912087763096.69</v>
      </c>
      <c r="I4" s="342">
        <f>INDEX('Combined Data'!$B$75:$AK$75,1,MATCH('BPEiC-CO2'!$A4,'Combined Data'!$B$2:$AK$2))*10^12</f>
        <v>34222222222.222229</v>
      </c>
    </row>
    <row r="5" spans="1:9" x14ac:dyDescent="0.25">
      <c r="A5" s="110">
        <v>2018</v>
      </c>
      <c r="B5" s="342">
        <v>0</v>
      </c>
      <c r="C5" s="342">
        <f>INDEX('Combined Data'!$B$9:$AK$9,1,MATCH('BPEiC-CO2'!$A5,'Combined Data'!$B$2:$AK$2))*10^12</f>
        <v>254496435109411.13</v>
      </c>
      <c r="D5" s="342">
        <f>INDEX('Combined Data'!$B$20:$AK$20,1,MATCH('BPEiC-CO2'!$A5,'Combined Data'!$B$2:$AK$2))*10^12</f>
        <v>9509359642.2143116</v>
      </c>
      <c r="E5" s="342">
        <v>0</v>
      </c>
      <c r="F5" s="342">
        <f>INDEX('Combined Data'!$B$39:$AK$39,1,MATCH('BPEiC-CO2'!$A5,'Combined Data'!$B$2:$AK$2))*10^12</f>
        <v>68121959871192.234</v>
      </c>
      <c r="G5" s="342">
        <f>INDEX('Combined Data'!$B$47:$AK$47,1,MATCH('BPEiC-CO2'!$A5,'Combined Data'!$B$2:$AK$2))*10^12</f>
        <v>146972093448972.09</v>
      </c>
      <c r="H5" s="342">
        <f>INDEX('Combined Data'!$B$60:$AK$60,1,MATCH('BPEiC-CO2'!$A5,'Combined Data'!$B$2:$AK$2))*10^12</f>
        <v>284233706832394.81</v>
      </c>
      <c r="I5" s="342">
        <f>INDEX('Combined Data'!$B$75:$AK$75,1,MATCH('BPEiC-CO2'!$A5,'Combined Data'!$B$2:$AK$2))*10^12</f>
        <v>37333333333.333336</v>
      </c>
    </row>
    <row r="6" spans="1:9" x14ac:dyDescent="0.25">
      <c r="A6" s="110">
        <v>2019</v>
      </c>
      <c r="B6" s="342">
        <v>0</v>
      </c>
      <c r="C6" s="342">
        <f>INDEX('Combined Data'!$B$9:$AK$9,1,MATCH('BPEiC-CO2'!$A6,'Combined Data'!$B$2:$AK$2))*10^12</f>
        <v>261631803810516.25</v>
      </c>
      <c r="D6" s="342">
        <f>INDEX('Combined Data'!$B$20:$AK$20,1,MATCH('BPEiC-CO2'!$A6,'Combined Data'!$B$2:$AK$2))*10^12</f>
        <v>9537061727.0606594</v>
      </c>
      <c r="E6" s="342">
        <v>0</v>
      </c>
      <c r="F6" s="342">
        <f>INDEX('Combined Data'!$B$39:$AK$39,1,MATCH('BPEiC-CO2'!$A6,'Combined Data'!$B$2:$AK$2))*10^12</f>
        <v>71724973477519.422</v>
      </c>
      <c r="G6" s="342">
        <f>INDEX('Combined Data'!$B$47:$AK$47,1,MATCH('BPEiC-CO2'!$A6,'Combined Data'!$B$2:$AK$2))*10^12</f>
        <v>146241109437337.03</v>
      </c>
      <c r="H6" s="342">
        <f>INDEX('Combined Data'!$B$60:$AK$60,1,MATCH('BPEiC-CO2'!$A6,'Combined Data'!$B$2:$AK$2))*10^12</f>
        <v>289610141448854.81</v>
      </c>
      <c r="I6" s="342">
        <f>INDEX('Combined Data'!$B$75:$AK$75,1,MATCH('BPEiC-CO2'!$A6,'Combined Data'!$B$2:$AK$2))*10^12</f>
        <v>40444444444.44445</v>
      </c>
    </row>
    <row r="7" spans="1:9" x14ac:dyDescent="0.25">
      <c r="A7" s="110">
        <v>2020</v>
      </c>
      <c r="B7" s="342">
        <v>0</v>
      </c>
      <c r="C7" s="342">
        <f>INDEX('Combined Data'!$B$9:$AK$9,1,MATCH('BPEiC-CO2'!$A7,'Combined Data'!$B$2:$AK$2))*10^12</f>
        <v>266293051741231.19</v>
      </c>
      <c r="D7" s="342">
        <f>INDEX('Combined Data'!$B$20:$AK$20,1,MATCH('BPEiC-CO2'!$A7,'Combined Data'!$B$2:$AK$2))*10^12</f>
        <v>9400171297.2830505</v>
      </c>
      <c r="E7" s="342">
        <v>0</v>
      </c>
      <c r="F7" s="342">
        <f>INDEX('Combined Data'!$B$39:$AK$39,1,MATCH('BPEiC-CO2'!$A7,'Combined Data'!$B$2:$AK$2))*10^12</f>
        <v>75102330252250.297</v>
      </c>
      <c r="G7" s="342">
        <f>INDEX('Combined Data'!$B$47:$AK$47,1,MATCH('BPEiC-CO2'!$A7,'Combined Data'!$B$2:$AK$2))*10^12</f>
        <v>145606066135889.13</v>
      </c>
      <c r="H7" s="342">
        <f>INDEX('Combined Data'!$B$60:$AK$60,1,MATCH('BPEiC-CO2'!$A7,'Combined Data'!$B$2:$AK$2))*10^12</f>
        <v>292984807725191.69</v>
      </c>
      <c r="I7" s="342">
        <f>INDEX('Combined Data'!$B$75:$AK$75,1,MATCH('BPEiC-CO2'!$A7,'Combined Data'!$B$2:$AK$2))*10^12</f>
        <v>43555555555.555565</v>
      </c>
    </row>
    <row r="8" spans="1:9" x14ac:dyDescent="0.25">
      <c r="A8" s="110">
        <v>2021</v>
      </c>
      <c r="B8" s="342">
        <v>0</v>
      </c>
      <c r="C8" s="342">
        <f>INDEX('Combined Data'!$B$9:$AK$9,1,MATCH('BPEiC-CO2'!$A8,'Combined Data'!$B$2:$AK$2))*10^12</f>
        <v>269113665844108.94</v>
      </c>
      <c r="D8" s="342">
        <f>INDEX('Combined Data'!$B$20:$AK$20,1,MATCH('BPEiC-CO2'!$A8,'Combined Data'!$B$2:$AK$2))*10^12</f>
        <v>9170174676.4693775</v>
      </c>
      <c r="E8" s="342">
        <v>0</v>
      </c>
      <c r="F8" s="342">
        <f>INDEX('Combined Data'!$B$39:$AK$39,1,MATCH('BPEiC-CO2'!$A8,'Combined Data'!$B$2:$AK$2))*10^12</f>
        <v>73566984426641.516</v>
      </c>
      <c r="G8" s="342">
        <f>INDEX('Combined Data'!$B$47:$AK$47,1,MATCH('BPEiC-CO2'!$A8,'Combined Data'!$B$2:$AK$2))*10^12</f>
        <v>145050202935446</v>
      </c>
      <c r="H8" s="342">
        <f>INDEX('Combined Data'!$B$60:$AK$60,1,MATCH('BPEiC-CO2'!$A8,'Combined Data'!$B$2:$AK$2))*10^12</f>
        <v>297450250010251.56</v>
      </c>
      <c r="I8" s="342">
        <f>INDEX('Combined Data'!$B$75:$AK$75,1,MATCH('BPEiC-CO2'!$A8,'Combined Data'!$B$2:$AK$2))*10^12</f>
        <v>46666666666.666672</v>
      </c>
    </row>
    <row r="9" spans="1:9" x14ac:dyDescent="0.25">
      <c r="A9" s="110">
        <v>2022</v>
      </c>
      <c r="B9" s="342">
        <v>0</v>
      </c>
      <c r="C9" s="342">
        <f>INDEX('Combined Data'!$B$9:$AK$9,1,MATCH('BPEiC-CO2'!$A9,'Combined Data'!$B$2:$AK$2))*10^12</f>
        <v>271277272744833.97</v>
      </c>
      <c r="D9" s="342">
        <f>INDEX('Combined Data'!$B$20:$AK$20,1,MATCH('BPEiC-CO2'!$A9,'Combined Data'!$B$2:$AK$2))*10^12</f>
        <v>9066416722.9204121</v>
      </c>
      <c r="E9" s="342">
        <v>0</v>
      </c>
      <c r="F9" s="342">
        <f>INDEX('Combined Data'!$B$39:$AK$39,1,MATCH('BPEiC-CO2'!$A9,'Combined Data'!$B$2:$AK$2))*10^12</f>
        <v>75863973526614.828</v>
      </c>
      <c r="G9" s="342">
        <f>INDEX('Combined Data'!$B$47:$AK$47,1,MATCH('BPEiC-CO2'!$A9,'Combined Data'!$B$2:$AK$2))*10^12</f>
        <v>144516738252862.13</v>
      </c>
      <c r="H9" s="342">
        <f>INDEX('Combined Data'!$B$60:$AK$60,1,MATCH('BPEiC-CO2'!$A9,'Combined Data'!$B$2:$AK$2))*10^12</f>
        <v>299229538555656.88</v>
      </c>
      <c r="I9" s="342">
        <f>INDEX('Combined Data'!$B$75:$AK$75,1,MATCH('BPEiC-CO2'!$A9,'Combined Data'!$B$2:$AK$2))*10^12</f>
        <v>49777777777.777786</v>
      </c>
    </row>
    <row r="10" spans="1:9" x14ac:dyDescent="0.25">
      <c r="A10" s="110">
        <v>2023</v>
      </c>
      <c r="B10" s="342">
        <v>0</v>
      </c>
      <c r="C10" s="342">
        <f>INDEX('Combined Data'!$B$9:$AK$9,1,MATCH('BPEiC-CO2'!$A10,'Combined Data'!$B$2:$AK$2))*10^12</f>
        <v>274991551914396.03</v>
      </c>
      <c r="D10" s="342">
        <f>INDEX('Combined Data'!$B$20:$AK$20,1,MATCH('BPEiC-CO2'!$A10,'Combined Data'!$B$2:$AK$2))*10^12</f>
        <v>9111135740.8569374</v>
      </c>
      <c r="E10" s="342">
        <v>0</v>
      </c>
      <c r="F10" s="342">
        <f>INDEX('Combined Data'!$B$39:$AK$39,1,MATCH('BPEiC-CO2'!$A10,'Combined Data'!$B$2:$AK$2))*10^12</f>
        <v>75904245063197.844</v>
      </c>
      <c r="G10" s="342">
        <f>INDEX('Combined Data'!$B$47:$AK$47,1,MATCH('BPEiC-CO2'!$A10,'Combined Data'!$B$2:$AK$2))*10^12</f>
        <v>143948390450308.41</v>
      </c>
      <c r="H10" s="342">
        <f>INDEX('Combined Data'!$B$60:$AK$60,1,MATCH('BPEiC-CO2'!$A10,'Combined Data'!$B$2:$AK$2))*10^12</f>
        <v>301760512261027.06</v>
      </c>
      <c r="I10" s="342">
        <f>INDEX('Combined Data'!$B$75:$AK$75,1,MATCH('BPEiC-CO2'!$A10,'Combined Data'!$B$2:$AK$2))*10^12</f>
        <v>52888888888.888901</v>
      </c>
    </row>
    <row r="11" spans="1:9" x14ac:dyDescent="0.25">
      <c r="A11" s="110">
        <v>2024</v>
      </c>
      <c r="B11" s="342">
        <v>0</v>
      </c>
      <c r="C11" s="342">
        <f>INDEX('Combined Data'!$B$9:$AK$9,1,MATCH('BPEiC-CO2'!$A11,'Combined Data'!$B$2:$AK$2))*10^12</f>
        <v>278128760447230.66</v>
      </c>
      <c r="D11" s="342">
        <f>INDEX('Combined Data'!$B$20:$AK$20,1,MATCH('BPEiC-CO2'!$A11,'Combined Data'!$B$2:$AK$2))*10^12</f>
        <v>9263246035.4286461</v>
      </c>
      <c r="E11" s="342">
        <v>0</v>
      </c>
      <c r="F11" s="342">
        <f>INDEX('Combined Data'!$B$39:$AK$39,1,MATCH('BPEiC-CO2'!$A11,'Combined Data'!$B$2:$AK$2))*10^12</f>
        <v>75296589940397.969</v>
      </c>
      <c r="G11" s="342">
        <f>INDEX('Combined Data'!$B$47:$AK$47,1,MATCH('BPEiC-CO2'!$A11,'Combined Data'!$B$2:$AK$2))*10^12</f>
        <v>143336444097541.91</v>
      </c>
      <c r="H11" s="342">
        <f>INDEX('Combined Data'!$B$60:$AK$60,1,MATCH('BPEiC-CO2'!$A11,'Combined Data'!$B$2:$AK$2))*10^12</f>
        <v>302968306902522.19</v>
      </c>
      <c r="I11" s="342">
        <f>INDEX('Combined Data'!$B$75:$AK$75,1,MATCH('BPEiC-CO2'!$A11,'Combined Data'!$B$2:$AK$2))*10^12</f>
        <v>56000000000.000015</v>
      </c>
    </row>
    <row r="12" spans="1:9" x14ac:dyDescent="0.25">
      <c r="A12" s="110">
        <v>2025</v>
      </c>
      <c r="B12" s="342">
        <v>0</v>
      </c>
      <c r="C12" s="342">
        <f>INDEX('Combined Data'!$B$9:$AK$9,1,MATCH('BPEiC-CO2'!$A12,'Combined Data'!$B$2:$AK$2))*10^12</f>
        <v>281260590984125.38</v>
      </c>
      <c r="D12" s="342">
        <f>INDEX('Combined Data'!$B$20:$AK$20,1,MATCH('BPEiC-CO2'!$A12,'Combined Data'!$B$2:$AK$2))*10^12</f>
        <v>9541093150.376133</v>
      </c>
      <c r="E12" s="342">
        <v>0</v>
      </c>
      <c r="F12" s="342">
        <f>INDEX('Combined Data'!$B$39:$AK$39,1,MATCH('BPEiC-CO2'!$A12,'Combined Data'!$B$2:$AK$2))*10^12</f>
        <v>73258814230448.078</v>
      </c>
      <c r="G12" s="342">
        <f>INDEX('Combined Data'!$B$47:$AK$47,1,MATCH('BPEiC-CO2'!$A12,'Combined Data'!$B$2:$AK$2))*10^12</f>
        <v>142664856763214.47</v>
      </c>
      <c r="H12" s="342">
        <f>INDEX('Combined Data'!$B$60:$AK$60,1,MATCH('BPEiC-CO2'!$A12,'Combined Data'!$B$2:$AK$2))*10^12</f>
        <v>304847355512422.63</v>
      </c>
      <c r="I12" s="342">
        <f>INDEX('Combined Data'!$B$75:$AK$75,1,MATCH('BPEiC-CO2'!$A12,'Combined Data'!$B$2:$AK$2))*10^12</f>
        <v>59111111111.11113</v>
      </c>
    </row>
    <row r="13" spans="1:9" x14ac:dyDescent="0.25">
      <c r="A13" s="110">
        <v>2026</v>
      </c>
      <c r="B13" s="342">
        <v>0</v>
      </c>
      <c r="C13" s="342">
        <f>INDEX('Combined Data'!$B$9:$AK$9,1,MATCH('BPEiC-CO2'!$A13,'Combined Data'!$B$2:$AK$2))*10^12</f>
        <v>284924321218085.5</v>
      </c>
      <c r="D13" s="342">
        <f>INDEX('Combined Data'!$B$20:$AK$20,1,MATCH('BPEiC-CO2'!$A13,'Combined Data'!$B$2:$AK$2))*10^12</f>
        <v>9940029526.3281689</v>
      </c>
      <c r="E13" s="342">
        <v>0</v>
      </c>
      <c r="F13" s="342">
        <f>INDEX('Combined Data'!$B$39:$AK$39,1,MATCH('BPEiC-CO2'!$A13,'Combined Data'!$B$2:$AK$2))*10^12</f>
        <v>72334729399707.938</v>
      </c>
      <c r="G13" s="342">
        <f>INDEX('Combined Data'!$B$47:$AK$47,1,MATCH('BPEiC-CO2'!$A13,'Combined Data'!$B$2:$AK$2))*10^12</f>
        <v>141955934501178.31</v>
      </c>
      <c r="H13" s="342">
        <f>INDEX('Combined Data'!$B$60:$AK$60,1,MATCH('BPEiC-CO2'!$A13,'Combined Data'!$B$2:$AK$2))*10^12</f>
        <v>306487395049621.94</v>
      </c>
      <c r="I13" s="342">
        <f>INDEX('Combined Data'!$B$75:$AK$75,1,MATCH('BPEiC-CO2'!$A13,'Combined Data'!$B$2:$AK$2))*10^12</f>
        <v>62222222222.222237</v>
      </c>
    </row>
    <row r="14" spans="1:9" x14ac:dyDescent="0.25">
      <c r="A14" s="110">
        <v>2027</v>
      </c>
      <c r="B14" s="342">
        <v>0</v>
      </c>
      <c r="C14" s="342">
        <f>INDEX('Combined Data'!$B$9:$AK$9,1,MATCH('BPEiC-CO2'!$A14,'Combined Data'!$B$2:$AK$2))*10^12</f>
        <v>286525449381027.38</v>
      </c>
      <c r="D14" s="342">
        <f>INDEX('Combined Data'!$B$20:$AK$20,1,MATCH('BPEiC-CO2'!$A14,'Combined Data'!$B$2:$AK$2))*10^12</f>
        <v>10201563863.544411</v>
      </c>
      <c r="E14" s="342">
        <v>0</v>
      </c>
      <c r="F14" s="342">
        <f>INDEX('Combined Data'!$B$39:$AK$39,1,MATCH('BPEiC-CO2'!$A14,'Combined Data'!$B$2:$AK$2))*10^12</f>
        <v>72563989009760.484</v>
      </c>
      <c r="G14" s="342">
        <f>INDEX('Combined Data'!$B$47:$AK$47,1,MATCH('BPEiC-CO2'!$A14,'Combined Data'!$B$2:$AK$2))*10^12</f>
        <v>141368944822112.94</v>
      </c>
      <c r="H14" s="342">
        <f>INDEX('Combined Data'!$B$60:$AK$60,1,MATCH('BPEiC-CO2'!$A14,'Combined Data'!$B$2:$AK$2))*10^12</f>
        <v>309940358850781.63</v>
      </c>
      <c r="I14" s="342">
        <f>INDEX('Combined Data'!$B$75:$AK$75,1,MATCH('BPEiC-CO2'!$A14,'Combined Data'!$B$2:$AK$2))*10^12</f>
        <v>65333333333.333344</v>
      </c>
    </row>
    <row r="15" spans="1:9" x14ac:dyDescent="0.25">
      <c r="A15" s="110">
        <v>2028</v>
      </c>
      <c r="B15" s="342">
        <v>0</v>
      </c>
      <c r="C15" s="342">
        <f>INDEX('Combined Data'!$B$9:$AK$9,1,MATCH('BPEiC-CO2'!$A15,'Combined Data'!$B$2:$AK$2))*10^12</f>
        <v>287630444761694.25</v>
      </c>
      <c r="D15" s="342">
        <f>INDEX('Combined Data'!$B$20:$AK$20,1,MATCH('BPEiC-CO2'!$A15,'Combined Data'!$B$2:$AK$2))*10^12</f>
        <v>10527976795.521832</v>
      </c>
      <c r="E15" s="342">
        <v>0</v>
      </c>
      <c r="F15" s="342">
        <f>INDEX('Combined Data'!$B$39:$AK$39,1,MATCH('BPEiC-CO2'!$A15,'Combined Data'!$B$2:$AK$2))*10^12</f>
        <v>71930161064535.297</v>
      </c>
      <c r="G15" s="342">
        <f>INDEX('Combined Data'!$B$47:$AK$47,1,MATCH('BPEiC-CO2'!$A15,'Combined Data'!$B$2:$AK$2))*10^12</f>
        <v>140829976674355.13</v>
      </c>
      <c r="H15" s="342">
        <f>INDEX('Combined Data'!$B$60:$AK$60,1,MATCH('BPEiC-CO2'!$A15,'Combined Data'!$B$2:$AK$2))*10^12</f>
        <v>313445296307665.13</v>
      </c>
      <c r="I15" s="342">
        <f>INDEX('Combined Data'!$B$75:$AK$75,1,MATCH('BPEiC-CO2'!$A15,'Combined Data'!$B$2:$AK$2))*10^12</f>
        <v>68444444444.444458</v>
      </c>
    </row>
    <row r="16" spans="1:9" x14ac:dyDescent="0.25">
      <c r="A16" s="110">
        <v>2029</v>
      </c>
      <c r="B16" s="342">
        <v>0</v>
      </c>
      <c r="C16" s="342">
        <f>INDEX('Combined Data'!$B$9:$AK$9,1,MATCH('BPEiC-CO2'!$A16,'Combined Data'!$B$2:$AK$2))*10^12</f>
        <v>288749620951366</v>
      </c>
      <c r="D16" s="342">
        <f>INDEX('Combined Data'!$B$20:$AK$20,1,MATCH('BPEiC-CO2'!$A16,'Combined Data'!$B$2:$AK$2))*10^12</f>
        <v>10781914875.685093</v>
      </c>
      <c r="E16" s="342">
        <v>0</v>
      </c>
      <c r="F16" s="342">
        <f>INDEX('Combined Data'!$B$39:$AK$39,1,MATCH('BPEiC-CO2'!$A16,'Combined Data'!$B$2:$AK$2))*10^12</f>
        <v>71864455588485.016</v>
      </c>
      <c r="G16" s="342">
        <f>INDEX('Combined Data'!$B$47:$AK$47,1,MATCH('BPEiC-CO2'!$A16,'Combined Data'!$B$2:$AK$2))*10^12</f>
        <v>140310985844258.59</v>
      </c>
      <c r="H16" s="342">
        <f>INDEX('Combined Data'!$B$60:$AK$60,1,MATCH('BPEiC-CO2'!$A16,'Combined Data'!$B$2:$AK$2))*10^12</f>
        <v>317003131997728.19</v>
      </c>
      <c r="I16" s="342">
        <f>INDEX('Combined Data'!$B$75:$AK$75,1,MATCH('BPEiC-CO2'!$A16,'Combined Data'!$B$2:$AK$2))*10^12</f>
        <v>71555555555.555573</v>
      </c>
    </row>
    <row r="17" spans="1:9" x14ac:dyDescent="0.25">
      <c r="A17" s="110">
        <v>2030</v>
      </c>
      <c r="B17" s="342">
        <v>0</v>
      </c>
      <c r="C17" s="342">
        <f>INDEX('Combined Data'!$B$9:$AK$9,1,MATCH('BPEiC-CO2'!$A17,'Combined Data'!$B$2:$AK$2))*10^12</f>
        <v>289424338175074.44</v>
      </c>
      <c r="D17" s="342">
        <f>INDEX('Combined Data'!$B$20:$AK$20,1,MATCH('BPEiC-CO2'!$A17,'Combined Data'!$B$2:$AK$2))*10^12</f>
        <v>11052171794.465816</v>
      </c>
      <c r="E17" s="342">
        <v>0</v>
      </c>
      <c r="F17" s="342">
        <f>INDEX('Combined Data'!$B$39:$AK$39,1,MATCH('BPEiC-CO2'!$A17,'Combined Data'!$B$2:$AK$2))*10^12</f>
        <v>71700890729347.328</v>
      </c>
      <c r="G17" s="342">
        <f>INDEX('Combined Data'!$B$47:$AK$47,1,MATCH('BPEiC-CO2'!$A17,'Combined Data'!$B$2:$AK$2))*10^12</f>
        <v>139761383171253.36</v>
      </c>
      <c r="H17" s="342">
        <f>INDEX('Combined Data'!$B$60:$AK$60,1,MATCH('BPEiC-CO2'!$A17,'Combined Data'!$B$2:$AK$2))*10^12</f>
        <v>319596546778981.06</v>
      </c>
      <c r="I17" s="342">
        <f>INDEX('Combined Data'!$B$75:$AK$75,1,MATCH('BPEiC-CO2'!$A17,'Combined Data'!$B$2:$AK$2))*10^12</f>
        <v>74666666666.666687</v>
      </c>
    </row>
    <row r="18" spans="1:9" x14ac:dyDescent="0.25">
      <c r="A18" s="110">
        <v>2031</v>
      </c>
      <c r="B18" s="342">
        <v>0</v>
      </c>
      <c r="C18" s="342">
        <f>INDEX('Combined Data'!$B$9:$AK$9,1,MATCH('BPEiC-CO2'!$A18,'Combined Data'!$B$2:$AK$2))*10^12</f>
        <v>289882272320922.38</v>
      </c>
      <c r="D18" s="342">
        <f>INDEX('Combined Data'!$B$20:$AK$20,1,MATCH('BPEiC-CO2'!$A18,'Combined Data'!$B$2:$AK$2))*10^12</f>
        <v>11474343781.668961</v>
      </c>
      <c r="E18" s="342">
        <v>0</v>
      </c>
      <c r="F18" s="342">
        <f>INDEX('Combined Data'!$B$39:$AK$39,1,MATCH('BPEiC-CO2'!$A18,'Combined Data'!$B$2:$AK$2))*10^12</f>
        <v>71954439484498.953</v>
      </c>
      <c r="G18" s="342">
        <f>INDEX('Combined Data'!$B$47:$AK$47,1,MATCH('BPEiC-CO2'!$A18,'Combined Data'!$B$2:$AK$2))*10^12</f>
        <v>139210808471098.77</v>
      </c>
      <c r="H18" s="342">
        <f>INDEX('Combined Data'!$B$60:$AK$60,1,MATCH('BPEiC-CO2'!$A18,'Combined Data'!$B$2:$AK$2))*10^12</f>
        <v>322229710604009.69</v>
      </c>
      <c r="I18" s="342">
        <f>INDEX('Combined Data'!$B$75:$AK$75,1,MATCH('BPEiC-CO2'!$A18,'Combined Data'!$B$2:$AK$2))*10^12</f>
        <v>77777777777.777802</v>
      </c>
    </row>
    <row r="19" spans="1:9" x14ac:dyDescent="0.25">
      <c r="A19" s="110">
        <v>2032</v>
      </c>
      <c r="B19" s="342">
        <v>0</v>
      </c>
      <c r="C19" s="342">
        <f>INDEX('Combined Data'!$B$9:$AK$9,1,MATCH('BPEiC-CO2'!$A19,'Combined Data'!$B$2:$AK$2))*10^12</f>
        <v>290636412601143.25</v>
      </c>
      <c r="D19" s="342">
        <f>INDEX('Combined Data'!$B$20:$AK$20,1,MATCH('BPEiC-CO2'!$A19,'Combined Data'!$B$2:$AK$2))*10^12</f>
        <v>11801358892.449827</v>
      </c>
      <c r="E19" s="342">
        <v>0</v>
      </c>
      <c r="F19" s="342">
        <f>INDEX('Combined Data'!$B$39:$AK$39,1,MATCH('BPEiC-CO2'!$A19,'Combined Data'!$B$2:$AK$2))*10^12</f>
        <v>72713441245257.172</v>
      </c>
      <c r="G19" s="342">
        <f>INDEX('Combined Data'!$B$47:$AK$47,1,MATCH('BPEiC-CO2'!$A19,'Combined Data'!$B$2:$AK$2))*10^12</f>
        <v>138676011243706.94</v>
      </c>
      <c r="H19" s="342">
        <f>INDEX('Combined Data'!$B$60:$AK$60,1,MATCH('BPEiC-CO2'!$A19,'Combined Data'!$B$2:$AK$2))*10^12</f>
        <v>324903417421943.19</v>
      </c>
      <c r="I19" s="342">
        <f>INDEX('Combined Data'!$B$75:$AK$75,1,MATCH('BPEiC-CO2'!$A19,'Combined Data'!$B$2:$AK$2))*10^12</f>
        <v>80888888888.888916</v>
      </c>
    </row>
    <row r="20" spans="1:9" x14ac:dyDescent="0.25">
      <c r="A20" s="110">
        <v>2033</v>
      </c>
      <c r="B20" s="342">
        <v>0</v>
      </c>
      <c r="C20" s="342">
        <f>INDEX('Combined Data'!$B$9:$AK$9,1,MATCH('BPEiC-CO2'!$A20,'Combined Data'!$B$2:$AK$2))*10^12</f>
        <v>290837244992476.5</v>
      </c>
      <c r="D20" s="342">
        <f>INDEX('Combined Data'!$B$20:$AK$20,1,MATCH('BPEiC-CO2'!$A20,'Combined Data'!$B$2:$AK$2))*10^12</f>
        <v>11922282884.583145</v>
      </c>
      <c r="E20" s="342">
        <v>0</v>
      </c>
      <c r="F20" s="342">
        <f>INDEX('Combined Data'!$B$39:$AK$39,1,MATCH('BPEiC-CO2'!$A20,'Combined Data'!$B$2:$AK$2))*10^12</f>
        <v>73155597345535.672</v>
      </c>
      <c r="G20" s="342">
        <f>INDEX('Combined Data'!$B$47:$AK$47,1,MATCH('BPEiC-CO2'!$A20,'Combined Data'!$B$2:$AK$2))*10^12</f>
        <v>138171944470220.84</v>
      </c>
      <c r="H20" s="342">
        <f>INDEX('Combined Data'!$B$60:$AK$60,1,MATCH('BPEiC-CO2'!$A20,'Combined Data'!$B$2:$AK$2))*10^12</f>
        <v>327618479266100.88</v>
      </c>
      <c r="I20" s="342">
        <f>INDEX('Combined Data'!$B$75:$AK$75,1,MATCH('BPEiC-CO2'!$A20,'Combined Data'!$B$2:$AK$2))*10^12</f>
        <v>84000000000.000031</v>
      </c>
    </row>
    <row r="21" spans="1:9" x14ac:dyDescent="0.25">
      <c r="A21" s="110">
        <v>2034</v>
      </c>
      <c r="B21" s="342">
        <v>0</v>
      </c>
      <c r="C21" s="342">
        <f>INDEX('Combined Data'!$B$9:$AK$9,1,MATCH('BPEiC-CO2'!$A21,'Combined Data'!$B$2:$AK$2))*10^12</f>
        <v>292580991091135.81</v>
      </c>
      <c r="D21" s="342">
        <f>INDEX('Combined Data'!$B$20:$AK$20,1,MATCH('BPEiC-CO2'!$A21,'Combined Data'!$B$2:$AK$2))*10^12</f>
        <v>12159414745.645452</v>
      </c>
      <c r="E21" s="342">
        <v>0</v>
      </c>
      <c r="F21" s="342">
        <f>INDEX('Combined Data'!$B$39:$AK$39,1,MATCH('BPEiC-CO2'!$A21,'Combined Data'!$B$2:$AK$2))*10^12</f>
        <v>72549420464143.234</v>
      </c>
      <c r="G21" s="342">
        <f>INDEX('Combined Data'!$B$47:$AK$47,1,MATCH('BPEiC-CO2'!$A21,'Combined Data'!$B$2:$AK$2))*10^12</f>
        <v>137696697558163.09</v>
      </c>
      <c r="H21" s="342">
        <f>INDEX('Combined Data'!$B$60:$AK$60,1,MATCH('BPEiC-CO2'!$A21,'Combined Data'!$B$2:$AK$2))*10^12</f>
        <v>330375726676936.38</v>
      </c>
      <c r="I21" s="342">
        <f>INDEX('Combined Data'!$B$75:$AK$75,1,MATCH('BPEiC-CO2'!$A21,'Combined Data'!$B$2:$AK$2))*10^12</f>
        <v>87111111111.111145</v>
      </c>
    </row>
    <row r="22" spans="1:9" x14ac:dyDescent="0.25">
      <c r="A22" s="110">
        <v>2035</v>
      </c>
      <c r="B22" s="342">
        <v>0</v>
      </c>
      <c r="C22" s="342">
        <f>INDEX('Combined Data'!$B$9:$AK$9,1,MATCH('BPEiC-CO2'!$A22,'Combined Data'!$B$2:$AK$2))*10^12</f>
        <v>295232227756932.19</v>
      </c>
      <c r="D22" s="342">
        <f>INDEX('Combined Data'!$B$20:$AK$20,1,MATCH('BPEiC-CO2'!$A22,'Combined Data'!$B$2:$AK$2))*10^12</f>
        <v>12331469021.627159</v>
      </c>
      <c r="E22" s="342">
        <v>0</v>
      </c>
      <c r="F22" s="342">
        <f>INDEX('Combined Data'!$B$39:$AK$39,1,MATCH('BPEiC-CO2'!$A22,'Combined Data'!$B$2:$AK$2))*10^12</f>
        <v>72878260726682.469</v>
      </c>
      <c r="G22" s="342">
        <f>INDEX('Combined Data'!$B$47:$AK$47,1,MATCH('BPEiC-CO2'!$A22,'Combined Data'!$B$2:$AK$2))*10^12</f>
        <v>137251570826017.41</v>
      </c>
      <c r="H22" s="342">
        <f>INDEX('Combined Data'!$B$60:$AK$60,1,MATCH('BPEiC-CO2'!$A22,'Combined Data'!$B$2:$AK$2))*10^12</f>
        <v>333176009135049.19</v>
      </c>
      <c r="I22" s="342">
        <f>INDEX('Combined Data'!$B$75:$AK$75,1,MATCH('BPEiC-CO2'!$A22,'Combined Data'!$B$2:$AK$2))*10^12</f>
        <v>90222222222.22226</v>
      </c>
    </row>
    <row r="23" spans="1:9" x14ac:dyDescent="0.25">
      <c r="A23" s="110">
        <v>2036</v>
      </c>
      <c r="B23" s="342">
        <v>0</v>
      </c>
      <c r="C23" s="342">
        <f>INDEX('Combined Data'!$B$9:$AK$9,1,MATCH('BPEiC-CO2'!$A23,'Combined Data'!$B$2:$AK$2))*10^12</f>
        <v>298129832872851.88</v>
      </c>
      <c r="D23" s="342">
        <f>INDEX('Combined Data'!$B$20:$AK$20,1,MATCH('BPEiC-CO2'!$A23,'Combined Data'!$B$2:$AK$2))*10^12</f>
        <v>12644831778.932852</v>
      </c>
      <c r="E23" s="342">
        <v>0</v>
      </c>
      <c r="F23" s="342">
        <f>INDEX('Combined Data'!$B$39:$AK$39,1,MATCH('BPEiC-CO2'!$A23,'Combined Data'!$B$2:$AK$2))*10^12</f>
        <v>74221884183605.453</v>
      </c>
      <c r="G23" s="342">
        <f>INDEX('Combined Data'!$B$47:$AK$47,1,MATCH('BPEiC-CO2'!$A23,'Combined Data'!$B$2:$AK$2))*10^12</f>
        <v>136815219296596.06</v>
      </c>
      <c r="H23" s="342">
        <f>INDEX('Combined Data'!$B$60:$AK$60,1,MATCH('BPEiC-CO2'!$A23,'Combined Data'!$B$2:$AK$2))*10^12</f>
        <v>336020195504503.19</v>
      </c>
      <c r="I23" s="342">
        <f>INDEX('Combined Data'!$B$75:$AK$75,1,MATCH('BPEiC-CO2'!$A23,'Combined Data'!$B$2:$AK$2))*10^12</f>
        <v>93333333333.333359</v>
      </c>
    </row>
    <row r="24" spans="1:9" x14ac:dyDescent="0.25">
      <c r="A24" s="110">
        <v>2037</v>
      </c>
      <c r="B24" s="342">
        <v>0</v>
      </c>
      <c r="C24" s="342">
        <f>INDEX('Combined Data'!$B$9:$AK$9,1,MATCH('BPEiC-CO2'!$A24,'Combined Data'!$B$2:$AK$2))*10^12</f>
        <v>300517098487308.19</v>
      </c>
      <c r="D24" s="342">
        <f>INDEX('Combined Data'!$B$20:$AK$20,1,MATCH('BPEiC-CO2'!$A24,'Combined Data'!$B$2:$AK$2))*10^12</f>
        <v>12756978195.948931</v>
      </c>
      <c r="E24" s="342">
        <v>0</v>
      </c>
      <c r="F24" s="342">
        <f>INDEX('Combined Data'!$B$39:$AK$39,1,MATCH('BPEiC-CO2'!$A24,'Combined Data'!$B$2:$AK$2))*10^12</f>
        <v>76125318217649.953</v>
      </c>
      <c r="G24" s="342">
        <f>INDEX('Combined Data'!$B$47:$AK$47,1,MATCH('BPEiC-CO2'!$A24,'Combined Data'!$B$2:$AK$2))*10^12</f>
        <v>136389357211578.36</v>
      </c>
      <c r="H24" s="342">
        <f>INDEX('Combined Data'!$B$60:$AK$60,1,MATCH('BPEiC-CO2'!$A24,'Combined Data'!$B$2:$AK$2))*10^12</f>
        <v>338909174486698.38</v>
      </c>
      <c r="I24" s="342">
        <f>INDEX('Combined Data'!$B$75:$AK$75,1,MATCH('BPEiC-CO2'!$A24,'Combined Data'!$B$2:$AK$2))*10^12</f>
        <v>96444444444.444473</v>
      </c>
    </row>
    <row r="25" spans="1:9" x14ac:dyDescent="0.25">
      <c r="A25" s="110">
        <v>2038</v>
      </c>
      <c r="B25" s="342">
        <v>0</v>
      </c>
      <c r="C25" s="342">
        <f>INDEX('Combined Data'!$B$9:$AK$9,1,MATCH('BPEiC-CO2'!$A25,'Combined Data'!$B$2:$AK$2))*10^12</f>
        <v>302891585193209.56</v>
      </c>
      <c r="D25" s="342">
        <f>INDEX('Combined Data'!$B$20:$AK$20,1,MATCH('BPEiC-CO2'!$A25,'Combined Data'!$B$2:$AK$2))*10^12</f>
        <v>12796364818.106352</v>
      </c>
      <c r="E25" s="342">
        <v>0</v>
      </c>
      <c r="F25" s="342">
        <f>INDEX('Combined Data'!$B$39:$AK$39,1,MATCH('BPEiC-CO2'!$A25,'Combined Data'!$B$2:$AK$2))*10^12</f>
        <v>77313073350888.438</v>
      </c>
      <c r="G25" s="342">
        <f>INDEX('Combined Data'!$B$47:$AK$47,1,MATCH('BPEiC-CO2'!$A25,'Combined Data'!$B$2:$AK$2))*10^12</f>
        <v>135983284763293.31</v>
      </c>
      <c r="H25" s="342">
        <f>INDEX('Combined Data'!$B$60:$AK$60,1,MATCH('BPEiC-CO2'!$A25,'Combined Data'!$B$2:$AK$2))*10^12</f>
        <v>341843855085045.69</v>
      </c>
      <c r="I25" s="342">
        <f>INDEX('Combined Data'!$B$75:$AK$75,1,MATCH('BPEiC-CO2'!$A25,'Combined Data'!$B$2:$AK$2))*10^12</f>
        <v>99555555555.555588</v>
      </c>
    </row>
    <row r="26" spans="1:9" x14ac:dyDescent="0.25">
      <c r="A26" s="110">
        <v>2039</v>
      </c>
      <c r="B26" s="342">
        <v>0</v>
      </c>
      <c r="C26" s="342">
        <f>INDEX('Combined Data'!$B$9:$AK$9,1,MATCH('BPEiC-CO2'!$A26,'Combined Data'!$B$2:$AK$2))*10^12</f>
        <v>304953503044106.63</v>
      </c>
      <c r="D26" s="342">
        <f>INDEX('Combined Data'!$B$20:$AK$20,1,MATCH('BPEiC-CO2'!$A26,'Combined Data'!$B$2:$AK$2))*10^12</f>
        <v>13066493630.562872</v>
      </c>
      <c r="E26" s="342">
        <v>0</v>
      </c>
      <c r="F26" s="342">
        <f>INDEX('Combined Data'!$B$39:$AK$39,1,MATCH('BPEiC-CO2'!$A26,'Combined Data'!$B$2:$AK$2))*10^12</f>
        <v>77657687056540.219</v>
      </c>
      <c r="G26" s="342">
        <f>INDEX('Combined Data'!$B$47:$AK$47,1,MATCH('BPEiC-CO2'!$A26,'Combined Data'!$B$2:$AK$2))*10^12</f>
        <v>135576365966005.42</v>
      </c>
      <c r="H26" s="342">
        <f>INDEX('Combined Data'!$B$60:$AK$60,1,MATCH('BPEiC-CO2'!$A26,'Combined Data'!$B$2:$AK$2))*10^12</f>
        <v>344825167080704.06</v>
      </c>
      <c r="I26" s="342">
        <f>INDEX('Combined Data'!$B$75:$AK$75,1,MATCH('BPEiC-CO2'!$A26,'Combined Data'!$B$2:$AK$2))*10^12</f>
        <v>102666666666.6667</v>
      </c>
    </row>
    <row r="27" spans="1:9" x14ac:dyDescent="0.25">
      <c r="A27" s="110">
        <v>2040</v>
      </c>
      <c r="B27" s="342">
        <v>0</v>
      </c>
      <c r="C27" s="342">
        <f>INDEX('Combined Data'!$B$9:$AK$9,1,MATCH('BPEiC-CO2'!$A27,'Combined Data'!$B$2:$AK$2))*10^12</f>
        <v>306314466422112.63</v>
      </c>
      <c r="D27" s="342">
        <f>INDEX('Combined Data'!$B$20:$AK$20,1,MATCH('BPEiC-CO2'!$A27,'Combined Data'!$B$2:$AK$2))*10^12</f>
        <v>13361127716.944477</v>
      </c>
      <c r="E27" s="342">
        <v>0</v>
      </c>
      <c r="F27" s="342">
        <f>INDEX('Combined Data'!$B$39:$AK$39,1,MATCH('BPEiC-CO2'!$A27,'Combined Data'!$B$2:$AK$2))*10^12</f>
        <v>78148947315400.016</v>
      </c>
      <c r="G27" s="342">
        <f>INDEX('Combined Data'!$B$47:$AK$47,1,MATCH('BPEiC-CO2'!$A27,'Combined Data'!$B$2:$AK$2))*10^12</f>
        <v>135160923601444.06</v>
      </c>
      <c r="H27" s="342">
        <f>INDEX('Combined Data'!$B$60:$AK$60,1,MATCH('BPEiC-CO2'!$A27,'Combined Data'!$B$2:$AK$2))*10^12</f>
        <v>347854061519640.31</v>
      </c>
      <c r="I27" s="342">
        <f>INDEX('Combined Data'!$B$75:$AK$75,1,MATCH('BPEiC-CO2'!$A27,'Combined Data'!$B$2:$AK$2))*10^12</f>
        <v>105777777777.77782</v>
      </c>
    </row>
    <row r="28" spans="1:9" x14ac:dyDescent="0.25">
      <c r="A28" s="110">
        <v>2041</v>
      </c>
      <c r="B28" s="342">
        <v>0</v>
      </c>
      <c r="C28" s="342">
        <f>INDEX('Combined Data'!$B$9:$AK$9,1,MATCH('BPEiC-CO2'!$A28,'Combined Data'!$B$2:$AK$2))*10^12</f>
        <v>307390520772525.88</v>
      </c>
      <c r="D28" s="342">
        <f>INDEX('Combined Data'!$B$20:$AK$20,1,MATCH('BPEiC-CO2'!$A28,'Combined Data'!$B$2:$AK$2))*10^12</f>
        <v>13696349863.14554</v>
      </c>
      <c r="E28" s="342">
        <v>0</v>
      </c>
      <c r="F28" s="342">
        <f>INDEX('Combined Data'!$B$39:$AK$39,1,MATCH('BPEiC-CO2'!$A28,'Combined Data'!$B$2:$AK$2))*10^12</f>
        <v>78115032246214.297</v>
      </c>
      <c r="G28" s="342">
        <f>INDEX('Combined Data'!$B$47:$AK$47,1,MATCH('BPEiC-CO2'!$A28,'Combined Data'!$B$2:$AK$2))*10^12</f>
        <v>134741462955745.81</v>
      </c>
      <c r="H28" s="342">
        <f>INDEX('Combined Data'!$B$60:$AK$60,1,MATCH('BPEiC-CO2'!$A28,'Combined Data'!$B$2:$AK$2))*10^12</f>
        <v>350931511211284.81</v>
      </c>
      <c r="I28" s="342">
        <f>INDEX('Combined Data'!$B$75:$AK$75,1,MATCH('BPEiC-CO2'!$A28,'Combined Data'!$B$2:$AK$2))*10^12</f>
        <v>108888888888.88893</v>
      </c>
    </row>
    <row r="29" spans="1:9" x14ac:dyDescent="0.25">
      <c r="A29" s="110">
        <v>2042</v>
      </c>
      <c r="B29" s="342">
        <v>0</v>
      </c>
      <c r="C29" s="342">
        <f>INDEX('Combined Data'!$B$9:$AK$9,1,MATCH('BPEiC-CO2'!$A29,'Combined Data'!$B$2:$AK$2))*10^12</f>
        <v>308060450619356.38</v>
      </c>
      <c r="D29" s="342">
        <f>INDEX('Combined Data'!$B$20:$AK$20,1,MATCH('BPEiC-CO2'!$A29,'Combined Data'!$B$2:$AK$2))*10^12</f>
        <v>13934475530.702873</v>
      </c>
      <c r="E29" s="342">
        <v>0</v>
      </c>
      <c r="F29" s="342">
        <f>INDEX('Combined Data'!$B$39:$AK$39,1,MATCH('BPEiC-CO2'!$A29,'Combined Data'!$B$2:$AK$2))*10^12</f>
        <v>78418988152351.141</v>
      </c>
      <c r="G29" s="342">
        <f>INDEX('Combined Data'!$B$47:$AK$47,1,MATCH('BPEiC-CO2'!$A29,'Combined Data'!$B$2:$AK$2))*10^12</f>
        <v>134339337519131.42</v>
      </c>
      <c r="H29" s="342">
        <f>INDEX('Combined Data'!$B$60:$AK$60,1,MATCH('BPEiC-CO2'!$A29,'Combined Data'!$B$2:$AK$2))*10^12</f>
        <v>354058511239055.44</v>
      </c>
      <c r="I29" s="342">
        <f>INDEX('Combined Data'!$B$75:$AK$75,1,MATCH('BPEiC-CO2'!$A29,'Combined Data'!$B$2:$AK$2))*10^12</f>
        <v>112000000000.00003</v>
      </c>
    </row>
    <row r="30" spans="1:9" x14ac:dyDescent="0.25">
      <c r="A30" s="110">
        <v>2043</v>
      </c>
      <c r="B30" s="342">
        <v>0</v>
      </c>
      <c r="C30" s="342">
        <f>INDEX('Combined Data'!$B$9:$AK$9,1,MATCH('BPEiC-CO2'!$A30,'Combined Data'!$B$2:$AK$2))*10^12</f>
        <v>309116676370660.94</v>
      </c>
      <c r="D30" s="342">
        <f>INDEX('Combined Data'!$B$20:$AK$20,1,MATCH('BPEiC-CO2'!$A30,'Combined Data'!$B$2:$AK$2))*10^12</f>
        <v>14117580331.456083</v>
      </c>
      <c r="E30" s="342">
        <v>0</v>
      </c>
      <c r="F30" s="342">
        <f>INDEX('Combined Data'!$B$39:$AK$39,1,MATCH('BPEiC-CO2'!$A30,'Combined Data'!$B$2:$AK$2))*10^12</f>
        <v>78460165505601.156</v>
      </c>
      <c r="G30" s="342">
        <f>INDEX('Combined Data'!$B$47:$AK$47,1,MATCH('BPEiC-CO2'!$A30,'Combined Data'!$B$2:$AK$2))*10^12</f>
        <v>133961514668121.25</v>
      </c>
      <c r="H30" s="342">
        <f>INDEX('Combined Data'!$B$60:$AK$60,1,MATCH('BPEiC-CO2'!$A30,'Combined Data'!$B$2:$AK$2))*10^12</f>
        <v>357236079483035.38</v>
      </c>
      <c r="I30" s="342">
        <f>INDEX('Combined Data'!$B$75:$AK$75,1,MATCH('BPEiC-CO2'!$A30,'Combined Data'!$B$2:$AK$2))*10^12</f>
        <v>115111111111.11113</v>
      </c>
    </row>
    <row r="31" spans="1:9" x14ac:dyDescent="0.25">
      <c r="A31" s="110">
        <v>2044</v>
      </c>
      <c r="B31" s="342">
        <v>0</v>
      </c>
      <c r="C31" s="342">
        <f>INDEX('Combined Data'!$B$9:$AK$9,1,MATCH('BPEiC-CO2'!$A31,'Combined Data'!$B$2:$AK$2))*10^12</f>
        <v>310530319969615.25</v>
      </c>
      <c r="D31" s="342">
        <f>INDEX('Combined Data'!$B$20:$AK$20,1,MATCH('BPEiC-CO2'!$A31,'Combined Data'!$B$2:$AK$2))*10^12</f>
        <v>14250905308.370369</v>
      </c>
      <c r="E31" s="342">
        <v>0</v>
      </c>
      <c r="F31" s="342">
        <f>INDEX('Combined Data'!$B$39:$AK$39,1,MATCH('BPEiC-CO2'!$A31,'Combined Data'!$B$2:$AK$2))*10^12</f>
        <v>78905005944601.578</v>
      </c>
      <c r="G31" s="342">
        <f>INDEX('Combined Data'!$B$47:$AK$47,1,MATCH('BPEiC-CO2'!$A31,'Combined Data'!$B$2:$AK$2))*10^12</f>
        <v>133585110551808.22</v>
      </c>
      <c r="H31" s="342">
        <f>INDEX('Combined Data'!$B$60:$AK$60,1,MATCH('BPEiC-CO2'!$A31,'Combined Data'!$B$2:$AK$2))*10^12</f>
        <v>360465257155093</v>
      </c>
      <c r="I31" s="342">
        <f>INDEX('Combined Data'!$B$75:$AK$75,1,MATCH('BPEiC-CO2'!$A31,'Combined Data'!$B$2:$AK$2))*10^12</f>
        <v>118222222222.22223</v>
      </c>
    </row>
    <row r="32" spans="1:9" x14ac:dyDescent="0.25">
      <c r="A32" s="110">
        <v>2045</v>
      </c>
      <c r="B32" s="342">
        <v>0</v>
      </c>
      <c r="C32" s="342">
        <f>INDEX('Combined Data'!$B$9:$AK$9,1,MATCH('BPEiC-CO2'!$A32,'Combined Data'!$B$2:$AK$2))*10^12</f>
        <v>312079263829464.88</v>
      </c>
      <c r="D32" s="342">
        <f>INDEX('Combined Data'!$B$20:$AK$20,1,MATCH('BPEiC-CO2'!$A32,'Combined Data'!$B$2:$AK$2))*10^12</f>
        <v>14333993140.805143</v>
      </c>
      <c r="E32" s="342">
        <v>0</v>
      </c>
      <c r="F32" s="342">
        <f>INDEX('Combined Data'!$B$39:$AK$39,1,MATCH('BPEiC-CO2'!$A32,'Combined Data'!$B$2:$AK$2))*10^12</f>
        <v>79584779767825.281</v>
      </c>
      <c r="G32" s="342">
        <f>INDEX('Combined Data'!$B$47:$AK$47,1,MATCH('BPEiC-CO2'!$A32,'Combined Data'!$B$2:$AK$2))*10^12</f>
        <v>133228525950193.53</v>
      </c>
      <c r="H32" s="342">
        <f>INDEX('Combined Data'!$B$60:$AK$60,1,MATCH('BPEiC-CO2'!$A32,'Combined Data'!$B$2:$AK$2))*10^12</f>
        <v>363747109346739.5</v>
      </c>
      <c r="I32" s="342">
        <f>INDEX('Combined Data'!$B$75:$AK$75,1,MATCH('BPEiC-CO2'!$A32,'Combined Data'!$B$2:$AK$2))*10^12</f>
        <v>121333333333.33333</v>
      </c>
    </row>
    <row r="33" spans="1:9" x14ac:dyDescent="0.25">
      <c r="A33" s="110">
        <v>2046</v>
      </c>
      <c r="B33" s="342">
        <v>0</v>
      </c>
      <c r="C33" s="342">
        <f>INDEX('Combined Data'!$B$9:$AK$9,1,MATCH('BPEiC-CO2'!$A33,'Combined Data'!$B$2:$AK$2))*10^12</f>
        <v>313564912512245.69</v>
      </c>
      <c r="D33" s="342">
        <f>INDEX('Combined Data'!$B$20:$AK$20,1,MATCH('BPEiC-CO2'!$A33,'Combined Data'!$B$2:$AK$2))*10^12</f>
        <v>14378127066.181599</v>
      </c>
      <c r="E33" s="342">
        <v>0</v>
      </c>
      <c r="F33" s="342">
        <f>INDEX('Combined Data'!$B$39:$AK$39,1,MATCH('BPEiC-CO2'!$A33,'Combined Data'!$B$2:$AK$2))*10^12</f>
        <v>79498391710265.219</v>
      </c>
      <c r="G33" s="342">
        <f>INDEX('Combined Data'!$B$47:$AK$47,1,MATCH('BPEiC-CO2'!$A33,'Combined Data'!$B$2:$AK$2))*10^12</f>
        <v>132870709924904.14</v>
      </c>
      <c r="H33" s="342">
        <f>INDEX('Combined Data'!$B$60:$AK$60,1,MATCH('BPEiC-CO2'!$A33,'Combined Data'!$B$2:$AK$2))*10^12</f>
        <v>367082725590028.69</v>
      </c>
      <c r="I33" s="342">
        <f>INDEX('Combined Data'!$B$75:$AK$75,1,MATCH('BPEiC-CO2'!$A33,'Combined Data'!$B$2:$AK$2))*10^12</f>
        <v>124444444444.44443</v>
      </c>
    </row>
    <row r="34" spans="1:9" x14ac:dyDescent="0.25">
      <c r="A34" s="110">
        <v>2047</v>
      </c>
      <c r="B34" s="342">
        <v>0</v>
      </c>
      <c r="C34" s="342">
        <f>INDEX('Combined Data'!$B$9:$AK$9,1,MATCH('BPEiC-CO2'!$A34,'Combined Data'!$B$2:$AK$2))*10^12</f>
        <v>314636487933669.31</v>
      </c>
      <c r="D34" s="342">
        <f>INDEX('Combined Data'!$B$20:$AK$20,1,MATCH('BPEiC-CO2'!$A34,'Combined Data'!$B$2:$AK$2))*10^12</f>
        <v>14473402500.589865</v>
      </c>
      <c r="E34" s="342">
        <v>0</v>
      </c>
      <c r="F34" s="342">
        <f>INDEX('Combined Data'!$B$39:$AK$39,1,MATCH('BPEiC-CO2'!$A34,'Combined Data'!$B$2:$AK$2))*10^12</f>
        <v>79990595073157.422</v>
      </c>
      <c r="G34" s="342">
        <f>INDEX('Combined Data'!$B$47:$AK$47,1,MATCH('BPEiC-CO2'!$A34,'Combined Data'!$B$2:$AK$2))*10^12</f>
        <v>132510472689723.66</v>
      </c>
      <c r="H34" s="342">
        <f>INDEX('Combined Data'!$B$60:$AK$60,1,MATCH('BPEiC-CO2'!$A34,'Combined Data'!$B$2:$AK$2))*10^12</f>
        <v>370473220431810.06</v>
      </c>
      <c r="I34" s="342">
        <f>INDEX('Combined Data'!$B$75:$AK$75,1,MATCH('BPEiC-CO2'!$A34,'Combined Data'!$B$2:$AK$2))*10^12</f>
        <v>127555555555.55553</v>
      </c>
    </row>
    <row r="35" spans="1:9" x14ac:dyDescent="0.25">
      <c r="A35" s="110">
        <v>2048</v>
      </c>
      <c r="B35" s="342">
        <v>0</v>
      </c>
      <c r="C35" s="342">
        <f>INDEX('Combined Data'!$B$9:$AK$9,1,MATCH('BPEiC-CO2'!$A35,'Combined Data'!$B$2:$AK$2))*10^12</f>
        <v>315653756541993.94</v>
      </c>
      <c r="D35" s="342">
        <f>INDEX('Combined Data'!$B$20:$AK$20,1,MATCH('BPEiC-CO2'!$A35,'Combined Data'!$B$2:$AK$2))*10^12</f>
        <v>14477474683.508299</v>
      </c>
      <c r="E35" s="342">
        <v>0</v>
      </c>
      <c r="F35" s="342">
        <f>INDEX('Combined Data'!$B$39:$AK$39,1,MATCH('BPEiC-CO2'!$A35,'Combined Data'!$B$2:$AK$2))*10^12</f>
        <v>80184388330242.719</v>
      </c>
      <c r="G35" s="342">
        <f>INDEX('Combined Data'!$B$47:$AK$47,1,MATCH('BPEiC-CO2'!$A35,'Combined Data'!$B$2:$AK$2))*10^12</f>
        <v>132167709555352.77</v>
      </c>
      <c r="H35" s="342">
        <f>INDEX('Combined Data'!$B$60:$AK$60,1,MATCH('BPEiC-CO2'!$A35,'Combined Data'!$B$2:$AK$2))*10^12</f>
        <v>373919734021650.5</v>
      </c>
      <c r="I35" s="342">
        <f>INDEX('Combined Data'!$B$75:$AK$75,1,MATCH('BPEiC-CO2'!$A35,'Combined Data'!$B$2:$AK$2))*10^12</f>
        <v>130666666666.66663</v>
      </c>
    </row>
    <row r="36" spans="1:9" x14ac:dyDescent="0.25">
      <c r="A36" s="110">
        <v>2049</v>
      </c>
      <c r="B36" s="342">
        <v>0</v>
      </c>
      <c r="C36" s="342">
        <f>INDEX('Combined Data'!$B$9:$AK$9,1,MATCH('BPEiC-CO2'!$A36,'Combined Data'!$B$2:$AK$2))*10^12</f>
        <v>316222452605398.5</v>
      </c>
      <c r="D36" s="342">
        <f>INDEX('Combined Data'!$B$20:$AK$20,1,MATCH('BPEiC-CO2'!$A36,'Combined Data'!$B$2:$AK$2))*10^12</f>
        <v>14515398378.12546</v>
      </c>
      <c r="E36" s="342">
        <v>0</v>
      </c>
      <c r="F36" s="342">
        <f>INDEX('Combined Data'!$B$39:$AK$39,1,MATCH('BPEiC-CO2'!$A36,'Combined Data'!$B$2:$AK$2))*10^12</f>
        <v>79948971809188.188</v>
      </c>
      <c r="G36" s="342">
        <f>INDEX('Combined Data'!$B$47:$AK$47,1,MATCH('BPEiC-CO2'!$A36,'Combined Data'!$B$2:$AK$2))*10^12</f>
        <v>131845248482256.36</v>
      </c>
      <c r="H36" s="342">
        <f>INDEX('Combined Data'!$B$60:$AK$60,1,MATCH('BPEiC-CO2'!$A36,'Combined Data'!$B$2:$AK$2))*10^12</f>
        <v>377423432713753.63</v>
      </c>
      <c r="I36" s="342">
        <f>INDEX('Combined Data'!$B$75:$AK$75,1,MATCH('BPEiC-CO2'!$A36,'Combined Data'!$B$2:$AK$2))*10^12</f>
        <v>133777777777.77773</v>
      </c>
    </row>
    <row r="37" spans="1:9" x14ac:dyDescent="0.25">
      <c r="A37" s="110">
        <v>2050</v>
      </c>
      <c r="B37" s="342">
        <v>0</v>
      </c>
      <c r="C37" s="342">
        <f>INDEX('Combined Data'!$B$9:$AK$9,1,MATCH('BPEiC-CO2'!$A37,'Combined Data'!$B$2:$AK$2))*10^12</f>
        <v>317584654630579.19</v>
      </c>
      <c r="D37" s="342">
        <f>INDEX('Combined Data'!$B$20:$AK$20,1,MATCH('BPEiC-CO2'!$A37,'Combined Data'!$B$2:$AK$2))*10^12</f>
        <v>14535252112.067352</v>
      </c>
      <c r="E37" s="342">
        <v>0</v>
      </c>
      <c r="F37" s="342">
        <f>INDEX('Combined Data'!$B$39:$AK$39,1,MATCH('BPEiC-CO2'!$A37,'Combined Data'!$B$2:$AK$2))*10^12</f>
        <v>79894890792310.328</v>
      </c>
      <c r="G37" s="342">
        <f>INDEX('Combined Data'!$B$47:$AK$47,1,MATCH('BPEiC-CO2'!$A37,'Combined Data'!$B$2:$AK$2))*10^12</f>
        <v>131548812728532.63</v>
      </c>
      <c r="H37" s="342">
        <f>INDEX('Combined Data'!$B$60:$AK$60,1,MATCH('BPEiC-CO2'!$A37,'Combined Data'!$B$2:$AK$2))*10^12</f>
        <v>380985509683207.94</v>
      </c>
      <c r="I37" s="342">
        <f>INDEX('Combined Data'!$B$75:$AK$75,1,MATCH('BPEiC-CO2'!$A37,'Combined Data'!$B$2:$AK$2))*10^12</f>
        <v>136888888888.88884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3"/>
  </sheetPr>
  <dimension ref="A1:I37"/>
  <sheetViews>
    <sheetView zoomScaleNormal="100" workbookViewId="0">
      <selection activeCell="C9" sqref="A1:I37"/>
    </sheetView>
  </sheetViews>
  <sheetFormatPr defaultColWidth="10.28515625" defaultRowHeight="15" x14ac:dyDescent="0.25"/>
  <cols>
    <col min="1" max="1" width="10.28515625" style="110"/>
    <col min="2" max="9" width="20.140625" style="110" customWidth="1"/>
    <col min="10" max="16384" width="10.28515625" style="108"/>
  </cols>
  <sheetData>
    <row r="1" spans="1:9" x14ac:dyDescent="0.25">
      <c r="A1" s="110" t="s">
        <v>284</v>
      </c>
      <c r="B1" s="110" t="s">
        <v>1040</v>
      </c>
      <c r="C1" s="110" t="s">
        <v>1041</v>
      </c>
      <c r="D1" s="110" t="s">
        <v>1042</v>
      </c>
      <c r="E1" s="110" t="s">
        <v>1043</v>
      </c>
      <c r="F1" s="110" t="s">
        <v>1044</v>
      </c>
      <c r="G1" s="110" t="s">
        <v>1045</v>
      </c>
      <c r="H1" s="110" t="s">
        <v>1046</v>
      </c>
      <c r="I1" s="110" t="s">
        <v>1047</v>
      </c>
    </row>
    <row r="2" spans="1:9" x14ac:dyDescent="0.25">
      <c r="A2" s="110">
        <v>2015</v>
      </c>
      <c r="B2" s="342">
        <v>0</v>
      </c>
      <c r="C2" s="342">
        <v>0</v>
      </c>
      <c r="D2" s="342">
        <v>0</v>
      </c>
      <c r="E2" s="342">
        <f>INDEX('Combined Data'!$B$27:$AK$27,1,MATCH('BPEiC-CO2'!$A2,'Combined Data'!$B$2:$AK$2))*10^12</f>
        <v>14045000000000.002</v>
      </c>
      <c r="F2" s="342">
        <v>0</v>
      </c>
      <c r="G2" s="342">
        <f>INDEX('Combined Data'!$B$46:$AK$46,1,MATCH('BPEiC-CO2'!$A2,'Combined Data'!$B$2:$AK$2))*10^12</f>
        <v>6166842179765.2793</v>
      </c>
      <c r="H2" s="342">
        <f>INDEX('Combined Data'!$B$59:$AK$59,1,MATCH('BPEiC-CO2'!$A2,'Combined Data'!$B$2:$AK$2))*10^12</f>
        <v>239195417261944.69</v>
      </c>
      <c r="I2" s="342">
        <f>INDEX('Combined Data'!$B$74:$AK$74,1,MATCH('BPEiC-CO2'!$A2,'Combined Data'!$B$2:$AK$2))*10^12</f>
        <v>3975000000000</v>
      </c>
    </row>
    <row r="3" spans="1:9" x14ac:dyDescent="0.25">
      <c r="A3" s="110">
        <v>2016</v>
      </c>
      <c r="B3" s="342">
        <v>0</v>
      </c>
      <c r="C3" s="342">
        <v>0</v>
      </c>
      <c r="D3" s="342">
        <v>0</v>
      </c>
      <c r="E3" s="342">
        <f>INDEX('Combined Data'!$B$27:$AK$27,1,MATCH('BPEiC-CO2'!$A3,'Combined Data'!$B$2:$AK$2))*10^12</f>
        <v>14103888888888.889</v>
      </c>
      <c r="F3" s="342">
        <v>0</v>
      </c>
      <c r="G3" s="342">
        <f>INDEX('Combined Data'!$B$46:$AK$46,1,MATCH('BPEiC-CO2'!$A3,'Combined Data'!$B$2:$AK$2))*10^12</f>
        <v>6155295431846.1963</v>
      </c>
      <c r="H3" s="342">
        <f>INDEX('Combined Data'!$B$59:$AK$59,1,MATCH('BPEiC-CO2'!$A3,'Combined Data'!$B$2:$AK$2))*10^12</f>
        <v>240567756383090.72</v>
      </c>
      <c r="I3" s="342">
        <f>INDEX('Combined Data'!$B$74:$AK$74,1,MATCH('BPEiC-CO2'!$A3,'Combined Data'!$B$2:$AK$2))*10^12</f>
        <v>3994146250000</v>
      </c>
    </row>
    <row r="4" spans="1:9" x14ac:dyDescent="0.25">
      <c r="A4" s="110">
        <v>2017</v>
      </c>
      <c r="B4" s="342">
        <v>0</v>
      </c>
      <c r="C4" s="342">
        <v>0</v>
      </c>
      <c r="D4" s="342">
        <v>0</v>
      </c>
      <c r="E4" s="342">
        <f>INDEX('Combined Data'!$B$27:$AK$27,1,MATCH('BPEiC-CO2'!$A4,'Combined Data'!$B$2:$AK$2))*10^12</f>
        <v>14162777777777.777</v>
      </c>
      <c r="F4" s="342">
        <v>0</v>
      </c>
      <c r="G4" s="342">
        <f>INDEX('Combined Data'!$B$46:$AK$46,1,MATCH('BPEiC-CO2'!$A4,'Combined Data'!$B$2:$AK$2))*10^12</f>
        <v>6203389165028.2012</v>
      </c>
      <c r="H4" s="342">
        <f>INDEX('Combined Data'!$B$59:$AK$59,1,MATCH('BPEiC-CO2'!$A4,'Combined Data'!$B$2:$AK$2))*10^12</f>
        <v>240209583576998.13</v>
      </c>
      <c r="I4" s="342">
        <f>INDEX('Combined Data'!$B$74:$AK$74,1,MATCH('BPEiC-CO2'!$A4,'Combined Data'!$B$2:$AK$2))*10^12</f>
        <v>4012781464062.5</v>
      </c>
    </row>
    <row r="5" spans="1:9" x14ac:dyDescent="0.25">
      <c r="A5" s="110">
        <v>2018</v>
      </c>
      <c r="B5" s="342">
        <v>0</v>
      </c>
      <c r="C5" s="342">
        <v>0</v>
      </c>
      <c r="D5" s="342">
        <v>0</v>
      </c>
      <c r="E5" s="342">
        <f>INDEX('Combined Data'!$B$27:$AK$27,1,MATCH('BPEiC-CO2'!$A5,'Combined Data'!$B$2:$AK$2))*10^12</f>
        <v>14221666666666.664</v>
      </c>
      <c r="F5" s="342">
        <v>0</v>
      </c>
      <c r="G5" s="342">
        <f>INDEX('Combined Data'!$B$46:$AK$46,1,MATCH('BPEiC-CO2'!$A5,'Combined Data'!$B$2:$AK$2))*10^12</f>
        <v>6251317733827.3965</v>
      </c>
      <c r="H5" s="342">
        <f>INDEX('Combined Data'!$B$59:$AK$59,1,MATCH('BPEiC-CO2'!$A5,'Combined Data'!$B$2:$AK$2))*10^12</f>
        <v>239854433908987</v>
      </c>
      <c r="I5" s="342">
        <f>INDEX('Combined Data'!$B$74:$AK$74,1,MATCH('BPEiC-CO2'!$A5,'Combined Data'!$B$2:$AK$2))*10^12</f>
        <v>4030536087886.7188</v>
      </c>
    </row>
    <row r="6" spans="1:9" x14ac:dyDescent="0.25">
      <c r="A6" s="110">
        <v>2019</v>
      </c>
      <c r="B6" s="342">
        <v>0</v>
      </c>
      <c r="C6" s="342">
        <v>0</v>
      </c>
      <c r="D6" s="342">
        <v>0</v>
      </c>
      <c r="E6" s="342">
        <f>INDEX('Combined Data'!$B$27:$AK$27,1,MATCH('BPEiC-CO2'!$A6,'Combined Data'!$B$2:$AK$2))*10^12</f>
        <v>14280555555555.555</v>
      </c>
      <c r="F6" s="342">
        <v>0</v>
      </c>
      <c r="G6" s="342">
        <f>INDEX('Combined Data'!$B$46:$AK$46,1,MATCH('BPEiC-CO2'!$A6,'Combined Data'!$B$2:$AK$2))*10^12</f>
        <v>6299345660842.2041</v>
      </c>
      <c r="H6" s="342">
        <f>INDEX('Combined Data'!$B$59:$AK$59,1,MATCH('BPEiC-CO2'!$A6,'Combined Data'!$B$2:$AK$2))*10^12</f>
        <v>240232661119601.63</v>
      </c>
      <c r="I6" s="342">
        <f>INDEX('Combined Data'!$B$74:$AK$74,1,MATCH('BPEiC-CO2'!$A6,'Combined Data'!$B$2:$AK$2))*10^12</f>
        <v>4047032270550.064</v>
      </c>
    </row>
    <row r="7" spans="1:9" x14ac:dyDescent="0.25">
      <c r="A7" s="110">
        <v>2020</v>
      </c>
      <c r="B7" s="342">
        <v>0</v>
      </c>
      <c r="C7" s="342">
        <v>0</v>
      </c>
      <c r="D7" s="342">
        <v>0</v>
      </c>
      <c r="E7" s="342">
        <f>INDEX('Combined Data'!$B$27:$AK$27,1,MATCH('BPEiC-CO2'!$A7,'Combined Data'!$B$2:$AK$2))*10^12</f>
        <v>14339444444444.443</v>
      </c>
      <c r="F7" s="342">
        <v>0</v>
      </c>
      <c r="G7" s="342">
        <f>INDEX('Combined Data'!$B$46:$AK$46,1,MATCH('BPEiC-CO2'!$A7,'Combined Data'!$B$2:$AK$2))*10^12</f>
        <v>6347393511083.6299</v>
      </c>
      <c r="H7" s="342">
        <f>INDEX('Combined Data'!$B$59:$AK$59,1,MATCH('BPEiC-CO2'!$A7,'Combined Data'!$B$2:$AK$2))*10^12</f>
        <v>240305200294509.91</v>
      </c>
      <c r="I7" s="342">
        <f>INDEX('Combined Data'!$B$74:$AK$74,1,MATCH('BPEiC-CO2'!$A7,'Combined Data'!$B$2:$AK$2))*10^12</f>
        <v>4061896384077.5669</v>
      </c>
    </row>
    <row r="8" spans="1:9" x14ac:dyDescent="0.25">
      <c r="A8" s="110">
        <v>2021</v>
      </c>
      <c r="B8" s="342">
        <v>0</v>
      </c>
      <c r="C8" s="342">
        <v>0</v>
      </c>
      <c r="D8" s="342">
        <v>0</v>
      </c>
      <c r="E8" s="342">
        <f>INDEX('Combined Data'!$B$27:$AK$27,1,MATCH('BPEiC-CO2'!$A8,'Combined Data'!$B$2:$AK$2))*10^12</f>
        <v>14398333333333.33</v>
      </c>
      <c r="F8" s="342">
        <v>0</v>
      </c>
      <c r="G8" s="342">
        <f>INDEX('Combined Data'!$B$46:$AK$46,1,MATCH('BPEiC-CO2'!$A8,'Combined Data'!$B$2:$AK$2))*10^12</f>
        <v>6395380307213.6924</v>
      </c>
      <c r="H8" s="342">
        <f>INDEX('Combined Data'!$B$59:$AK$59,1,MATCH('BPEiC-CO2'!$A8,'Combined Data'!$B$2:$AK$2))*10^12</f>
        <v>240686024570212.06</v>
      </c>
      <c r="I8" s="342">
        <f>INDEX('Combined Data'!$B$74:$AK$74,1,MATCH('BPEiC-CO2'!$A8,'Combined Data'!$B$2:$AK$2))*10^12</f>
        <v>4077503703281.4448</v>
      </c>
    </row>
    <row r="9" spans="1:9" x14ac:dyDescent="0.25">
      <c r="A9" s="110">
        <v>2022</v>
      </c>
      <c r="B9" s="342">
        <v>0</v>
      </c>
      <c r="C9" s="342">
        <v>0</v>
      </c>
      <c r="D9" s="342">
        <v>0</v>
      </c>
      <c r="E9" s="342">
        <f>INDEX('Combined Data'!$B$27:$AK$27,1,MATCH('BPEiC-CO2'!$A9,'Combined Data'!$B$2:$AK$2))*10^12</f>
        <v>14457222222222.221</v>
      </c>
      <c r="F9" s="342">
        <v>0</v>
      </c>
      <c r="G9" s="342">
        <f>INDEX('Combined Data'!$B$46:$AK$46,1,MATCH('BPEiC-CO2'!$A9,'Combined Data'!$B$2:$AK$2))*10^12</f>
        <v>6443263464488.8262</v>
      </c>
      <c r="H9" s="342">
        <f>INDEX('Combined Data'!$B$59:$AK$59,1,MATCH('BPEiC-CO2'!$A9,'Combined Data'!$B$2:$AK$2))*10^12</f>
        <v>240703023252157.03</v>
      </c>
      <c r="I9" s="342">
        <f>INDEX('Combined Data'!$B$74:$AK$74,1,MATCH('BPEiC-CO2'!$A9,'Combined Data'!$B$2:$AK$2))*10^12</f>
        <v>4093891388445.5166</v>
      </c>
    </row>
    <row r="10" spans="1:9" x14ac:dyDescent="0.25">
      <c r="A10" s="110">
        <v>2023</v>
      </c>
      <c r="B10" s="342">
        <v>0</v>
      </c>
      <c r="C10" s="342">
        <v>0</v>
      </c>
      <c r="D10" s="342">
        <v>0</v>
      </c>
      <c r="E10" s="342">
        <f>INDEX('Combined Data'!$B$27:$AK$27,1,MATCH('BPEiC-CO2'!$A10,'Combined Data'!$B$2:$AK$2))*10^12</f>
        <v>14516111111111.107</v>
      </c>
      <c r="F10" s="342">
        <v>0</v>
      </c>
      <c r="G10" s="342">
        <f>INDEX('Combined Data'!$B$46:$AK$46,1,MATCH('BPEiC-CO2'!$A10,'Combined Data'!$B$2:$AK$2))*10^12</f>
        <v>6490992652712.1162</v>
      </c>
      <c r="H10" s="342">
        <f>INDEX('Combined Data'!$B$59:$AK$59,1,MATCH('BPEiC-CO2'!$A10,'Combined Data'!$B$2:$AK$2))*10^12</f>
        <v>240568195237716.25</v>
      </c>
      <c r="I10" s="342">
        <f>INDEX('Combined Data'!$B$74:$AK$74,1,MATCH('BPEiC-CO2'!$A10,'Combined Data'!$B$2:$AK$2))*10^12</f>
        <v>4111098457867.7935</v>
      </c>
    </row>
    <row r="11" spans="1:9" x14ac:dyDescent="0.25">
      <c r="A11" s="110">
        <v>2024</v>
      </c>
      <c r="B11" s="342">
        <v>0</v>
      </c>
      <c r="C11" s="342">
        <v>0</v>
      </c>
      <c r="D11" s="342">
        <v>0</v>
      </c>
      <c r="E11" s="342">
        <f>INDEX('Combined Data'!$B$27:$AK$27,1,MATCH('BPEiC-CO2'!$A11,'Combined Data'!$B$2:$AK$2))*10^12</f>
        <v>14575000000000</v>
      </c>
      <c r="F11" s="342">
        <v>0</v>
      </c>
      <c r="G11" s="342">
        <f>INDEX('Combined Data'!$B$46:$AK$46,1,MATCH('BPEiC-CO2'!$A11,'Combined Data'!$B$2:$AK$2))*10^12</f>
        <v>6538525030690.3564</v>
      </c>
      <c r="H11" s="342">
        <f>INDEX('Combined Data'!$B$59:$AK$59,1,MATCH('BPEiC-CO2'!$A11,'Combined Data'!$B$2:$AK$2))*10^12</f>
        <v>240464077376183.31</v>
      </c>
      <c r="I11" s="342">
        <f>INDEX('Combined Data'!$B$74:$AK$74,1,MATCH('BPEiC-CO2'!$A11,'Combined Data'!$B$2:$AK$2))*10^12</f>
        <v>4129165880761.1826</v>
      </c>
    </row>
    <row r="12" spans="1:9" x14ac:dyDescent="0.25">
      <c r="A12" s="110">
        <v>2025</v>
      </c>
      <c r="B12" s="342">
        <v>0</v>
      </c>
      <c r="C12" s="342">
        <v>0</v>
      </c>
      <c r="D12" s="342">
        <v>0</v>
      </c>
      <c r="E12" s="342">
        <f>INDEX('Combined Data'!$B$27:$AK$27,1,MATCH('BPEiC-CO2'!$A12,'Combined Data'!$B$2:$AK$2))*10^12</f>
        <v>14633888888888.887</v>
      </c>
      <c r="F12" s="342">
        <v>0</v>
      </c>
      <c r="G12" s="342">
        <f>INDEX('Combined Data'!$B$46:$AK$46,1,MATCH('BPEiC-CO2'!$A12,'Combined Data'!$B$2:$AK$2))*10^12</f>
        <v>6585797436037.6689</v>
      </c>
      <c r="H12" s="342">
        <f>INDEX('Combined Data'!$B$59:$AK$59,1,MATCH('BPEiC-CO2'!$A12,'Combined Data'!$B$2:$AK$2))*10^12</f>
        <v>240386929773620.25</v>
      </c>
      <c r="I12" s="342">
        <f>INDEX('Combined Data'!$B$74:$AK$74,1,MATCH('BPEiC-CO2'!$A12,'Combined Data'!$B$2:$AK$2))*10^12</f>
        <v>4148136674799.2422</v>
      </c>
    </row>
    <row r="13" spans="1:9" x14ac:dyDescent="0.25">
      <c r="A13" s="110">
        <v>2026</v>
      </c>
      <c r="B13" s="342">
        <v>0</v>
      </c>
      <c r="C13" s="342">
        <v>0</v>
      </c>
      <c r="D13" s="342">
        <v>0</v>
      </c>
      <c r="E13" s="342">
        <f>INDEX('Combined Data'!$B$27:$AK$27,1,MATCH('BPEiC-CO2'!$A13,'Combined Data'!$B$2:$AK$2))*10^12</f>
        <v>14692777777777.773</v>
      </c>
      <c r="F13" s="342">
        <v>0</v>
      </c>
      <c r="G13" s="342">
        <f>INDEX('Combined Data'!$B$46:$AK$46,1,MATCH('BPEiC-CO2'!$A13,'Combined Data'!$B$2:$AK$2))*10^12</f>
        <v>6632795766155.4072</v>
      </c>
      <c r="H13" s="342">
        <f>INDEX('Combined Data'!$B$59:$AK$59,1,MATCH('BPEiC-CO2'!$A13,'Combined Data'!$B$2:$AK$2))*10^12</f>
        <v>240279077931237.06</v>
      </c>
      <c r="I13" s="342">
        <f>INDEX('Combined Data'!$B$74:$AK$74,1,MATCH('BPEiC-CO2'!$A13,'Combined Data'!$B$2:$AK$2))*10^12</f>
        <v>4168056008539.2041</v>
      </c>
    </row>
    <row r="14" spans="1:9" x14ac:dyDescent="0.25">
      <c r="A14" s="110">
        <v>2027</v>
      </c>
      <c r="B14" s="342">
        <v>0</v>
      </c>
      <c r="C14" s="342">
        <v>0</v>
      </c>
      <c r="D14" s="342">
        <v>0</v>
      </c>
      <c r="E14" s="342">
        <f>INDEX('Combined Data'!$B$27:$AK$27,1,MATCH('BPEiC-CO2'!$A14,'Combined Data'!$B$2:$AK$2))*10^12</f>
        <v>14751666666666.666</v>
      </c>
      <c r="F14" s="342">
        <v>0</v>
      </c>
      <c r="G14" s="342">
        <f>INDEX('Combined Data'!$B$46:$AK$46,1,MATCH('BPEiC-CO2'!$A14,'Combined Data'!$B$2:$AK$2))*10^12</f>
        <v>6679377859237.7295</v>
      </c>
      <c r="H14" s="342">
        <f>INDEX('Combined Data'!$B$59:$AK$59,1,MATCH('BPEiC-CO2'!$A14,'Combined Data'!$B$2:$AK$2))*10^12</f>
        <v>240435136148801.5</v>
      </c>
      <c r="I14" s="342">
        <f>INDEX('Combined Data'!$B$74:$AK$74,1,MATCH('BPEiC-CO2'!$A14,'Combined Data'!$B$2:$AK$2))*10^12</f>
        <v>4188971308966.1641</v>
      </c>
    </row>
    <row r="15" spans="1:9" x14ac:dyDescent="0.25">
      <c r="A15" s="110">
        <v>2028</v>
      </c>
      <c r="B15" s="342">
        <v>0</v>
      </c>
      <c r="C15" s="342">
        <v>0</v>
      </c>
      <c r="D15" s="342">
        <v>0</v>
      </c>
      <c r="E15" s="342">
        <f>INDEX('Combined Data'!$B$27:$AK$27,1,MATCH('BPEiC-CO2'!$A15,'Combined Data'!$B$2:$AK$2))*10^12</f>
        <v>14810555555555.553</v>
      </c>
      <c r="F15" s="342">
        <v>0</v>
      </c>
      <c r="G15" s="342">
        <f>INDEX('Combined Data'!$B$46:$AK$46,1,MATCH('BPEiC-CO2'!$A15,'Combined Data'!$B$2:$AK$2))*10^12</f>
        <v>6725496783628.1797</v>
      </c>
      <c r="H15" s="342">
        <f>INDEX('Combined Data'!$B$59:$AK$59,1,MATCH('BPEiC-CO2'!$A15,'Combined Data'!$B$2:$AK$2))*10^12</f>
        <v>240592884591285.91</v>
      </c>
      <c r="I15" s="342">
        <f>INDEX('Combined Data'!$B$74:$AK$74,1,MATCH('BPEiC-CO2'!$A15,'Combined Data'!$B$2:$AK$2))*10^12</f>
        <v>4210932374414.4727</v>
      </c>
    </row>
    <row r="16" spans="1:9" x14ac:dyDescent="0.25">
      <c r="A16" s="110">
        <v>2029</v>
      </c>
      <c r="B16" s="342">
        <v>0</v>
      </c>
      <c r="C16" s="342">
        <v>0</v>
      </c>
      <c r="D16" s="342">
        <v>0</v>
      </c>
      <c r="E16" s="342">
        <f>INDEX('Combined Data'!$B$27:$AK$27,1,MATCH('BPEiC-CO2'!$A16,'Combined Data'!$B$2:$AK$2))*10^12</f>
        <v>14869444444444.439</v>
      </c>
      <c r="F16" s="342">
        <v>0</v>
      </c>
      <c r="G16" s="342">
        <f>INDEX('Combined Data'!$B$46:$AK$46,1,MATCH('BPEiC-CO2'!$A16,'Combined Data'!$B$2:$AK$2))*10^12</f>
        <v>6771097761607.958</v>
      </c>
      <c r="H16" s="342">
        <f>INDEX('Combined Data'!$B$59:$AK$59,1,MATCH('BPEiC-CO2'!$A16,'Combined Data'!$B$2:$AK$2))*10^12</f>
        <v>240752333174579.34</v>
      </c>
      <c r="I16" s="342">
        <f>INDEX('Combined Data'!$B$74:$AK$74,1,MATCH('BPEiC-CO2'!$A16,'Combined Data'!$B$2:$AK$2))*10^12</f>
        <v>4233991493135.1963</v>
      </c>
    </row>
    <row r="17" spans="1:9" x14ac:dyDescent="0.25">
      <c r="A17" s="110">
        <v>2030</v>
      </c>
      <c r="B17" s="342">
        <v>0</v>
      </c>
      <c r="C17" s="342">
        <v>0</v>
      </c>
      <c r="D17" s="342">
        <v>0</v>
      </c>
      <c r="E17" s="342">
        <f>INDEX('Combined Data'!$B$27:$AK$27,1,MATCH('BPEiC-CO2'!$A17,'Combined Data'!$B$2:$AK$2))*10^12</f>
        <v>14928333333333.33</v>
      </c>
      <c r="F17" s="342">
        <v>0</v>
      </c>
      <c r="G17" s="342">
        <f>INDEX('Combined Data'!$B$46:$AK$46,1,MATCH('BPEiC-CO2'!$A17,'Combined Data'!$B$2:$AK$2))*10^12</f>
        <v>6816137830744.1338</v>
      </c>
      <c r="H17" s="342">
        <f>INDEX('Combined Data'!$B$59:$AK$59,1,MATCH('BPEiC-CO2'!$A17,'Combined Data'!$B$2:$AK$2))*10^12</f>
        <v>240913491926625.75</v>
      </c>
      <c r="I17" s="342">
        <f>INDEX('Combined Data'!$B$74:$AK$74,1,MATCH('BPEiC-CO2'!$A17,'Combined Data'!$B$2:$AK$2))*10^12</f>
        <v>4258203567791.9565</v>
      </c>
    </row>
    <row r="18" spans="1:9" x14ac:dyDescent="0.25">
      <c r="A18" s="110">
        <v>2031</v>
      </c>
      <c r="B18" s="342">
        <v>0</v>
      </c>
      <c r="C18" s="342">
        <v>0</v>
      </c>
      <c r="D18" s="342">
        <v>0</v>
      </c>
      <c r="E18" s="342">
        <f>INDEX('Combined Data'!$B$27:$AK$27,1,MATCH('BPEiC-CO2'!$A18,'Combined Data'!$B$2:$AK$2))*10^12</f>
        <v>14987222222222.219</v>
      </c>
      <c r="F18" s="342">
        <v>0</v>
      </c>
      <c r="G18" s="342">
        <f>INDEX('Combined Data'!$B$46:$AK$46,1,MATCH('BPEiC-CO2'!$A18,'Combined Data'!$B$2:$AK$2))*10^12</f>
        <v>6860587477693.9785</v>
      </c>
      <c r="H18" s="342">
        <f>INDEX('Combined Data'!$B$59:$AK$59,1,MATCH('BPEiC-CO2'!$A18,'Combined Data'!$B$2:$AK$2))*10^12</f>
        <v>241076370987875.81</v>
      </c>
      <c r="I18" s="342">
        <f>INDEX('Combined Data'!$B$74:$AK$74,1,MATCH('BPEiC-CO2'!$A18,'Combined Data'!$B$2:$AK$2))*10^12</f>
        <v>4283626246181.5542</v>
      </c>
    </row>
    <row r="19" spans="1:9" x14ac:dyDescent="0.25">
      <c r="A19" s="110">
        <v>2032</v>
      </c>
      <c r="B19" s="342">
        <v>0</v>
      </c>
      <c r="C19" s="342">
        <v>0</v>
      </c>
      <c r="D19" s="342">
        <v>0</v>
      </c>
      <c r="E19" s="342">
        <f>INDEX('Combined Data'!$B$27:$AK$27,1,MATCH('BPEiC-CO2'!$A19,'Combined Data'!$B$2:$AK$2))*10^12</f>
        <v>15046111111111.105</v>
      </c>
      <c r="F19" s="342">
        <v>0</v>
      </c>
      <c r="G19" s="342">
        <f>INDEX('Combined Data'!$B$46:$AK$46,1,MATCH('BPEiC-CO2'!$A19,'Combined Data'!$B$2:$AK$2))*10^12</f>
        <v>6904429760937.4063</v>
      </c>
      <c r="H19" s="342">
        <f>INDEX('Combined Data'!$B$59:$AK$59,1,MATCH('BPEiC-CO2'!$A19,'Combined Data'!$B$2:$AK$2))*10^12</f>
        <v>241240980611749.09</v>
      </c>
      <c r="I19" s="342">
        <f>INDEX('Combined Data'!$B$74:$AK$74,1,MATCH('BPEiC-CO2'!$A19,'Combined Data'!$B$2:$AK$2))*10^12</f>
        <v>4310320058490.6318</v>
      </c>
    </row>
    <row r="20" spans="1:9" x14ac:dyDescent="0.25">
      <c r="A20" s="110">
        <v>2033</v>
      </c>
      <c r="B20" s="342">
        <v>0</v>
      </c>
      <c r="C20" s="342">
        <v>0</v>
      </c>
      <c r="D20" s="342">
        <v>0</v>
      </c>
      <c r="E20" s="342">
        <f>INDEX('Combined Data'!$B$27:$AK$27,1,MATCH('BPEiC-CO2'!$A20,'Combined Data'!$B$2:$AK$2))*10^12</f>
        <v>15104999999999.996</v>
      </c>
      <c r="F20" s="342">
        <v>0</v>
      </c>
      <c r="G20" s="342">
        <f>INDEX('Combined Data'!$B$46:$AK$46,1,MATCH('BPEiC-CO2'!$A20,'Combined Data'!$B$2:$AK$2))*10^12</f>
        <v>6947658085452.3164</v>
      </c>
      <c r="H20" s="342">
        <f>INDEX('Combined Data'!$B$59:$AK$59,1,MATCH('BPEiC-CO2'!$A20,'Combined Data'!$B$2:$AK$2))*10^12</f>
        <v>241407331165106.78</v>
      </c>
      <c r="I20" s="342">
        <f>INDEX('Combined Data'!$B$74:$AK$74,1,MATCH('BPEiC-CO2'!$A20,'Combined Data'!$B$2:$AK$2))*10^12</f>
        <v>4338348561415.1631</v>
      </c>
    </row>
    <row r="21" spans="1:9" x14ac:dyDescent="0.25">
      <c r="A21" s="110">
        <v>2034</v>
      </c>
      <c r="B21" s="342">
        <v>0</v>
      </c>
      <c r="C21" s="342">
        <v>0</v>
      </c>
      <c r="D21" s="342">
        <v>0</v>
      </c>
      <c r="E21" s="342">
        <f>INDEX('Combined Data'!$B$27:$AK$27,1,MATCH('BPEiC-CO2'!$A21,'Combined Data'!$B$2:$AK$2))*10^12</f>
        <v>15163888888888.885</v>
      </c>
      <c r="F21" s="342">
        <v>0</v>
      </c>
      <c r="G21" s="342">
        <f>INDEX('Combined Data'!$B$46:$AK$46,1,MATCH('BPEiC-CO2'!$A21,'Combined Data'!$B$2:$AK$2))*10^12</f>
        <v>6990274838194.2129</v>
      </c>
      <c r="H21" s="342">
        <f>INDEX('Combined Data'!$B$59:$AK$59,1,MATCH('BPEiC-CO2'!$A21,'Combined Data'!$B$2:$AK$2))*10^12</f>
        <v>241575433128735.16</v>
      </c>
      <c r="I21" s="342">
        <f>INDEX('Combined Data'!$B$74:$AK$74,1,MATCH('BPEiC-CO2'!$A21,'Combined Data'!$B$2:$AK$2))*10^12</f>
        <v>4367778489485.9214</v>
      </c>
    </row>
    <row r="22" spans="1:9" x14ac:dyDescent="0.25">
      <c r="A22" s="110">
        <v>2035</v>
      </c>
      <c r="B22" s="342">
        <v>0</v>
      </c>
      <c r="C22" s="342">
        <v>0</v>
      </c>
      <c r="D22" s="342">
        <v>0</v>
      </c>
      <c r="E22" s="342">
        <f>INDEX('Combined Data'!$B$27:$AK$27,1,MATCH('BPEiC-CO2'!$A22,'Combined Data'!$B$2:$AK$2))*10^12</f>
        <v>15222777777777.775</v>
      </c>
      <c r="F22" s="342">
        <v>0</v>
      </c>
      <c r="G22" s="342">
        <f>INDEX('Combined Data'!$B$46:$AK$46,1,MATCH('BPEiC-CO2'!$A22,'Combined Data'!$B$2:$AK$2))*10^12</f>
        <v>7032301535552.1318</v>
      </c>
      <c r="H22" s="342">
        <f>INDEX('Combined Data'!$B$59:$AK$59,1,MATCH('BPEiC-CO2'!$A22,'Combined Data'!$B$2:$AK$2))*10^12</f>
        <v>241745297097839.06</v>
      </c>
      <c r="I22" s="342">
        <f>INDEX('Combined Data'!$B$74:$AK$74,1,MATCH('BPEiC-CO2'!$A22,'Combined Data'!$B$2:$AK$2))*10^12</f>
        <v>4398679913960.2178</v>
      </c>
    </row>
    <row r="23" spans="1:9" x14ac:dyDescent="0.25">
      <c r="A23" s="110">
        <v>2036</v>
      </c>
      <c r="B23" s="342">
        <v>0</v>
      </c>
      <c r="C23" s="342">
        <v>0</v>
      </c>
      <c r="D23" s="342">
        <v>0</v>
      </c>
      <c r="E23" s="342">
        <f>INDEX('Combined Data'!$B$27:$AK$27,1,MATCH('BPEiC-CO2'!$A23,'Combined Data'!$B$2:$AK$2))*10^12</f>
        <v>15281666666666.662</v>
      </c>
      <c r="F23" s="342">
        <v>0</v>
      </c>
      <c r="G23" s="342">
        <f>INDEX('Combined Data'!$B$46:$AK$46,1,MATCH('BPEiC-CO2'!$A23,'Combined Data'!$B$2:$AK$2))*10^12</f>
        <v>7073811373076.3906</v>
      </c>
      <c r="H23" s="342">
        <f>INDEX('Combined Data'!$B$59:$AK$59,1,MATCH('BPEiC-CO2'!$A23,'Combined Data'!$B$2:$AK$2))*10^12</f>
        <v>241916933782546.25</v>
      </c>
      <c r="I23" s="342">
        <f>INDEX('Combined Data'!$B$74:$AK$74,1,MATCH('BPEiC-CO2'!$A23,'Combined Data'!$B$2:$AK$2))*10^12</f>
        <v>4431126409658.2285</v>
      </c>
    </row>
    <row r="24" spans="1:9" x14ac:dyDescent="0.25">
      <c r="A24" s="110">
        <v>2037</v>
      </c>
      <c r="B24" s="342">
        <v>0</v>
      </c>
      <c r="C24" s="342">
        <v>0</v>
      </c>
      <c r="D24" s="342">
        <v>0</v>
      </c>
      <c r="E24" s="342">
        <f>INDEX('Combined Data'!$B$27:$AK$27,1,MATCH('BPEiC-CO2'!$A24,'Combined Data'!$B$2:$AK$2))*10^12</f>
        <v>15340555555555.551</v>
      </c>
      <c r="F24" s="342">
        <v>0</v>
      </c>
      <c r="G24" s="342">
        <f>INDEX('Combined Data'!$B$46:$AK$46,1,MATCH('BPEiC-CO2'!$A24,'Combined Data'!$B$2:$AK$2))*10^12</f>
        <v>7114821270749.084</v>
      </c>
      <c r="H24" s="342">
        <f>INDEX('Combined Data'!$B$59:$AK$59,1,MATCH('BPEiC-CO2'!$A24,'Combined Data'!$B$2:$AK$2))*10^12</f>
        <v>242090354008422.44</v>
      </c>
      <c r="I24" s="342">
        <f>INDEX('Combined Data'!$B$74:$AK$74,1,MATCH('BPEiC-CO2'!$A24,'Combined Data'!$B$2:$AK$2))*10^12</f>
        <v>4465195230141.1396</v>
      </c>
    </row>
    <row r="25" spans="1:9" x14ac:dyDescent="0.25">
      <c r="A25" s="110">
        <v>2038</v>
      </c>
      <c r="B25" s="342">
        <v>0</v>
      </c>
      <c r="C25" s="342">
        <v>0</v>
      </c>
      <c r="D25" s="342">
        <v>0</v>
      </c>
      <c r="E25" s="342">
        <f>INDEX('Combined Data'!$B$27:$AK$27,1,MATCH('BPEiC-CO2'!$A25,'Combined Data'!$B$2:$AK$2))*10^12</f>
        <v>15399444444444.441</v>
      </c>
      <c r="F25" s="342">
        <v>0</v>
      </c>
      <c r="G25" s="342">
        <f>INDEX('Combined Data'!$B$46:$AK$46,1,MATCH('BPEiC-CO2'!$A25,'Combined Data'!$B$2:$AK$2))*10^12</f>
        <v>7155358391291.7461</v>
      </c>
      <c r="H25" s="342">
        <f>INDEX('Combined Data'!$B$59:$AK$59,1,MATCH('BPEiC-CO2'!$A25,'Combined Data'!$B$2:$AK$2))*10^12</f>
        <v>242265568716996.38</v>
      </c>
      <c r="I25" s="342">
        <f>INDEX('Combined Data'!$B$74:$AK$74,1,MATCH('BPEiC-CO2'!$A25,'Combined Data'!$B$2:$AK$2))*10^12</f>
        <v>4500967491648.1973</v>
      </c>
    </row>
    <row r="26" spans="1:9" x14ac:dyDescent="0.25">
      <c r="A26" s="110">
        <v>2039</v>
      </c>
      <c r="B26" s="342">
        <v>0</v>
      </c>
      <c r="C26" s="342">
        <v>0</v>
      </c>
      <c r="D26" s="342">
        <v>0</v>
      </c>
      <c r="E26" s="342">
        <f>INDEX('Combined Data'!$B$27:$AK$27,1,MATCH('BPEiC-CO2'!$A26,'Combined Data'!$B$2:$AK$2))*10^12</f>
        <v>15458333333333.328</v>
      </c>
      <c r="F26" s="342">
        <v>0</v>
      </c>
      <c r="G26" s="342">
        <f>INDEX('Combined Data'!$B$46:$AK$46,1,MATCH('BPEiC-CO2'!$A26,'Combined Data'!$B$2:$AK$2))*10^12</f>
        <v>7195460627978.7715</v>
      </c>
      <c r="H26" s="342">
        <f>INDEX('Combined Data'!$B$59:$AK$59,1,MATCH('BPEiC-CO2'!$A26,'Combined Data'!$B$2:$AK$2))*10^12</f>
        <v>242442588966295.88</v>
      </c>
      <c r="I26" s="342">
        <f>INDEX('Combined Data'!$B$74:$AK$74,1,MATCH('BPEiC-CO2'!$A26,'Combined Data'!$B$2:$AK$2))*10^12</f>
        <v>4538528366230.6074</v>
      </c>
    </row>
    <row r="27" spans="1:9" x14ac:dyDescent="0.25">
      <c r="A27" s="110">
        <v>2040</v>
      </c>
      <c r="B27" s="342">
        <v>0</v>
      </c>
      <c r="C27" s="342">
        <v>0</v>
      </c>
      <c r="D27" s="342">
        <v>0</v>
      </c>
      <c r="E27" s="342">
        <f>INDEX('Combined Data'!$B$27:$AK$27,1,MATCH('BPEiC-CO2'!$A27,'Combined Data'!$B$2:$AK$2))*10^12</f>
        <v>15517222222222.217</v>
      </c>
      <c r="F27" s="342">
        <v>0</v>
      </c>
      <c r="G27" s="342">
        <f>INDEX('Combined Data'!$B$46:$AK$46,1,MATCH('BPEiC-CO2'!$A27,'Combined Data'!$B$2:$AK$2))*10^12</f>
        <v>7235175821303.5645</v>
      </c>
      <c r="H27" s="342">
        <f>INDEX('Combined Data'!$B$59:$AK$59,1,MATCH('BPEiC-CO2'!$A27,'Combined Data'!$B$2:$AK$2))*10^12</f>
        <v>242621425931394.31</v>
      </c>
      <c r="I27" s="342">
        <f>INDEX('Combined Data'!$B$74:$AK$74,1,MATCH('BPEiC-CO2'!$A27,'Combined Data'!$B$2:$AK$2))*10^12</f>
        <v>4577967284542.1377</v>
      </c>
    </row>
    <row r="28" spans="1:9" x14ac:dyDescent="0.25">
      <c r="A28" s="110">
        <v>2041</v>
      </c>
      <c r="B28" s="342">
        <v>0</v>
      </c>
      <c r="C28" s="342">
        <v>0</v>
      </c>
      <c r="D28" s="342">
        <v>0</v>
      </c>
      <c r="E28" s="342">
        <f>INDEX('Combined Data'!$B$27:$AK$27,1,MATCH('BPEiC-CO2'!$A28,'Combined Data'!$B$2:$AK$2))*10^12</f>
        <v>15576111111111.107</v>
      </c>
      <c r="F28" s="342">
        <v>0</v>
      </c>
      <c r="G28" s="342">
        <f>INDEX('Combined Data'!$B$46:$AK$46,1,MATCH('BPEiC-CO2'!$A28,'Combined Data'!$B$2:$AK$2))*10^12</f>
        <v>7274555554111.2607</v>
      </c>
      <c r="H28" s="342">
        <f>INDEX('Combined Data'!$B$59:$AK$59,1,MATCH('BPEiC-CO2'!$A28,'Combined Data'!$B$2:$AK$2))*10^12</f>
        <v>242802090904967.5</v>
      </c>
      <c r="I28" s="342">
        <f>INDEX('Combined Data'!$B$74:$AK$74,1,MATCH('BPEiC-CO2'!$A28,'Combined Data'!$B$2:$AK$2))*10^12</f>
        <v>4619378148769.2441</v>
      </c>
    </row>
    <row r="29" spans="1:9" x14ac:dyDescent="0.25">
      <c r="A29" s="110">
        <v>2042</v>
      </c>
      <c r="B29" s="342">
        <v>0</v>
      </c>
      <c r="C29" s="342">
        <v>0</v>
      </c>
      <c r="D29" s="342">
        <v>0</v>
      </c>
      <c r="E29" s="342">
        <f>INDEX('Combined Data'!$B$27:$AK$27,1,MATCH('BPEiC-CO2'!$A29,'Combined Data'!$B$2:$AK$2))*10^12</f>
        <v>15634999999999.994</v>
      </c>
      <c r="F29" s="342">
        <v>0</v>
      </c>
      <c r="G29" s="342">
        <f>INDEX('Combined Data'!$B$46:$AK$46,1,MATCH('BPEiC-CO2'!$A29,'Combined Data'!$B$2:$AK$2))*10^12</f>
        <v>7313658123089.4941</v>
      </c>
      <c r="H29" s="342">
        <f>INDEX('Combined Data'!$B$59:$AK$59,1,MATCH('BPEiC-CO2'!$A29,'Combined Data'!$B$2:$AK$2))*10^12</f>
        <v>242984595297861.44</v>
      </c>
      <c r="I29" s="342">
        <f>INDEX('Combined Data'!$B$74:$AK$74,1,MATCH('BPEiC-CO2'!$A29,'Combined Data'!$B$2:$AK$2))*10^12</f>
        <v>4662859556207.707</v>
      </c>
    </row>
    <row r="30" spans="1:9" x14ac:dyDescent="0.25">
      <c r="A30" s="110">
        <v>2043</v>
      </c>
      <c r="B30" s="342">
        <v>0</v>
      </c>
      <c r="C30" s="342">
        <v>0</v>
      </c>
      <c r="D30" s="342">
        <v>0</v>
      </c>
      <c r="E30" s="342">
        <f>INDEX('Combined Data'!$B$27:$AK$27,1,MATCH('BPEiC-CO2'!$A30,'Combined Data'!$B$2:$AK$2))*10^12</f>
        <v>15693888888888.883</v>
      </c>
      <c r="F30" s="342">
        <v>0</v>
      </c>
      <c r="G30" s="342">
        <f>INDEX('Combined Data'!$B$46:$AK$46,1,MATCH('BPEiC-CO2'!$A30,'Combined Data'!$B$2:$AK$2))*10^12</f>
        <v>7352538842452.2568</v>
      </c>
      <c r="H30" s="342">
        <f>INDEX('Combined Data'!$B$59:$AK$59,1,MATCH('BPEiC-CO2'!$A30,'Combined Data'!$B$2:$AK$2))*10^12</f>
        <v>243168950639670.59</v>
      </c>
      <c r="I30" s="342">
        <f>INDEX('Combined Data'!$B$74:$AK$74,1,MATCH('BPEiC-CO2'!$A30,'Combined Data'!$B$2:$AK$2))*10^12</f>
        <v>4708515034018.0918</v>
      </c>
    </row>
    <row r="31" spans="1:9" x14ac:dyDescent="0.25">
      <c r="A31" s="110">
        <v>2044</v>
      </c>
      <c r="B31" s="342">
        <v>0</v>
      </c>
      <c r="C31" s="342">
        <v>0</v>
      </c>
      <c r="D31" s="342">
        <v>0</v>
      </c>
      <c r="E31" s="342">
        <f>INDEX('Combined Data'!$B$27:$AK$27,1,MATCH('BPEiC-CO2'!$A31,'Combined Data'!$B$2:$AK$2))*10^12</f>
        <v>15752777777777.77</v>
      </c>
      <c r="F31" s="342">
        <v>0</v>
      </c>
      <c r="G31" s="342">
        <f>INDEX('Combined Data'!$B$46:$AK$46,1,MATCH('BPEiC-CO2'!$A31,'Combined Data'!$B$2:$AK$2))*10^12</f>
        <v>7391265100332.3584</v>
      </c>
      <c r="H31" s="342">
        <f>INDEX('Combined Data'!$B$59:$AK$59,1,MATCH('BPEiC-CO2'!$A31,'Combined Data'!$B$2:$AK$2))*10^12</f>
        <v>243355168579326.53</v>
      </c>
      <c r="I31" s="342">
        <f>INDEX('Combined Data'!$B$74:$AK$74,1,MATCH('BPEiC-CO2'!$A31,'Combined Data'!$B$2:$AK$2))*10^12</f>
        <v>4756453285718.9961</v>
      </c>
    </row>
    <row r="32" spans="1:9" x14ac:dyDescent="0.25">
      <c r="A32" s="110">
        <v>2045</v>
      </c>
      <c r="B32" s="342">
        <v>0</v>
      </c>
      <c r="C32" s="342">
        <v>0</v>
      </c>
      <c r="D32" s="342">
        <v>0</v>
      </c>
      <c r="E32" s="342">
        <f>INDEX('Combined Data'!$B$27:$AK$27,1,MATCH('BPEiC-CO2'!$A32,'Combined Data'!$B$2:$AK$2))*10^12</f>
        <v>15811666666666.66</v>
      </c>
      <c r="F32" s="342">
        <v>0</v>
      </c>
      <c r="G32" s="342">
        <f>INDEX('Combined Data'!$B$46:$AK$46,1,MATCH('BPEiC-CO2'!$A32,'Combined Data'!$B$2:$AK$2))*10^12</f>
        <v>7429903846166.1367</v>
      </c>
      <c r="H32" s="342">
        <f>INDEX('Combined Data'!$B$59:$AK$59,1,MATCH('BPEiC-CO2'!$A32,'Combined Data'!$B$2:$AK$2))*10^12</f>
        <v>243543260885697.63</v>
      </c>
      <c r="I32" s="342">
        <f>INDEX('Combined Data'!$B$74:$AK$74,1,MATCH('BPEiC-CO2'!$A32,'Combined Data'!$B$2:$AK$2))*10^12</f>
        <v>4806788450004.9463</v>
      </c>
    </row>
    <row r="33" spans="1:9" x14ac:dyDescent="0.25">
      <c r="A33" s="110">
        <v>2046</v>
      </c>
      <c r="B33" s="342">
        <v>0</v>
      </c>
      <c r="C33" s="342">
        <v>0</v>
      </c>
      <c r="D33" s="342">
        <v>0</v>
      </c>
      <c r="E33" s="342">
        <f>INDEX('Combined Data'!$B$27:$AK$27,1,MATCH('BPEiC-CO2'!$A33,'Combined Data'!$B$2:$AK$2))*10^12</f>
        <v>15870555555555.547</v>
      </c>
      <c r="F33" s="342">
        <v>0</v>
      </c>
      <c r="G33" s="342">
        <f>INDEX('Combined Data'!$B$46:$AK$46,1,MATCH('BPEiC-CO2'!$A33,'Combined Data'!$B$2:$AK$2))*10^12</f>
        <v>7468540500550.1152</v>
      </c>
      <c r="H33" s="342">
        <f>INDEX('Combined Data'!$B$59:$AK$59,1,MATCH('BPEiC-CO2'!$A33,'Combined Data'!$B$2:$AK$2))*10^12</f>
        <v>243733239448199</v>
      </c>
      <c r="I33" s="342">
        <f>INDEX('Combined Data'!$B$74:$AK$74,1,MATCH('BPEiC-CO2'!$A33,'Combined Data'!$B$2:$AK$2))*10^12</f>
        <v>4859640372505.1934</v>
      </c>
    </row>
    <row r="34" spans="1:9" x14ac:dyDescent="0.25">
      <c r="A34" s="110">
        <v>2047</v>
      </c>
      <c r="B34" s="342">
        <v>0</v>
      </c>
      <c r="C34" s="342">
        <v>0</v>
      </c>
      <c r="D34" s="342">
        <v>0</v>
      </c>
      <c r="E34" s="342">
        <f>INDEX('Combined Data'!$B$27:$AK$27,1,MATCH('BPEiC-CO2'!$A34,'Combined Data'!$B$2:$AK$2))*10^12</f>
        <v>15929444444444.439</v>
      </c>
      <c r="F34" s="342">
        <v>0</v>
      </c>
      <c r="G34" s="342">
        <f>INDEX('Combined Data'!$B$46:$AK$46,1,MATCH('BPEiC-CO2'!$A34,'Combined Data'!$B$2:$AK$2))*10^12</f>
        <v>7507173471988.8496</v>
      </c>
      <c r="H34" s="342">
        <f>INDEX('Combined Data'!$B$59:$AK$59,1,MATCH('BPEiC-CO2'!$A34,'Combined Data'!$B$2:$AK$2))*10^12</f>
        <v>243925116277413.5</v>
      </c>
      <c r="I34" s="342">
        <f>INDEX('Combined Data'!$B$74:$AK$74,1,MATCH('BPEiC-CO2'!$A34,'Combined Data'!$B$2:$AK$2))*10^12</f>
        <v>4915134891130.4541</v>
      </c>
    </row>
    <row r="35" spans="1:9" x14ac:dyDescent="0.25">
      <c r="A35" s="110">
        <v>2048</v>
      </c>
      <c r="B35" s="342">
        <v>0</v>
      </c>
      <c r="C35" s="342">
        <v>0</v>
      </c>
      <c r="D35" s="342">
        <v>0</v>
      </c>
      <c r="E35" s="342">
        <f>INDEX('Combined Data'!$B$27:$AK$27,1,MATCH('BPEiC-CO2'!$A35,'Combined Data'!$B$2:$AK$2))*10^12</f>
        <v>15988333333333.326</v>
      </c>
      <c r="F35" s="342">
        <v>0</v>
      </c>
      <c r="G35" s="342">
        <f>INDEX('Combined Data'!$B$46:$AK$46,1,MATCH('BPEiC-CO2'!$A35,'Combined Data'!$B$2:$AK$2))*10^12</f>
        <v>7545848505823.1729</v>
      </c>
      <c r="H35" s="342">
        <f>INDEX('Combined Data'!$B$59:$AK$59,1,MATCH('BPEiC-CO2'!$A35,'Combined Data'!$B$2:$AK$2))*10^12</f>
        <v>244118903505723.09</v>
      </c>
      <c r="I35" s="342">
        <f>INDEX('Combined Data'!$B$74:$AK$74,1,MATCH('BPEiC-CO2'!$A35,'Combined Data'!$B$2:$AK$2))*10^12</f>
        <v>4973404135686.9766</v>
      </c>
    </row>
    <row r="36" spans="1:9" x14ac:dyDescent="0.25">
      <c r="A36" s="110">
        <v>2049</v>
      </c>
      <c r="B36" s="342">
        <v>0</v>
      </c>
      <c r="C36" s="342">
        <v>0</v>
      </c>
      <c r="D36" s="342">
        <v>0</v>
      </c>
      <c r="E36" s="342">
        <f>INDEX('Combined Data'!$B$27:$AK$27,1,MATCH('BPEiC-CO2'!$A36,'Combined Data'!$B$2:$AK$2))*10^12</f>
        <v>16047222222222.217</v>
      </c>
      <c r="F36" s="342">
        <v>0</v>
      </c>
      <c r="G36" s="342">
        <f>INDEX('Combined Data'!$B$46:$AK$46,1,MATCH('BPEiC-CO2'!$A36,'Combined Data'!$B$2:$AK$2))*10^12</f>
        <v>7584650265803.0391</v>
      </c>
      <c r="H36" s="342">
        <f>INDEX('Combined Data'!$B$59:$AK$59,1,MATCH('BPEiC-CO2'!$A36,'Combined Data'!$B$2:$AK$2))*10^12</f>
        <v>244314613387951.16</v>
      </c>
      <c r="I36" s="342">
        <f>INDEX('Combined Data'!$B$74:$AK$74,1,MATCH('BPEiC-CO2'!$A36,'Combined Data'!$B$2:$AK$2))*10^12</f>
        <v>5034586842471.3252</v>
      </c>
    </row>
    <row r="37" spans="1:9" x14ac:dyDescent="0.25">
      <c r="A37" s="110">
        <v>2050</v>
      </c>
      <c r="B37" s="342">
        <v>0</v>
      </c>
      <c r="C37" s="342">
        <v>0</v>
      </c>
      <c r="D37" s="342">
        <v>0</v>
      </c>
      <c r="E37" s="342">
        <f>INDEX('Combined Data'!$B$27:$AK$27,1,MATCH('BPEiC-CO2'!$A37,'Combined Data'!$B$2:$AK$2))*10^12</f>
        <v>16106111111111.105</v>
      </c>
      <c r="F37" s="342">
        <v>0</v>
      </c>
      <c r="G37" s="342">
        <f>INDEX('Combined Data'!$B$46:$AK$46,1,MATCH('BPEiC-CO2'!$A37,'Combined Data'!$B$2:$AK$2))*10^12</f>
        <v>7623628828161.4502</v>
      </c>
      <c r="H37" s="342">
        <f>INDEX('Combined Data'!$B$59:$AK$59,1,MATCH('BPEiC-CO2'!$A37,'Combined Data'!$B$2:$AK$2))*10^12</f>
        <v>244512258302015.47</v>
      </c>
      <c r="I37" s="342">
        <f>INDEX('Combined Data'!$B$74:$AK$74,1,MATCH('BPEiC-CO2'!$A37,'Combined Data'!$B$2:$AK$2))*10^12</f>
        <v>5098828684594.8916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3"/>
  </sheetPr>
  <dimension ref="A1:I37"/>
  <sheetViews>
    <sheetView workbookViewId="0">
      <selection activeCell="G26" sqref="A1:I37"/>
    </sheetView>
  </sheetViews>
  <sheetFormatPr defaultColWidth="10.28515625" defaultRowHeight="15" x14ac:dyDescent="0.25"/>
  <cols>
    <col min="1" max="1" width="10.28515625" style="110"/>
    <col min="2" max="9" width="20.140625" style="110" customWidth="1"/>
    <col min="10" max="16384" width="10.28515625" style="108"/>
  </cols>
  <sheetData>
    <row r="1" spans="1:9" x14ac:dyDescent="0.25">
      <c r="A1" s="110" t="s">
        <v>284</v>
      </c>
      <c r="B1" s="110" t="s">
        <v>1040</v>
      </c>
      <c r="C1" s="110" t="s">
        <v>1041</v>
      </c>
      <c r="D1" s="110" t="s">
        <v>1042</v>
      </c>
      <c r="E1" s="110" t="s">
        <v>1043</v>
      </c>
      <c r="F1" s="110" t="s">
        <v>1044</v>
      </c>
      <c r="G1" s="110" t="s">
        <v>1045</v>
      </c>
      <c r="H1" s="110" t="s">
        <v>1046</v>
      </c>
      <c r="I1" s="110" t="s">
        <v>1047</v>
      </c>
    </row>
    <row r="2" spans="1:9" x14ac:dyDescent="0.25">
      <c r="A2" s="110">
        <v>2015</v>
      </c>
      <c r="B2" s="342">
        <v>0</v>
      </c>
      <c r="C2" s="342">
        <v>0</v>
      </c>
      <c r="D2" s="342">
        <v>0</v>
      </c>
      <c r="E2" s="342">
        <f>INDEX('Combined Data'!$B$28:$AK$28,1,MATCH('BPEiC-CO2'!$A2,'Combined Data'!$B$2:$AK$2))*10^12</f>
        <v>219389435218000</v>
      </c>
      <c r="F2" s="342">
        <v>0</v>
      </c>
      <c r="G2" s="342">
        <v>0</v>
      </c>
      <c r="H2" s="342">
        <v>0</v>
      </c>
      <c r="I2" s="342">
        <f>INDEX('Combined Data'!$B$72:$AK$72,1,MATCH('BPEiC-CO2'!$A2,'Combined Data'!$B$2:$AK$2))*10^12</f>
        <v>12500000000000</v>
      </c>
    </row>
    <row r="3" spans="1:9" x14ac:dyDescent="0.25">
      <c r="A3" s="110">
        <v>2016</v>
      </c>
      <c r="B3" s="342">
        <v>0</v>
      </c>
      <c r="C3" s="342">
        <v>0</v>
      </c>
      <c r="D3" s="342">
        <v>0</v>
      </c>
      <c r="E3" s="342">
        <f>INDEX('Combined Data'!$B$28:$AK$28,1,MATCH('BPEiC-CO2'!$A3,'Combined Data'!$B$2:$AK$2))*10^12</f>
        <v>227667884778900</v>
      </c>
      <c r="F3" s="342">
        <v>0</v>
      </c>
      <c r="G3" s="342">
        <v>0</v>
      </c>
      <c r="H3" s="342">
        <v>0</v>
      </c>
      <c r="I3" s="342">
        <f>INDEX('Combined Data'!$B$72:$AK$72,1,MATCH('BPEiC-CO2'!$A3,'Combined Data'!$B$2:$AK$2))*10^12</f>
        <v>12568297342829.027</v>
      </c>
    </row>
    <row r="4" spans="1:9" x14ac:dyDescent="0.25">
      <c r="A4" s="110">
        <v>2017</v>
      </c>
      <c r="B4" s="342">
        <v>0</v>
      </c>
      <c r="C4" s="342">
        <v>0</v>
      </c>
      <c r="D4" s="342">
        <v>0</v>
      </c>
      <c r="E4" s="342">
        <f>INDEX('Combined Data'!$B$28:$AK$28,1,MATCH('BPEiC-CO2'!$A4,'Combined Data'!$B$2:$AK$2))*10^12</f>
        <v>235960256817845</v>
      </c>
      <c r="F4" s="342">
        <v>0</v>
      </c>
      <c r="G4" s="342">
        <v>0</v>
      </c>
      <c r="H4" s="342">
        <v>0</v>
      </c>
      <c r="I4" s="342">
        <f>INDEX('Combined Data'!$B$72:$AK$72,1,MATCH('BPEiC-CO2'!$A4,'Combined Data'!$B$2:$AK$2))*10^12</f>
        <v>12633625898131.969</v>
      </c>
    </row>
    <row r="5" spans="1:9" x14ac:dyDescent="0.25">
      <c r="A5" s="110">
        <v>2018</v>
      </c>
      <c r="B5" s="342">
        <v>0</v>
      </c>
      <c r="C5" s="342">
        <v>0</v>
      </c>
      <c r="D5" s="342">
        <v>0</v>
      </c>
      <c r="E5" s="342">
        <f>INDEX('Combined Data'!$B$28:$AK$28,1,MATCH('BPEiC-CO2'!$A5,'Combined Data'!$B$2:$AK$2))*10^12</f>
        <v>244267247458737.25</v>
      </c>
      <c r="F5" s="342">
        <v>0</v>
      </c>
      <c r="G5" s="342">
        <v>0</v>
      </c>
      <c r="H5" s="342">
        <v>0</v>
      </c>
      <c r="I5" s="342">
        <f>INDEX('Combined Data'!$B$72:$AK$72,1,MATCH('BPEiC-CO2'!$A5,'Combined Data'!$B$2:$AK$2))*10^12</f>
        <v>12689120568518.07</v>
      </c>
    </row>
    <row r="6" spans="1:9" x14ac:dyDescent="0.25">
      <c r="A6" s="110">
        <v>2019</v>
      </c>
      <c r="B6" s="342">
        <v>0</v>
      </c>
      <c r="C6" s="342">
        <v>0</v>
      </c>
      <c r="D6" s="342">
        <v>0</v>
      </c>
      <c r="E6" s="342">
        <f>INDEX('Combined Data'!$B$28:$AK$28,1,MATCH('BPEiC-CO2'!$A6,'Combined Data'!$B$2:$AK$2))*10^12</f>
        <v>252589587631674.09</v>
      </c>
      <c r="F6" s="342">
        <v>0</v>
      </c>
      <c r="G6" s="342">
        <v>0</v>
      </c>
      <c r="H6" s="342">
        <v>0</v>
      </c>
      <c r="I6" s="342">
        <f>INDEX('Combined Data'!$B$72:$AK$72,1,MATCH('BPEiC-CO2'!$A6,'Combined Data'!$B$2:$AK$2))*10^12</f>
        <v>12727787496668.092</v>
      </c>
    </row>
    <row r="7" spans="1:9" x14ac:dyDescent="0.25">
      <c r="A7" s="110">
        <v>2020</v>
      </c>
      <c r="B7" s="342">
        <v>0</v>
      </c>
      <c r="C7" s="342">
        <v>0</v>
      </c>
      <c r="D7" s="342">
        <v>0</v>
      </c>
      <c r="E7" s="342">
        <f>INDEX('Combined Data'!$B$28:$AK$28,1,MATCH('BPEiC-CO2'!$A7,'Combined Data'!$B$2:$AK$2))*10^12</f>
        <v>260928044813257.81</v>
      </c>
      <c r="F7" s="342">
        <v>0</v>
      </c>
      <c r="G7" s="342">
        <v>0</v>
      </c>
      <c r="H7" s="342">
        <v>0</v>
      </c>
      <c r="I7" s="342">
        <f>INDEX('Combined Data'!$B$72:$AK$72,1,MATCH('BPEiC-CO2'!$A7,'Combined Data'!$B$2:$AK$2))*10^12</f>
        <v>12742730060372.018</v>
      </c>
    </row>
    <row r="8" spans="1:9" x14ac:dyDescent="0.25">
      <c r="A8" s="110">
        <v>2021</v>
      </c>
      <c r="B8" s="342">
        <v>0</v>
      </c>
      <c r="C8" s="342">
        <v>0</v>
      </c>
      <c r="D8" s="342">
        <v>0</v>
      </c>
      <c r="E8" s="342">
        <f>INDEX('Combined Data'!$B$28:$AK$28,1,MATCH('BPEiC-CO2'!$A8,'Combined Data'!$B$2:$AK$2))*10^12</f>
        <v>270062980853919.28</v>
      </c>
      <c r="F8" s="342">
        <v>0</v>
      </c>
      <c r="G8" s="342">
        <v>0</v>
      </c>
      <c r="H8" s="342">
        <v>0</v>
      </c>
      <c r="I8" s="342">
        <f>INDEX('Combined Data'!$B$72:$AK$72,1,MATCH('BPEiC-CO2'!$A8,'Combined Data'!$B$2:$AK$2))*10^12</f>
        <v>12975361409475.436</v>
      </c>
    </row>
    <row r="9" spans="1:9" x14ac:dyDescent="0.25">
      <c r="A9" s="110">
        <v>2022</v>
      </c>
      <c r="B9" s="342">
        <v>0</v>
      </c>
      <c r="C9" s="342">
        <v>0</v>
      </c>
      <c r="D9" s="342">
        <v>0</v>
      </c>
      <c r="E9" s="342">
        <f>INDEX('Combined Data'!$B$28:$AK$28,1,MATCH('BPEiC-CO2'!$A9,'Combined Data'!$B$2:$AK$2))*10^12</f>
        <v>281036129896617.47</v>
      </c>
      <c r="F9" s="342">
        <v>0</v>
      </c>
      <c r="G9" s="342">
        <v>0</v>
      </c>
      <c r="H9" s="342">
        <v>0</v>
      </c>
      <c r="I9" s="342">
        <f>INDEX('Combined Data'!$B$72:$AK$72,1,MATCH('BPEiC-CO2'!$A9,'Combined Data'!$B$2:$AK$2))*10^12</f>
        <v>13227766954109.105</v>
      </c>
    </row>
    <row r="10" spans="1:9" x14ac:dyDescent="0.25">
      <c r="A10" s="110">
        <v>2023</v>
      </c>
      <c r="B10" s="342">
        <v>0</v>
      </c>
      <c r="C10" s="342">
        <v>0</v>
      </c>
      <c r="D10" s="342">
        <v>0</v>
      </c>
      <c r="E10" s="342">
        <f>INDEX('Combined Data'!$B$28:$AK$28,1,MATCH('BPEiC-CO2'!$A10,'Combined Data'!$B$2:$AK$2))*10^12</f>
        <v>292027936391446.88</v>
      </c>
      <c r="F10" s="342">
        <v>0</v>
      </c>
      <c r="G10" s="342">
        <v>0</v>
      </c>
      <c r="H10" s="342">
        <v>0</v>
      </c>
      <c r="I10" s="342">
        <f>INDEX('Combined Data'!$B$72:$AK$72,1,MATCH('BPEiC-CO2'!$A10,'Combined Data'!$B$2:$AK$2))*10^12</f>
        <v>13500583051298.422</v>
      </c>
    </row>
    <row r="11" spans="1:9" x14ac:dyDescent="0.25">
      <c r="A11" s="110">
        <v>2024</v>
      </c>
      <c r="B11" s="342">
        <v>0</v>
      </c>
      <c r="C11" s="342">
        <v>0</v>
      </c>
      <c r="D11" s="342">
        <v>0</v>
      </c>
      <c r="E11" s="342">
        <f>INDEX('Combined Data'!$B$28:$AK$28,1,MATCH('BPEiC-CO2'!$A11,'Combined Data'!$B$2:$AK$2))*10^12</f>
        <v>303039333211017.75</v>
      </c>
      <c r="F11" s="342">
        <v>0</v>
      </c>
      <c r="G11" s="342">
        <v>0</v>
      </c>
      <c r="H11" s="342">
        <v>0</v>
      </c>
      <c r="I11" s="342">
        <f>INDEX('Combined Data'!$B$72:$AK$72,1,MATCH('BPEiC-CO2'!$A11,'Combined Data'!$B$2:$AK$2))*10^12</f>
        <v>13794500064786.395</v>
      </c>
    </row>
    <row r="12" spans="1:9" x14ac:dyDescent="0.25">
      <c r="A12" s="110">
        <v>2025</v>
      </c>
      <c r="B12" s="342">
        <v>0</v>
      </c>
      <c r="C12" s="342">
        <v>0</v>
      </c>
      <c r="D12" s="342">
        <v>0</v>
      </c>
      <c r="E12" s="342">
        <f>INDEX('Combined Data'!$B$28:$AK$28,1,MATCH('BPEiC-CO2'!$A12,'Combined Data'!$B$2:$AK$2))*10^12</f>
        <v>314071299871570.94</v>
      </c>
      <c r="F12" s="342">
        <v>0</v>
      </c>
      <c r="G12" s="342">
        <v>0</v>
      </c>
      <c r="H12" s="342">
        <v>0</v>
      </c>
      <c r="I12" s="342">
        <f>INDEX('Combined Data'!$B$72:$AK$72,1,MATCH('BPEiC-CO2'!$A12,'Combined Data'!$B$2:$AK$2))*10^12</f>
        <v>14110263847812.564</v>
      </c>
    </row>
    <row r="13" spans="1:9" x14ac:dyDescent="0.25">
      <c r="A13" s="110">
        <v>2026</v>
      </c>
      <c r="B13" s="342">
        <v>0</v>
      </c>
      <c r="C13" s="342">
        <v>0</v>
      </c>
      <c r="D13" s="342">
        <v>0</v>
      </c>
      <c r="E13" s="342">
        <f>INDEX('Combined Data'!$B$28:$AK$28,1,MATCH('BPEiC-CO2'!$A13,'Combined Data'!$B$2:$AK$2))*10^12</f>
        <v>316124864865149.88</v>
      </c>
      <c r="F13" s="342">
        <v>0</v>
      </c>
      <c r="G13" s="342">
        <v>0</v>
      </c>
      <c r="H13" s="342">
        <v>0</v>
      </c>
      <c r="I13" s="342">
        <f>INDEX('Combined Data'!$B$72:$AK$72,1,MATCH('BPEiC-CO2'!$A13,'Combined Data'!$B$2:$AK$2))*10^12</f>
        <v>14448677401469.662</v>
      </c>
    </row>
    <row r="14" spans="1:9" x14ac:dyDescent="0.25">
      <c r="A14" s="110">
        <v>2027</v>
      </c>
      <c r="B14" s="342">
        <v>0</v>
      </c>
      <c r="C14" s="342">
        <v>0</v>
      </c>
      <c r="D14" s="342">
        <v>0</v>
      </c>
      <c r="E14" s="342">
        <f>INDEX('Combined Data'!$B$28:$AK$28,1,MATCH('BPEiC-CO2'!$A14,'Combined Data'!$B$2:$AK$2))*10^12</f>
        <v>318201108108407.25</v>
      </c>
      <c r="F14" s="342">
        <v>0</v>
      </c>
      <c r="G14" s="342">
        <v>0</v>
      </c>
      <c r="H14" s="342">
        <v>0</v>
      </c>
      <c r="I14" s="342">
        <f>INDEX('Combined Data'!$B$72:$AK$72,1,MATCH('BPEiC-CO2'!$A14,'Combined Data'!$B$2:$AK$2))*10^12</f>
        <v>14810602710648.551</v>
      </c>
    </row>
    <row r="15" spans="1:9" x14ac:dyDescent="0.25">
      <c r="A15" s="110">
        <v>2028</v>
      </c>
      <c r="B15" s="342">
        <v>0</v>
      </c>
      <c r="C15" s="342">
        <v>0</v>
      </c>
      <c r="D15" s="342">
        <v>0</v>
      </c>
      <c r="E15" s="342">
        <f>INDEX('Combined Data'!$B$28:$AK$28,1,MATCH('BPEiC-CO2'!$A15,'Combined Data'!$B$2:$AK$2))*10^12</f>
        <v>320301163513827.56</v>
      </c>
      <c r="F15" s="342">
        <v>0</v>
      </c>
      <c r="G15" s="342">
        <v>0</v>
      </c>
      <c r="H15" s="342">
        <v>0</v>
      </c>
      <c r="I15" s="342">
        <f>INDEX('Combined Data'!$B$72:$AK$72,1,MATCH('BPEiC-CO2'!$A15,'Combined Data'!$B$2:$AK$2))*10^12</f>
        <v>15196962760272.354</v>
      </c>
    </row>
    <row r="16" spans="1:9" x14ac:dyDescent="0.25">
      <c r="A16" s="110">
        <v>2029</v>
      </c>
      <c r="B16" s="342">
        <v>0</v>
      </c>
      <c r="C16" s="342">
        <v>0</v>
      </c>
      <c r="D16" s="342">
        <v>0</v>
      </c>
      <c r="E16" s="342">
        <f>INDEX('Combined Data'!$B$28:$AK$28,1,MATCH('BPEiC-CO2'!$A16,'Combined Data'!$B$2:$AK$2))*10^12</f>
        <v>322426221689518.81</v>
      </c>
      <c r="F16" s="342">
        <v>0</v>
      </c>
      <c r="G16" s="342">
        <v>0</v>
      </c>
      <c r="H16" s="342">
        <v>0</v>
      </c>
      <c r="I16" s="342">
        <f>INDEX('Combined Data'!$B$72:$AK$72,1,MATCH('BPEiC-CO2'!$A16,'Combined Data'!$B$2:$AK$2))*10^12</f>
        <v>15608743735203.125</v>
      </c>
    </row>
    <row r="17" spans="1:9" x14ac:dyDescent="0.25">
      <c r="A17" s="110">
        <v>2030</v>
      </c>
      <c r="B17" s="342">
        <v>0</v>
      </c>
      <c r="C17" s="342">
        <v>0</v>
      </c>
      <c r="D17" s="342">
        <v>0</v>
      </c>
      <c r="E17" s="342">
        <f>INDEX('Combined Data'!$B$28:$AK$28,1,MATCH('BPEiC-CO2'!$A17,'Combined Data'!$B$2:$AK$2))*10^12</f>
        <v>324577532773994.63</v>
      </c>
      <c r="F17" s="342">
        <v>0</v>
      </c>
      <c r="G17" s="342">
        <v>0</v>
      </c>
      <c r="H17" s="342">
        <v>0</v>
      </c>
      <c r="I17" s="342">
        <f>INDEX('Combined Data'!$B$72:$AK$72,1,MATCH('BPEiC-CO2'!$A17,'Combined Data'!$B$2:$AK$2))*10^12</f>
        <v>16046997407881.572</v>
      </c>
    </row>
    <row r="18" spans="1:9" x14ac:dyDescent="0.25">
      <c r="A18" s="110">
        <v>2031</v>
      </c>
      <c r="B18" s="342">
        <v>0</v>
      </c>
      <c r="C18" s="342">
        <v>0</v>
      </c>
      <c r="D18" s="342">
        <v>0</v>
      </c>
      <c r="E18" s="342">
        <f>INDEX('Combined Data'!$B$28:$AK$28,1,MATCH('BPEiC-CO2'!$A18,'Combined Data'!$B$2:$AK$2))*10^12</f>
        <v>329556409412695.81</v>
      </c>
      <c r="F18" s="342">
        <v>0</v>
      </c>
      <c r="G18" s="342">
        <v>0</v>
      </c>
      <c r="H18" s="342">
        <v>0</v>
      </c>
      <c r="I18" s="342">
        <f>INDEX('Combined Data'!$B$72:$AK$72,1,MATCH('BPEiC-CO2'!$A18,'Combined Data'!$B$2:$AK$2))*10^12</f>
        <v>16512843718435.781</v>
      </c>
    </row>
    <row r="19" spans="1:9" x14ac:dyDescent="0.25">
      <c r="A19" s="110">
        <v>2032</v>
      </c>
      <c r="B19" s="342">
        <v>0</v>
      </c>
      <c r="C19" s="342">
        <v>0</v>
      </c>
      <c r="D19" s="342">
        <v>0</v>
      </c>
      <c r="E19" s="342">
        <f>INDEX('Combined Data'!$B$28:$AK$28,1,MATCH('BPEiC-CO2'!$A19,'Combined Data'!$B$2:$AK$2))*10^12</f>
        <v>334564229883330.19</v>
      </c>
      <c r="F19" s="342">
        <v>0</v>
      </c>
      <c r="G19" s="342">
        <v>0</v>
      </c>
      <c r="H19" s="342">
        <v>0</v>
      </c>
      <c r="I19" s="342">
        <f>INDEX('Combined Data'!$B$72:$AK$72,1,MATCH('BPEiC-CO2'!$A19,'Combined Data'!$B$2:$AK$2))*10^12</f>
        <v>17007473552671.596</v>
      </c>
    </row>
    <row r="20" spans="1:9" x14ac:dyDescent="0.25">
      <c r="A20" s="110">
        <v>2033</v>
      </c>
      <c r="B20" s="342">
        <v>0</v>
      </c>
      <c r="C20" s="342">
        <v>0</v>
      </c>
      <c r="D20" s="342">
        <v>0</v>
      </c>
      <c r="E20" s="342">
        <f>INDEX('Combined Data'!$B$28:$AK$28,1,MATCH('BPEiC-CO2'!$A20,'Combined Data'!$B$2:$AK$2))*10^12</f>
        <v>339602441377496.31</v>
      </c>
      <c r="F20" s="342">
        <v>0</v>
      </c>
      <c r="G20" s="342">
        <v>0</v>
      </c>
      <c r="H20" s="342">
        <v>0</v>
      </c>
      <c r="I20" s="342">
        <f>INDEX('Combined Data'!$B$72:$AK$72,1,MATCH('BPEiC-CO2'!$A20,'Combined Data'!$B$2:$AK$2))*10^12</f>
        <v>17532151724037.859</v>
      </c>
    </row>
    <row r="21" spans="1:9" x14ac:dyDescent="0.25">
      <c r="A21" s="110">
        <v>2034</v>
      </c>
      <c r="B21" s="342">
        <v>0</v>
      </c>
      <c r="C21" s="342">
        <v>0</v>
      </c>
      <c r="D21" s="342">
        <v>0</v>
      </c>
      <c r="E21" s="342">
        <f>INDEX('Combined Data'!$B$28:$AK$28,1,MATCH('BPEiC-CO2'!$A21,'Combined Data'!$B$2:$AK$2))*10^12</f>
        <v>344672563446370.69</v>
      </c>
      <c r="F21" s="342">
        <v>0</v>
      </c>
      <c r="G21" s="342">
        <v>0</v>
      </c>
      <c r="H21" s="342">
        <v>0</v>
      </c>
      <c r="I21" s="342">
        <f>INDEX('Combined Data'!$B$72:$AK$72,1,MATCH('BPEiC-CO2'!$A21,'Combined Data'!$B$2:$AK$2))*10^12</f>
        <v>18088220166347.68</v>
      </c>
    </row>
    <row r="22" spans="1:9" x14ac:dyDescent="0.25">
      <c r="A22" s="110">
        <v>2035</v>
      </c>
      <c r="B22" s="342">
        <v>0</v>
      </c>
      <c r="C22" s="342">
        <v>0</v>
      </c>
      <c r="D22" s="342">
        <v>0</v>
      </c>
      <c r="E22" s="342">
        <f>INDEX('Combined Data'!$B$28:$AK$28,1,MATCH('BPEiC-CO2'!$A22,'Combined Data'!$B$2:$AK$2))*10^12</f>
        <v>349776191618688.81</v>
      </c>
      <c r="F22" s="342">
        <v>0</v>
      </c>
      <c r="G22" s="342">
        <v>0</v>
      </c>
      <c r="H22" s="342">
        <v>0</v>
      </c>
      <c r="I22" s="342">
        <f>INDEX('Combined Data'!$B$72:$AK$72,1,MATCH('BPEiC-CO2'!$A22,'Combined Data'!$B$2:$AK$2))*10^12</f>
        <v>18677101344734.234</v>
      </c>
    </row>
    <row r="23" spans="1:9" x14ac:dyDescent="0.25">
      <c r="A23" s="110">
        <v>2036</v>
      </c>
      <c r="B23" s="342">
        <v>0</v>
      </c>
      <c r="C23" s="342">
        <v>0</v>
      </c>
      <c r="D23" s="342">
        <v>0</v>
      </c>
      <c r="E23" s="342">
        <f>INDEX('Combined Data'!$B$28:$AK$28,1,MATCH('BPEiC-CO2'!$A23,'Combined Data'!$B$2:$AK$2))*10^12</f>
        <v>355315001199622.56</v>
      </c>
      <c r="F23" s="342">
        <v>0</v>
      </c>
      <c r="G23" s="342">
        <v>0</v>
      </c>
      <c r="H23" s="342">
        <v>0</v>
      </c>
      <c r="I23" s="342">
        <f>INDEX('Combined Data'!$B$72:$AK$72,1,MATCH('BPEiC-CO2'!$A23,'Combined Data'!$B$2:$AK$2))*10^12</f>
        <v>19300301893030.223</v>
      </c>
    </row>
    <row r="24" spans="1:9" x14ac:dyDescent="0.25">
      <c r="A24" s="110">
        <v>2037</v>
      </c>
      <c r="B24" s="342">
        <v>0</v>
      </c>
      <c r="C24" s="342">
        <v>0</v>
      </c>
      <c r="D24" s="342">
        <v>0</v>
      </c>
      <c r="E24" s="342">
        <f>INDEX('Combined Data'!$B$28:$AK$28,1,MATCH('BPEiC-CO2'!$A24,'Combined Data'!$B$2:$AK$2))*10^12</f>
        <v>360890751259604.81</v>
      </c>
      <c r="F24" s="342">
        <v>0</v>
      </c>
      <c r="G24" s="342">
        <v>0</v>
      </c>
      <c r="H24" s="342">
        <v>0</v>
      </c>
      <c r="I24" s="342">
        <f>INDEX('Combined Data'!$B$72:$AK$72,1,MATCH('BPEiC-CO2'!$A24,'Combined Data'!$B$2:$AK$2))*10^12</f>
        <v>19959416486485.516</v>
      </c>
    </row>
    <row r="25" spans="1:9" x14ac:dyDescent="0.25">
      <c r="A25" s="110">
        <v>2038</v>
      </c>
      <c r="B25" s="342">
        <v>0</v>
      </c>
      <c r="C25" s="342">
        <v>0</v>
      </c>
      <c r="D25" s="342">
        <v>0</v>
      </c>
      <c r="E25" s="342">
        <f>INDEX('Combined Data'!$B$28:$AK$28,1,MATCH('BPEiC-CO2'!$A25,'Combined Data'!$B$2:$AK$2))*10^12</f>
        <v>366505288822584.31</v>
      </c>
      <c r="F25" s="342">
        <v>0</v>
      </c>
      <c r="G25" s="342">
        <v>0</v>
      </c>
      <c r="H25" s="342">
        <v>0</v>
      </c>
      <c r="I25" s="342">
        <f>INDEX('Combined Data'!$B$72:$AK$72,1,MATCH('BPEiC-CO2'!$A25,'Combined Data'!$B$2:$AK$2))*10^12</f>
        <v>20656131959481.676</v>
      </c>
    </row>
    <row r="26" spans="1:9" x14ac:dyDescent="0.25">
      <c r="A26" s="110">
        <v>2039</v>
      </c>
      <c r="B26" s="342">
        <v>0</v>
      </c>
      <c r="C26" s="342">
        <v>0</v>
      </c>
      <c r="D26" s="342">
        <v>0</v>
      </c>
      <c r="E26" s="342">
        <f>INDEX('Combined Data'!$B$28:$AK$28,1,MATCH('BPEiC-CO2'!$A26,'Combined Data'!$B$2:$AK$2))*10^12</f>
        <v>372160553263712.81</v>
      </c>
      <c r="F26" s="342">
        <v>0</v>
      </c>
      <c r="G26" s="342">
        <v>0</v>
      </c>
      <c r="H26" s="342">
        <v>0</v>
      </c>
      <c r="I26" s="342">
        <f>INDEX('Combined Data'!$B$72:$AK$72,1,MATCH('BPEiC-CO2'!$A26,'Combined Data'!$B$2:$AK$2))*10^12</f>
        <v>21392231678667.137</v>
      </c>
    </row>
    <row r="27" spans="1:9" x14ac:dyDescent="0.25">
      <c r="A27" s="110">
        <v>2040</v>
      </c>
      <c r="B27" s="342">
        <v>0</v>
      </c>
      <c r="C27" s="342">
        <v>0</v>
      </c>
      <c r="D27" s="342">
        <v>0</v>
      </c>
      <c r="E27" s="342">
        <f>INDEX('Combined Data'!$B$28:$AK$28,1,MATCH('BPEiC-CO2'!$A27,'Combined Data'!$B$2:$AK$2))*10^12</f>
        <v>377858580926899.63</v>
      </c>
      <c r="F27" s="342">
        <v>0</v>
      </c>
      <c r="G27" s="342">
        <v>0</v>
      </c>
      <c r="H27" s="342">
        <v>0</v>
      </c>
      <c r="I27" s="342">
        <f>INDEX('Combined Data'!$B$72:$AK$72,1,MATCH('BPEiC-CO2'!$A27,'Combined Data'!$B$2:$AK$2))*10^12</f>
        <v>22169600182725.324</v>
      </c>
    </row>
    <row r="28" spans="1:9" x14ac:dyDescent="0.25">
      <c r="A28" s="110">
        <v>2041</v>
      </c>
      <c r="B28" s="342">
        <v>0</v>
      </c>
      <c r="C28" s="342">
        <v>0</v>
      </c>
      <c r="D28" s="342">
        <v>0</v>
      </c>
      <c r="E28" s="342">
        <f>INDEX('Combined Data'!$B$28:$AK$28,1,MATCH('BPEiC-CO2'!$A28,'Combined Data'!$B$2:$AK$2))*10^12</f>
        <v>382801509973244.56</v>
      </c>
      <c r="F28" s="342">
        <v>0</v>
      </c>
      <c r="G28" s="342">
        <v>0</v>
      </c>
      <c r="H28" s="342">
        <v>0</v>
      </c>
      <c r="I28" s="342">
        <f>INDEX('Combined Data'!$B$72:$AK$72,1,MATCH('BPEiC-CO2'!$A28,'Combined Data'!$B$2:$AK$2))*10^12</f>
        <v>22990228100803.953</v>
      </c>
    </row>
    <row r="29" spans="1:9" x14ac:dyDescent="0.25">
      <c r="A29" s="110">
        <v>2042</v>
      </c>
      <c r="B29" s="342">
        <v>0</v>
      </c>
      <c r="C29" s="342">
        <v>0</v>
      </c>
      <c r="D29" s="342">
        <v>0</v>
      </c>
      <c r="E29" s="342">
        <f>INDEX('Combined Data'!$B$28:$AK$28,1,MATCH('BPEiC-CO2'!$A29,'Combined Data'!$B$2:$AK$2))*10^12</f>
        <v>387791585471906.81</v>
      </c>
      <c r="F29" s="342">
        <v>0</v>
      </c>
      <c r="G29" s="342">
        <v>0</v>
      </c>
      <c r="H29" s="342">
        <v>0</v>
      </c>
      <c r="I29" s="342">
        <f>INDEX('Combined Data'!$B$72:$AK$72,1,MATCH('BPEiC-CO2'!$A29,'Combined Data'!$B$2:$AK$2))*10^12</f>
        <v>23856217362478.281</v>
      </c>
    </row>
    <row r="30" spans="1:9" x14ac:dyDescent="0.25">
      <c r="A30" s="110">
        <v>2043</v>
      </c>
      <c r="B30" s="342">
        <v>0</v>
      </c>
      <c r="C30" s="342">
        <v>0</v>
      </c>
      <c r="D30" s="342">
        <v>0</v>
      </c>
      <c r="E30" s="342">
        <f>INDEX('Combined Data'!$B$28:$AK$28,1,MATCH('BPEiC-CO2'!$A30,'Combined Data'!$B$2:$AK$2))*10^12</f>
        <v>392831164745502.13</v>
      </c>
      <c r="F30" s="342">
        <v>0</v>
      </c>
      <c r="G30" s="342">
        <v>0</v>
      </c>
      <c r="H30" s="342">
        <v>0</v>
      </c>
      <c r="I30" s="342">
        <f>INDEX('Combined Data'!$B$72:$AK$72,1,MATCH('BPEiC-CO2'!$A30,'Combined Data'!$B$2:$AK$2))*10^12</f>
        <v>24769786712999.074</v>
      </c>
    </row>
    <row r="31" spans="1:9" x14ac:dyDescent="0.25">
      <c r="A31" s="110">
        <v>2044</v>
      </c>
      <c r="B31" s="342">
        <v>0</v>
      </c>
      <c r="C31" s="342">
        <v>0</v>
      </c>
      <c r="D31" s="342">
        <v>0</v>
      </c>
      <c r="E31" s="342">
        <f>INDEX('Combined Data'!$B$28:$AK$28,1,MATCH('BPEiC-CO2'!$A31,'Combined Data'!$B$2:$AK$2))*10^12</f>
        <v>397922722982777.25</v>
      </c>
      <c r="F31" s="342">
        <v>0</v>
      </c>
      <c r="G31" s="342">
        <v>0</v>
      </c>
      <c r="H31" s="342">
        <v>0</v>
      </c>
      <c r="I31" s="342">
        <f>INDEX('Combined Data'!$B$72:$AK$72,1,MATCH('BPEiC-CO2'!$A31,'Combined Data'!$B$2:$AK$2))*10^12</f>
        <v>25733277548488.637</v>
      </c>
    </row>
    <row r="32" spans="1:9" x14ac:dyDescent="0.25">
      <c r="A32" s="110">
        <v>2045</v>
      </c>
      <c r="B32" s="342">
        <v>0</v>
      </c>
      <c r="C32" s="342">
        <v>0</v>
      </c>
      <c r="D32" s="342">
        <v>0</v>
      </c>
      <c r="E32" s="342">
        <f>INDEX('Combined Data'!$B$28:$AK$28,1,MATCH('BPEiC-CO2'!$A32,'Combined Data'!$B$2:$AK$2))*10^12</f>
        <v>403068859131916.13</v>
      </c>
      <c r="F32" s="342">
        <v>0</v>
      </c>
      <c r="G32" s="342">
        <v>0</v>
      </c>
      <c r="H32" s="342">
        <v>0</v>
      </c>
      <c r="I32" s="342">
        <f>INDEX('Combined Data'!$B$72:$AK$72,1,MATCH('BPEiC-CO2'!$A32,'Combined Data'!$B$2:$AK$2))*10^12</f>
        <v>26749160086700.066</v>
      </c>
    </row>
    <row r="33" spans="1:9" x14ac:dyDescent="0.25">
      <c r="A33" s="110">
        <v>2046</v>
      </c>
      <c r="B33" s="342">
        <v>0</v>
      </c>
      <c r="C33" s="342">
        <v>0</v>
      </c>
      <c r="D33" s="342">
        <v>0</v>
      </c>
      <c r="E33" s="342">
        <f>INDEX('Combined Data'!$B$28:$AK$28,1,MATCH('BPEiC-CO2'!$A33,'Combined Data'!$B$2:$AK$2))*10^12</f>
        <v>407272302088511.94</v>
      </c>
      <c r="F33" s="342">
        <v>0</v>
      </c>
      <c r="G33" s="342">
        <v>0</v>
      </c>
      <c r="H33" s="342">
        <v>0</v>
      </c>
      <c r="I33" s="342">
        <f>INDEX('Combined Data'!$B$72:$AK$72,1,MATCH('BPEiC-CO2'!$A33,'Combined Data'!$B$2:$AK$2))*10^12</f>
        <v>27820039889947.941</v>
      </c>
    </row>
    <row r="34" spans="1:9" x14ac:dyDescent="0.25">
      <c r="A34" s="110">
        <v>2047</v>
      </c>
      <c r="B34" s="342">
        <v>0</v>
      </c>
      <c r="C34" s="342">
        <v>0</v>
      </c>
      <c r="D34" s="342">
        <v>0</v>
      </c>
      <c r="E34" s="342">
        <f>INDEX('Combined Data'!$B$28:$AK$28,1,MATCH('BPEiC-CO2'!$A34,'Combined Data'!$B$2:$AK$2))*10^12</f>
        <v>411535917192937.5</v>
      </c>
      <c r="F34" s="342">
        <v>0</v>
      </c>
      <c r="G34" s="342">
        <v>0</v>
      </c>
      <c r="H34" s="342">
        <v>0</v>
      </c>
      <c r="I34" s="342">
        <f>INDEX('Combined Data'!$B$72:$AK$72,1,MATCH('BPEiC-CO2'!$A34,'Combined Data'!$B$2:$AK$2))*10^12</f>
        <v>28948664757857.117</v>
      </c>
    </row>
    <row r="35" spans="1:9" x14ac:dyDescent="0.25">
      <c r="A35" s="110">
        <v>2048</v>
      </c>
      <c r="B35" s="342">
        <v>0</v>
      </c>
      <c r="C35" s="342">
        <v>0</v>
      </c>
      <c r="D35" s="342">
        <v>0</v>
      </c>
      <c r="E35" s="342">
        <f>INDEX('Combined Data'!$B$28:$AK$28,1,MATCH('BPEiC-CO2'!$A35,'Combined Data'!$B$2:$AK$2))*10^12</f>
        <v>415862713052584.44</v>
      </c>
      <c r="F35" s="342">
        <v>0</v>
      </c>
      <c r="G35" s="342">
        <v>0</v>
      </c>
      <c r="H35" s="342">
        <v>0</v>
      </c>
      <c r="I35" s="342">
        <f>INDEX('Combined Data'!$B$72:$AK$72,1,MATCH('BPEiC-CO2'!$A35,'Combined Data'!$B$2:$AK$2))*10^12</f>
        <v>30137932008662.59</v>
      </c>
    </row>
    <row r="36" spans="1:9" x14ac:dyDescent="0.25">
      <c r="A36" s="110">
        <v>2049</v>
      </c>
      <c r="B36" s="342">
        <v>0</v>
      </c>
      <c r="C36" s="342">
        <v>0</v>
      </c>
      <c r="D36" s="342">
        <v>0</v>
      </c>
      <c r="E36" s="342">
        <f>INDEX('Combined Data'!$B$28:$AK$28,1,MATCH('BPEiC-CO2'!$A36,'Combined Data'!$B$2:$AK$2))*10^12</f>
        <v>420255848705213.63</v>
      </c>
      <c r="F36" s="342">
        <v>0</v>
      </c>
      <c r="G36" s="342">
        <v>0</v>
      </c>
      <c r="H36" s="342">
        <v>0</v>
      </c>
      <c r="I36" s="342">
        <f>INDEX('Combined Data'!$B$72:$AK$72,1,MATCH('BPEiC-CO2'!$A36,'Combined Data'!$B$2:$AK$2))*10^12</f>
        <v>31390896168932.398</v>
      </c>
    </row>
    <row r="37" spans="1:9" x14ac:dyDescent="0.25">
      <c r="A37" s="110">
        <v>2050</v>
      </c>
      <c r="B37" s="342">
        <v>0</v>
      </c>
      <c r="C37" s="342">
        <v>0</v>
      </c>
      <c r="D37" s="342">
        <v>0</v>
      </c>
      <c r="E37" s="342">
        <f>INDEX('Combined Data'!$B$28:$AK$28,1,MATCH('BPEiC-CO2'!$A37,'Combined Data'!$B$2:$AK$2))*10^12</f>
        <v>424718641140474.31</v>
      </c>
      <c r="F37" s="342">
        <v>0</v>
      </c>
      <c r="G37" s="342">
        <v>0</v>
      </c>
      <c r="H37" s="342">
        <v>0</v>
      </c>
      <c r="I37" s="342">
        <f>INDEX('Combined Data'!$B$72:$AK$72,1,MATCH('BPEiC-CO2'!$A37,'Combined Data'!$B$2:$AK$2))*10^12</f>
        <v>32710777092779.02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5" tint="0.79998168889431442"/>
  </sheetPr>
  <dimension ref="A1:AB185"/>
  <sheetViews>
    <sheetView workbookViewId="0">
      <pane xSplit="1" ySplit="7" topLeftCell="B83" activePane="bottomRight" state="frozen"/>
      <selection activeCell="E37" sqref="E37"/>
      <selection pane="topRight" activeCell="E37" sqref="E37"/>
      <selection pane="bottomLeft" activeCell="E37" sqref="E37"/>
      <selection pane="bottomRight" activeCell="E37" sqref="E37"/>
    </sheetView>
  </sheetViews>
  <sheetFormatPr defaultColWidth="9.140625" defaultRowHeight="12" x14ac:dyDescent="0.2"/>
  <cols>
    <col min="1" max="1" width="29.140625" style="243" customWidth="1"/>
    <col min="2" max="27" width="7.85546875" style="245" customWidth="1"/>
    <col min="28" max="16384" width="9.140625" style="180"/>
  </cols>
  <sheetData>
    <row r="1" spans="1:28" s="167" customFormat="1" ht="15.75" x14ac:dyDescent="0.25">
      <c r="A1" s="167" t="s">
        <v>1385</v>
      </c>
      <c r="B1" s="168"/>
      <c r="C1" s="168"/>
      <c r="D1" s="168"/>
      <c r="E1" s="168"/>
      <c r="F1" s="168"/>
      <c r="G1" s="168"/>
      <c r="H1" s="168"/>
      <c r="I1" s="168"/>
      <c r="J1" s="168"/>
      <c r="K1" s="168"/>
      <c r="L1" s="168"/>
      <c r="M1" s="168"/>
      <c r="N1" s="168"/>
      <c r="O1" s="168"/>
      <c r="P1" s="168"/>
      <c r="Q1" s="168"/>
      <c r="R1" s="168"/>
      <c r="S1" s="168"/>
      <c r="T1" s="168"/>
      <c r="U1" s="168"/>
      <c r="V1" s="168"/>
      <c r="W1" s="168"/>
      <c r="X1" s="168"/>
      <c r="Y1" s="168"/>
      <c r="Z1" s="168"/>
      <c r="AA1" s="168"/>
    </row>
    <row r="2" spans="1:28" s="171" customFormat="1" ht="12.75" x14ac:dyDescent="0.2">
      <c r="A2" s="169"/>
      <c r="B2" s="170"/>
      <c r="C2" s="170"/>
      <c r="D2" s="170"/>
      <c r="E2" s="170"/>
      <c r="F2" s="170"/>
      <c r="G2" s="170"/>
      <c r="H2" s="170"/>
      <c r="I2" s="170"/>
      <c r="J2" s="170"/>
      <c r="K2" s="170"/>
      <c r="L2" s="170"/>
      <c r="M2" s="170"/>
      <c r="N2" s="170"/>
      <c r="O2" s="170"/>
      <c r="P2" s="170"/>
      <c r="Q2" s="170"/>
      <c r="R2" s="170"/>
      <c r="S2" s="170"/>
      <c r="T2" s="170"/>
      <c r="U2" s="170"/>
      <c r="V2" s="170"/>
      <c r="W2" s="170"/>
      <c r="X2" s="170"/>
      <c r="Y2" s="170"/>
      <c r="Z2" s="170"/>
      <c r="AA2" s="170"/>
    </row>
    <row r="3" spans="1:28" s="171" customFormat="1" ht="12.75" x14ac:dyDescent="0.2">
      <c r="A3" s="172" t="s">
        <v>1386</v>
      </c>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row>
    <row r="4" spans="1:28" s="171" customFormat="1" ht="12.75" x14ac:dyDescent="0.2">
      <c r="A4" s="169" t="s">
        <v>1387</v>
      </c>
      <c r="B4" s="170"/>
      <c r="C4" s="170"/>
      <c r="D4" s="170"/>
      <c r="E4" s="170"/>
      <c r="F4" s="170"/>
      <c r="G4" s="170"/>
      <c r="H4" s="170"/>
      <c r="I4" s="170"/>
      <c r="J4" s="170"/>
      <c r="K4" s="170"/>
      <c r="L4" s="170"/>
      <c r="M4" s="170"/>
      <c r="N4" s="170"/>
      <c r="O4" s="170"/>
      <c r="P4" s="170"/>
      <c r="Q4" s="170"/>
      <c r="R4" s="170"/>
      <c r="S4" s="170"/>
      <c r="T4" s="170"/>
      <c r="U4" s="170"/>
      <c r="V4" s="170"/>
      <c r="W4" s="170"/>
      <c r="X4" s="170"/>
      <c r="Y4" s="170"/>
      <c r="Z4" s="170"/>
      <c r="AA4" s="170"/>
    </row>
    <row r="5" spans="1:28" s="171" customFormat="1" ht="12.75" x14ac:dyDescent="0.2">
      <c r="A5" s="169" t="s">
        <v>1388</v>
      </c>
      <c r="B5" s="170"/>
      <c r="C5" s="170"/>
      <c r="D5" s="170"/>
      <c r="E5" s="170"/>
      <c r="F5" s="170"/>
      <c r="G5" s="170"/>
      <c r="H5" s="170"/>
      <c r="I5" s="170"/>
      <c r="J5" s="170"/>
      <c r="K5" s="170"/>
      <c r="L5" s="170"/>
      <c r="M5" s="170"/>
      <c r="N5" s="170"/>
      <c r="O5" s="170"/>
      <c r="P5" s="170"/>
      <c r="Q5" s="170"/>
      <c r="R5" s="170"/>
      <c r="S5" s="170"/>
      <c r="T5" s="170"/>
      <c r="U5" s="170"/>
      <c r="V5" s="170"/>
      <c r="W5" s="170"/>
      <c r="X5" s="170"/>
      <c r="Y5" s="170"/>
      <c r="Z5" s="170"/>
      <c r="AA5" s="170"/>
    </row>
    <row r="6" spans="1:28" s="171" customFormat="1" ht="12.75" x14ac:dyDescent="0.2">
      <c r="A6" s="173"/>
      <c r="B6" s="170"/>
      <c r="C6" s="170"/>
      <c r="D6" s="170"/>
      <c r="E6" s="170"/>
      <c r="F6" s="170"/>
      <c r="G6" s="170"/>
      <c r="H6" s="170"/>
      <c r="I6" s="170"/>
      <c r="J6" s="170"/>
      <c r="K6" s="170"/>
      <c r="L6" s="170"/>
      <c r="M6" s="170"/>
      <c r="N6" s="170"/>
      <c r="O6" s="170"/>
      <c r="P6" s="170"/>
      <c r="Q6" s="170"/>
      <c r="R6" s="170"/>
      <c r="S6" s="170"/>
      <c r="T6" s="170"/>
      <c r="U6" s="170"/>
      <c r="V6" s="170"/>
      <c r="W6" s="170"/>
      <c r="X6" s="170"/>
      <c r="Y6" s="170"/>
      <c r="Z6" s="170"/>
      <c r="AA6" s="170"/>
    </row>
    <row r="7" spans="1:28" s="176" customFormat="1" x14ac:dyDescent="0.2">
      <c r="A7" s="174" t="s">
        <v>1389</v>
      </c>
      <c r="B7" s="175">
        <v>1990</v>
      </c>
      <c r="C7" s="175">
        <v>1991</v>
      </c>
      <c r="D7" s="175">
        <v>1992</v>
      </c>
      <c r="E7" s="175">
        <v>1993</v>
      </c>
      <c r="F7" s="175">
        <v>1994</v>
      </c>
      <c r="G7" s="175">
        <v>1995</v>
      </c>
      <c r="H7" s="175">
        <v>1996</v>
      </c>
      <c r="I7" s="175">
        <v>1997</v>
      </c>
      <c r="J7" s="175">
        <v>1998</v>
      </c>
      <c r="K7" s="175">
        <v>1999</v>
      </c>
      <c r="L7" s="175">
        <v>2000</v>
      </c>
      <c r="M7" s="175">
        <v>2001</v>
      </c>
      <c r="N7" s="175">
        <v>2002</v>
      </c>
      <c r="O7" s="175">
        <v>2003</v>
      </c>
      <c r="P7" s="175">
        <v>2004</v>
      </c>
      <c r="Q7" s="175">
        <v>2005</v>
      </c>
      <c r="R7" s="175">
        <v>2006</v>
      </c>
      <c r="S7" s="175">
        <v>2007</v>
      </c>
      <c r="T7" s="175">
        <v>2008</v>
      </c>
      <c r="U7" s="175">
        <v>2009</v>
      </c>
      <c r="V7" s="175">
        <v>2010</v>
      </c>
      <c r="W7" s="175">
        <v>2011</v>
      </c>
      <c r="X7" s="175">
        <v>2012</v>
      </c>
      <c r="Y7" s="175">
        <v>2013</v>
      </c>
      <c r="Z7" s="175">
        <v>2014</v>
      </c>
      <c r="AA7" s="175">
        <v>2015</v>
      </c>
    </row>
    <row r="8" spans="1:28" ht="12.75" x14ac:dyDescent="0.2">
      <c r="A8" s="177" t="s">
        <v>1390</v>
      </c>
      <c r="B8" s="178"/>
      <c r="C8" s="178"/>
      <c r="D8" s="178"/>
      <c r="E8" s="178"/>
      <c r="F8" s="178"/>
      <c r="G8" s="178"/>
      <c r="H8" s="178"/>
      <c r="I8" s="178"/>
      <c r="J8" s="178"/>
      <c r="K8" s="178"/>
      <c r="L8" s="178"/>
      <c r="M8" s="178"/>
      <c r="N8" s="178"/>
      <c r="O8" s="178"/>
      <c r="P8" s="178"/>
      <c r="Q8" s="178"/>
      <c r="R8" s="178"/>
      <c r="S8" s="178"/>
      <c r="T8" s="178"/>
      <c r="U8" s="178"/>
      <c r="V8" s="178"/>
      <c r="W8" s="178"/>
      <c r="X8" s="178"/>
      <c r="Y8" s="178"/>
      <c r="Z8" s="178"/>
      <c r="AA8" s="179"/>
    </row>
    <row r="9" spans="1:28" s="182" customFormat="1" x14ac:dyDescent="0.2">
      <c r="A9" s="181" t="s">
        <v>1292</v>
      </c>
      <c r="B9" s="166">
        <v>2825.9304556567981</v>
      </c>
      <c r="C9" s="166">
        <v>2930.8032257059158</v>
      </c>
      <c r="D9" s="166">
        <v>2917.234360999108</v>
      </c>
      <c r="E9" s="166">
        <v>2993.2673671921521</v>
      </c>
      <c r="F9" s="166">
        <v>3072.7116316393231</v>
      </c>
      <c r="G9" s="166">
        <v>3066.5970505645573</v>
      </c>
      <c r="H9" s="166">
        <v>3186.1638301534608</v>
      </c>
      <c r="I9" s="166">
        <v>3253.4196681855906</v>
      </c>
      <c r="J9" s="166">
        <v>3315.2203787466265</v>
      </c>
      <c r="K9" s="166">
        <v>3446.8412474430288</v>
      </c>
      <c r="L9" s="166">
        <v>3467.9894308308562</v>
      </c>
      <c r="M9" s="166">
        <v>3720.1838071618504</v>
      </c>
      <c r="N9" s="166">
        <v>3690.8266033052305</v>
      </c>
      <c r="O9" s="166">
        <v>3810.6604204212276</v>
      </c>
      <c r="P9" s="166">
        <v>3893.6332682564885</v>
      </c>
      <c r="Q9" s="166">
        <v>4038.3997552268538</v>
      </c>
      <c r="R9" s="166">
        <v>4230.9833814303884</v>
      </c>
      <c r="S9" s="166">
        <v>4310.4383626268373</v>
      </c>
      <c r="T9" s="166">
        <v>4541.751421906436</v>
      </c>
      <c r="U9" s="166">
        <v>4366.4171748323215</v>
      </c>
      <c r="V9" s="166">
        <v>4392.5961051402764</v>
      </c>
      <c r="W9" s="166">
        <v>4496.1172311360642</v>
      </c>
      <c r="X9" s="166">
        <v>4587.4492447928587</v>
      </c>
      <c r="Y9" s="166">
        <v>4577.6117246124377</v>
      </c>
      <c r="Z9" s="166">
        <v>4669.928457351295</v>
      </c>
      <c r="AA9" s="166">
        <v>4630.1991003726653</v>
      </c>
    </row>
    <row r="10" spans="1:28" x14ac:dyDescent="0.2">
      <c r="A10" s="183" t="s">
        <v>1391</v>
      </c>
      <c r="B10" s="184">
        <v>0</v>
      </c>
      <c r="C10" s="184">
        <v>0</v>
      </c>
      <c r="D10" s="184">
        <v>0</v>
      </c>
      <c r="E10" s="184">
        <v>8.8854544395411938</v>
      </c>
      <c r="F10" s="184">
        <v>27.820722831315329</v>
      </c>
      <c r="G10" s="184">
        <v>43.063692388332257</v>
      </c>
      <c r="H10" s="184">
        <v>82.103469256238697</v>
      </c>
      <c r="I10" s="184">
        <v>91.869392555079642</v>
      </c>
      <c r="J10" s="184">
        <v>114.58875565725134</v>
      </c>
      <c r="K10" s="184">
        <v>129.8886748026423</v>
      </c>
      <c r="L10" s="184">
        <v>134.17330931038163</v>
      </c>
      <c r="M10" s="184">
        <v>150.92720760617061</v>
      </c>
      <c r="N10" s="184">
        <v>155.00249430025067</v>
      </c>
      <c r="O10" s="184">
        <v>183.05693604928854</v>
      </c>
      <c r="P10" s="184">
        <v>203.38739690177772</v>
      </c>
      <c r="Q10" s="184">
        <v>219.32887999620414</v>
      </c>
      <c r="R10" s="184">
        <v>221.33073329770519</v>
      </c>
      <c r="S10" s="184">
        <v>235.11187290479481</v>
      </c>
      <c r="T10" s="184">
        <v>256.87221479003415</v>
      </c>
      <c r="U10" s="184">
        <v>274.5515263793223</v>
      </c>
      <c r="V10" s="184">
        <v>299.36440585723545</v>
      </c>
      <c r="W10" s="184">
        <v>310.76532815820798</v>
      </c>
      <c r="X10" s="184">
        <v>306.05529392348552</v>
      </c>
      <c r="Y10" s="184">
        <v>317.68784659637441</v>
      </c>
      <c r="Z10" s="184">
        <v>336.08320888328484</v>
      </c>
      <c r="AA10" s="184">
        <v>359.74335608174709</v>
      </c>
      <c r="AB10" s="182"/>
    </row>
    <row r="11" spans="1:28" x14ac:dyDescent="0.2">
      <c r="A11" s="183" t="s">
        <v>1392</v>
      </c>
      <c r="B11" s="184">
        <v>0</v>
      </c>
      <c r="C11" s="184">
        <v>0</v>
      </c>
      <c r="D11" s="184">
        <v>0</v>
      </c>
      <c r="E11" s="184">
        <v>0</v>
      </c>
      <c r="F11" s="184">
        <v>0</v>
      </c>
      <c r="G11" s="184">
        <v>0</v>
      </c>
      <c r="H11" s="184">
        <v>0</v>
      </c>
      <c r="I11" s="184">
        <v>0</v>
      </c>
      <c r="J11" s="184">
        <v>0</v>
      </c>
      <c r="K11" s="184">
        <v>15.513168797559414</v>
      </c>
      <c r="L11" s="184">
        <v>15.326556057680227</v>
      </c>
      <c r="M11" s="184">
        <v>14.019192507899653</v>
      </c>
      <c r="N11" s="184">
        <v>13.723984092429019</v>
      </c>
      <c r="O11" s="184">
        <v>12.723632770626358</v>
      </c>
      <c r="P11" s="184">
        <v>12.162767551318586</v>
      </c>
      <c r="Q11" s="184">
        <v>11.360702228179221</v>
      </c>
      <c r="R11" s="184">
        <v>10.177930704876006</v>
      </c>
      <c r="S11" s="184">
        <v>9.6656629540041692</v>
      </c>
      <c r="T11" s="184">
        <v>8.0498650399780995</v>
      </c>
      <c r="U11" s="184">
        <v>7.6650341502232395</v>
      </c>
      <c r="V11" s="184">
        <v>7.2359221333404005</v>
      </c>
      <c r="W11" s="184">
        <v>6.9409951941897088</v>
      </c>
      <c r="X11" s="184">
        <v>6.9086401677365572</v>
      </c>
      <c r="Y11" s="184">
        <v>6.7920015597184316</v>
      </c>
      <c r="Z11" s="184">
        <v>6.8726084610172737</v>
      </c>
      <c r="AA11" s="184">
        <v>6.6877663997164287</v>
      </c>
      <c r="AB11" s="182"/>
    </row>
    <row r="12" spans="1:28" s="187" customFormat="1" x14ac:dyDescent="0.2">
      <c r="A12" s="185" t="s">
        <v>1393</v>
      </c>
      <c r="B12" s="186">
        <v>2825.9304556567981</v>
      </c>
      <c r="C12" s="186">
        <v>2930.8032257059158</v>
      </c>
      <c r="D12" s="186">
        <v>2917.234360999108</v>
      </c>
      <c r="E12" s="186">
        <v>2984.3819127526108</v>
      </c>
      <c r="F12" s="186">
        <v>3044.8909088080077</v>
      </c>
      <c r="G12" s="186">
        <v>3023.5333581762247</v>
      </c>
      <c r="H12" s="186">
        <v>3104.0603608972219</v>
      </c>
      <c r="I12" s="186">
        <v>3161.5502756305114</v>
      </c>
      <c r="J12" s="186">
        <v>3200.6316230893749</v>
      </c>
      <c r="K12" s="186">
        <v>3301.4394038428268</v>
      </c>
      <c r="L12" s="186">
        <v>3318.489565462794</v>
      </c>
      <c r="M12" s="186">
        <v>3555.2374070477799</v>
      </c>
      <c r="N12" s="186">
        <v>3522.1001249125511</v>
      </c>
      <c r="O12" s="186">
        <v>3614.879851601313</v>
      </c>
      <c r="P12" s="186">
        <v>3678.0831038033916</v>
      </c>
      <c r="Q12" s="186">
        <v>3807.7101730024701</v>
      </c>
      <c r="R12" s="186">
        <v>3999.4747174278073</v>
      </c>
      <c r="S12" s="186">
        <v>4065.660826768039</v>
      </c>
      <c r="T12" s="186">
        <v>4276.8293420764239</v>
      </c>
      <c r="U12" s="186">
        <v>4084.2006143027761</v>
      </c>
      <c r="V12" s="186">
        <v>4085.9957771497006</v>
      </c>
      <c r="W12" s="186">
        <v>4178.4109077836665</v>
      </c>
      <c r="X12" s="186">
        <v>4274.4853107016379</v>
      </c>
      <c r="Y12" s="186">
        <v>4253.1318764563457</v>
      </c>
      <c r="Z12" s="186">
        <v>4326.9726400069931</v>
      </c>
      <c r="AA12" s="186">
        <v>4263.7679778912025</v>
      </c>
      <c r="AB12" s="182"/>
    </row>
    <row r="13" spans="1:28" x14ac:dyDescent="0.2">
      <c r="A13" s="188" t="s">
        <v>1394</v>
      </c>
      <c r="B13" s="189"/>
      <c r="C13" s="189"/>
      <c r="D13" s="189"/>
      <c r="E13" s="189"/>
      <c r="F13" s="189"/>
      <c r="G13" s="189"/>
      <c r="H13" s="189"/>
      <c r="I13" s="189"/>
      <c r="J13" s="189"/>
      <c r="K13" s="189"/>
      <c r="L13" s="189"/>
      <c r="M13" s="189"/>
      <c r="N13" s="189"/>
      <c r="O13" s="189"/>
      <c r="P13" s="189"/>
      <c r="Q13" s="189"/>
      <c r="R13" s="189"/>
      <c r="S13" s="189"/>
      <c r="T13" s="189"/>
      <c r="U13" s="189"/>
      <c r="V13" s="189"/>
      <c r="W13" s="189"/>
      <c r="X13" s="189"/>
      <c r="Y13" s="189"/>
      <c r="Z13" s="189"/>
      <c r="AA13" s="190"/>
    </row>
    <row r="14" spans="1:28" x14ac:dyDescent="0.2">
      <c r="A14" s="191" t="s">
        <v>1395</v>
      </c>
      <c r="B14" s="192"/>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3"/>
    </row>
    <row r="15" spans="1:28" ht="24" x14ac:dyDescent="0.2">
      <c r="A15" s="194" t="s">
        <v>1396</v>
      </c>
      <c r="B15" s="195">
        <v>11.709864199131733</v>
      </c>
      <c r="C15" s="195">
        <v>12.230468773543809</v>
      </c>
      <c r="D15" s="195">
        <v>12.727963799214406</v>
      </c>
      <c r="E15" s="195">
        <v>12.753665535608601</v>
      </c>
      <c r="F15" s="195">
        <v>13.161988362036514</v>
      </c>
      <c r="G15" s="195">
        <v>13.112504032793133</v>
      </c>
      <c r="H15" s="195">
        <v>13.654590216701004</v>
      </c>
      <c r="I15" s="195">
        <v>13.658885894347586</v>
      </c>
      <c r="J15" s="195">
        <v>14.226809309610521</v>
      </c>
      <c r="K15" s="195">
        <v>14.622449432605087</v>
      </c>
      <c r="L15" s="195">
        <v>14.508706118547472</v>
      </c>
      <c r="M15" s="195">
        <v>15.277084271664529</v>
      </c>
      <c r="N15" s="195">
        <v>15.284517356612687</v>
      </c>
      <c r="O15" s="195">
        <v>15.376558304879671</v>
      </c>
      <c r="P15" s="195">
        <v>15.959774583232877</v>
      </c>
      <c r="Q15" s="195">
        <v>15.926916789934818</v>
      </c>
      <c r="R15" s="195">
        <v>16.335787908469804</v>
      </c>
      <c r="S15" s="195">
        <v>16.64490567465889</v>
      </c>
      <c r="T15" s="195">
        <v>17.238892783601681</v>
      </c>
      <c r="U15" s="195">
        <v>17.1377801288629</v>
      </c>
      <c r="V15" s="195">
        <v>16.912882612281987</v>
      </c>
      <c r="W15" s="195">
        <v>16.897868087053229</v>
      </c>
      <c r="X15" s="195">
        <v>16.576461971847863</v>
      </c>
      <c r="Y15" s="195">
        <v>16.207750444202379</v>
      </c>
      <c r="Z15" s="195">
        <v>16.104047455537703</v>
      </c>
      <c r="AA15" s="195">
        <v>15.955358250925736</v>
      </c>
    </row>
    <row r="16" spans="1:28" ht="24" x14ac:dyDescent="0.2">
      <c r="A16" s="196" t="s">
        <v>1397</v>
      </c>
      <c r="B16" s="197">
        <v>7.6880092558846309</v>
      </c>
      <c r="C16" s="197">
        <v>8.8596139702600798</v>
      </c>
      <c r="D16" s="197">
        <v>9.3353222822639967</v>
      </c>
      <c r="E16" s="197">
        <v>10.021528391749213</v>
      </c>
      <c r="F16" s="197">
        <v>10.796411606995235</v>
      </c>
      <c r="G16" s="197">
        <v>11.403597511743977</v>
      </c>
      <c r="H16" s="197">
        <v>11.977541003419756</v>
      </c>
      <c r="I16" s="197">
        <v>12.488286446098398</v>
      </c>
      <c r="J16" s="197">
        <v>13.14098585825724</v>
      </c>
      <c r="K16" s="197">
        <v>13.915621159958949</v>
      </c>
      <c r="L16" s="197">
        <v>15.453657808808936</v>
      </c>
      <c r="M16" s="197">
        <v>17.747755875371055</v>
      </c>
      <c r="N16" s="197">
        <v>19.551670895626383</v>
      </c>
      <c r="O16" s="197">
        <v>21.279628798688645</v>
      </c>
      <c r="P16" s="197">
        <v>22.938460951915435</v>
      </c>
      <c r="Q16" s="197">
        <v>25.261408234789357</v>
      </c>
      <c r="R16" s="197">
        <v>27.843106742695824</v>
      </c>
      <c r="S16" s="197">
        <v>30.770413830481058</v>
      </c>
      <c r="T16" s="197">
        <v>33.236614913530282</v>
      </c>
      <c r="U16" s="197">
        <v>34.207282420889783</v>
      </c>
      <c r="V16" s="197">
        <v>34.667750614578701</v>
      </c>
      <c r="W16" s="197">
        <v>35.489780169766973</v>
      </c>
      <c r="X16" s="197">
        <v>35.47031853933975</v>
      </c>
      <c r="Y16" s="197">
        <v>34.94286237565327</v>
      </c>
      <c r="Z16" s="197">
        <v>35.003293630449249</v>
      </c>
      <c r="AA16" s="197">
        <v>34.557503173637755</v>
      </c>
    </row>
    <row r="17" spans="1:27" x14ac:dyDescent="0.2">
      <c r="A17" s="191" t="s">
        <v>1398</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3"/>
    </row>
    <row r="18" spans="1:27" x14ac:dyDescent="0.2">
      <c r="A18" s="194" t="s">
        <v>1399</v>
      </c>
      <c r="B18" s="195">
        <v>12.230886555180627</v>
      </c>
      <c r="C18" s="195">
        <v>12.711409178602038</v>
      </c>
      <c r="D18" s="195">
        <v>13.333670198059712</v>
      </c>
      <c r="E18" s="195">
        <v>13.929752906393698</v>
      </c>
      <c r="F18" s="195">
        <v>14.523499084967231</v>
      </c>
      <c r="G18" s="195">
        <v>14.857129129159336</v>
      </c>
      <c r="H18" s="195">
        <v>15.731086428351555</v>
      </c>
      <c r="I18" s="195">
        <v>15.768796438434018</v>
      </c>
      <c r="J18" s="195">
        <v>16.474467686800029</v>
      </c>
      <c r="K18" s="195">
        <v>16.48253174243882</v>
      </c>
      <c r="L18" s="195">
        <v>16.567375917389196</v>
      </c>
      <c r="M18" s="195">
        <v>17.417517992771355</v>
      </c>
      <c r="N18" s="195">
        <v>17.787996142448407</v>
      </c>
      <c r="O18" s="195">
        <v>18.330546822782321</v>
      </c>
      <c r="P18" s="195">
        <v>18.899563931515807</v>
      </c>
      <c r="Q18" s="195">
        <v>19.511882302343192</v>
      </c>
      <c r="R18" s="195">
        <v>20.265231476736375</v>
      </c>
      <c r="S18" s="195">
        <v>20.721166914295623</v>
      </c>
      <c r="T18" s="195">
        <v>21.753337078825485</v>
      </c>
      <c r="U18" s="195">
        <v>21.993705434102843</v>
      </c>
      <c r="V18" s="195">
        <v>22.505722441156067</v>
      </c>
      <c r="W18" s="195">
        <v>22.708101977620849</v>
      </c>
      <c r="X18" s="195">
        <v>22.617399522319648</v>
      </c>
      <c r="Y18" s="195">
        <v>22.182837451064987</v>
      </c>
      <c r="Z18" s="195">
        <v>22.09295236502188</v>
      </c>
      <c r="AA18" s="195">
        <v>21.707967538573133</v>
      </c>
    </row>
    <row r="19" spans="1:27" x14ac:dyDescent="0.2">
      <c r="A19" s="183" t="s">
        <v>1400</v>
      </c>
      <c r="B19" s="198">
        <v>40.870901425363485</v>
      </c>
      <c r="C19" s="198">
        <v>42.465895570569387</v>
      </c>
      <c r="D19" s="198">
        <v>44.683208754577549</v>
      </c>
      <c r="E19" s="198">
        <v>46.01708423531354</v>
      </c>
      <c r="F19" s="198">
        <v>49.126157044756781</v>
      </c>
      <c r="G19" s="198">
        <v>50.320172307756309</v>
      </c>
      <c r="H19" s="198">
        <v>53.422071967691473</v>
      </c>
      <c r="I19" s="198">
        <v>54.657630909280869</v>
      </c>
      <c r="J19" s="198">
        <v>58.089859800325556</v>
      </c>
      <c r="K19" s="198">
        <v>61.67365154046076</v>
      </c>
      <c r="L19" s="198">
        <v>65.868412292143475</v>
      </c>
      <c r="M19" s="198">
        <v>72.626619044850173</v>
      </c>
      <c r="N19" s="198">
        <v>77.253305656812572</v>
      </c>
      <c r="O19" s="198">
        <v>82.382744354623981</v>
      </c>
      <c r="P19" s="198">
        <v>89.043384378555956</v>
      </c>
      <c r="Q19" s="198">
        <v>95.307226520029914</v>
      </c>
      <c r="R19" s="198">
        <v>103.30318473714227</v>
      </c>
      <c r="S19" s="198">
        <v>110.27680654467716</v>
      </c>
      <c r="T19" s="198">
        <v>118.44127511865945</v>
      </c>
      <c r="U19" s="198">
        <v>120.76099642892713</v>
      </c>
      <c r="V19" s="198">
        <v>121.45116685828113</v>
      </c>
      <c r="W19" s="198">
        <v>123.07210262774549</v>
      </c>
      <c r="X19" s="198">
        <v>122.63841043178358</v>
      </c>
      <c r="Y19" s="198">
        <v>120.08079039569918</v>
      </c>
      <c r="Z19" s="198">
        <v>118.24244897808181</v>
      </c>
      <c r="AA19" s="198">
        <v>116.99562301997791</v>
      </c>
    </row>
    <row r="20" spans="1:27" x14ac:dyDescent="0.2">
      <c r="A20" s="183" t="s">
        <v>1401</v>
      </c>
      <c r="B20" s="198">
        <v>13.006233434531481</v>
      </c>
      <c r="C20" s="198">
        <v>13.834527419670428</v>
      </c>
      <c r="D20" s="198">
        <v>14.245744873709654</v>
      </c>
      <c r="E20" s="198">
        <v>14.336743072081253</v>
      </c>
      <c r="F20" s="198">
        <v>14.2630399237162</v>
      </c>
      <c r="G20" s="198">
        <v>14.356811341599615</v>
      </c>
      <c r="H20" s="198">
        <v>14.222528633674214</v>
      </c>
      <c r="I20" s="198">
        <v>13.996992461965128</v>
      </c>
      <c r="J20" s="198">
        <v>13.557876127386491</v>
      </c>
      <c r="K20" s="198">
        <v>13.212241433111652</v>
      </c>
      <c r="L20" s="198">
        <v>12.901594311341094</v>
      </c>
      <c r="M20" s="198">
        <v>12.018089648496026</v>
      </c>
      <c r="N20" s="198">
        <v>11.688597485855407</v>
      </c>
      <c r="O20" s="198">
        <v>11.013893876804513</v>
      </c>
      <c r="P20" s="198">
        <v>10.221652888570983</v>
      </c>
      <c r="Q20" s="198">
        <v>9.5711206630276529</v>
      </c>
      <c r="R20" s="198">
        <v>8.5842776413104733</v>
      </c>
      <c r="S20" s="198">
        <v>7.7256984993573354</v>
      </c>
      <c r="T20" s="198">
        <v>6.4745841594862918</v>
      </c>
      <c r="U20" s="198">
        <v>6.1130259721907656</v>
      </c>
      <c r="V20" s="198">
        <v>5.95503156580099</v>
      </c>
      <c r="W20" s="198">
        <v>5.6989011903873257</v>
      </c>
      <c r="X20" s="198">
        <v>5.6639387277734787</v>
      </c>
      <c r="Y20" s="198">
        <v>5.5575620941905504</v>
      </c>
      <c r="Z20" s="198">
        <v>5.5410353113965591</v>
      </c>
      <c r="AA20" s="198">
        <v>5.4703150840907853</v>
      </c>
    </row>
    <row r="21" spans="1:27" x14ac:dyDescent="0.2">
      <c r="A21" s="183" t="s">
        <v>1402</v>
      </c>
      <c r="B21" s="198">
        <v>41.91422246256419</v>
      </c>
      <c r="C21" s="198">
        <v>43.432214187218541</v>
      </c>
      <c r="D21" s="198">
        <v>45.660782071502823</v>
      </c>
      <c r="E21" s="198">
        <v>47.332910094176889</v>
      </c>
      <c r="F21" s="198">
        <v>49.114271741698204</v>
      </c>
      <c r="G21" s="198">
        <v>50.343918345903141</v>
      </c>
      <c r="H21" s="198">
        <v>52.758416764999964</v>
      </c>
      <c r="I21" s="198">
        <v>53.32542807680219</v>
      </c>
      <c r="J21" s="198">
        <v>54.723757830128932</v>
      </c>
      <c r="K21" s="198">
        <v>55.444947212004422</v>
      </c>
      <c r="L21" s="198">
        <v>56.611499074453867</v>
      </c>
      <c r="M21" s="198">
        <v>59.939444859623777</v>
      </c>
      <c r="N21" s="198">
        <v>61.59818180796821</v>
      </c>
      <c r="O21" s="198">
        <v>63.663299707115399</v>
      </c>
      <c r="P21" s="198">
        <v>65.962847804775137</v>
      </c>
      <c r="Q21" s="198">
        <v>68.587751783797685</v>
      </c>
      <c r="R21" s="198">
        <v>71.73046074847376</v>
      </c>
      <c r="S21" s="198">
        <v>73.95955158481874</v>
      </c>
      <c r="T21" s="198">
        <v>77.676121643657581</v>
      </c>
      <c r="U21" s="198">
        <v>78.448531346580822</v>
      </c>
      <c r="V21" s="198">
        <v>79.36983187361524</v>
      </c>
      <c r="W21" s="198">
        <v>80.208684521399618</v>
      </c>
      <c r="X21" s="198">
        <v>79.898295329252392</v>
      </c>
      <c r="Y21" s="198">
        <v>78.328436440585847</v>
      </c>
      <c r="Z21" s="198">
        <v>77.777863823267452</v>
      </c>
      <c r="AA21" s="198">
        <v>76.562884911775541</v>
      </c>
    </row>
    <row r="22" spans="1:27" x14ac:dyDescent="0.2">
      <c r="A22" s="196" t="s">
        <v>1403</v>
      </c>
      <c r="B22" s="197">
        <v>30.754366594627964</v>
      </c>
      <c r="C22" s="197">
        <v>31.82150725207325</v>
      </c>
      <c r="D22" s="197">
        <v>33.02392808020327</v>
      </c>
      <c r="E22" s="197">
        <v>35.906359781607605</v>
      </c>
      <c r="F22" s="197">
        <v>37.879069375825893</v>
      </c>
      <c r="G22" s="197">
        <v>38.998188013946368</v>
      </c>
      <c r="H22" s="197">
        <v>42.729902785995328</v>
      </c>
      <c r="I22" s="197">
        <v>42.714223268426643</v>
      </c>
      <c r="J22" s="197">
        <v>46.233383193945073</v>
      </c>
      <c r="K22" s="197">
        <v>45.205384574567169</v>
      </c>
      <c r="L22" s="197">
        <v>44.675867591252263</v>
      </c>
      <c r="M22" s="197">
        <v>48.694868872490332</v>
      </c>
      <c r="N22" s="197">
        <v>49.940656370709412</v>
      </c>
      <c r="O22" s="197">
        <v>51.967347310814283</v>
      </c>
      <c r="P22" s="197">
        <v>53.707736866736568</v>
      </c>
      <c r="Q22" s="197">
        <v>55.920452145150449</v>
      </c>
      <c r="R22" s="197">
        <v>58.554586706035785</v>
      </c>
      <c r="S22" s="197">
        <v>59.606495977778017</v>
      </c>
      <c r="T22" s="197">
        <v>63.9473789902273</v>
      </c>
      <c r="U22" s="197">
        <v>64.865971505136571</v>
      </c>
      <c r="V22" s="197">
        <v>67.83153570122559</v>
      </c>
      <c r="W22" s="197">
        <v>68.639246100394814</v>
      </c>
      <c r="X22" s="197">
        <v>68.319288434214357</v>
      </c>
      <c r="Y22" s="197">
        <v>67.165853530921879</v>
      </c>
      <c r="Z22" s="197">
        <v>67.962972212155535</v>
      </c>
      <c r="AA22" s="197">
        <v>66.135075868709905</v>
      </c>
    </row>
    <row r="23" spans="1:27" x14ac:dyDescent="0.2">
      <c r="A23" s="191" t="s">
        <v>1404</v>
      </c>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3"/>
    </row>
    <row r="24" spans="1:27" x14ac:dyDescent="0.2">
      <c r="A24" s="194" t="s">
        <v>1405</v>
      </c>
      <c r="B24" s="195">
        <v>956.86984727100003</v>
      </c>
      <c r="C24" s="195">
        <v>960.97338267840007</v>
      </c>
      <c r="D24" s="195">
        <v>975.52228094099996</v>
      </c>
      <c r="E24" s="195">
        <v>992.6825199174001</v>
      </c>
      <c r="F24" s="195">
        <v>1013.9462943011999</v>
      </c>
      <c r="G24" s="195">
        <v>1019.1689757288001</v>
      </c>
      <c r="H24" s="195">
        <v>1011.7080022608</v>
      </c>
      <c r="I24" s="195">
        <v>1012.8271482810001</v>
      </c>
      <c r="J24" s="195">
        <v>1027.3760465436001</v>
      </c>
      <c r="K24" s="195">
        <v>1137.4254051966002</v>
      </c>
      <c r="L24" s="195">
        <v>1060.9504271496</v>
      </c>
      <c r="M24" s="195">
        <v>1079.6028608196</v>
      </c>
      <c r="N24" s="195">
        <v>1069.5305466377999</v>
      </c>
      <c r="O24" s="195">
        <v>1087.436882961</v>
      </c>
      <c r="P24" s="195">
        <v>1086.3177369408002</v>
      </c>
      <c r="Q24" s="195">
        <v>1107.2084626512001</v>
      </c>
      <c r="R24" s="195">
        <v>1164.6579583548</v>
      </c>
      <c r="S24" s="195">
        <v>1230.6875735466001</v>
      </c>
      <c r="T24" s="195">
        <v>1331.0376666912</v>
      </c>
      <c r="U24" s="195">
        <v>1363.8659499504001</v>
      </c>
      <c r="V24" s="195">
        <v>1431.7608085092002</v>
      </c>
      <c r="W24" s="195">
        <v>1583.9646672563999</v>
      </c>
      <c r="X24" s="195">
        <v>1696.9984152966001</v>
      </c>
      <c r="Y24" s="195">
        <v>1730.1997472291998</v>
      </c>
      <c r="Z24" s="195">
        <v>1877.9270218956001</v>
      </c>
      <c r="AA24" s="195">
        <v>1968.2048008584004</v>
      </c>
    </row>
    <row r="25" spans="1:27" x14ac:dyDescent="0.2">
      <c r="A25" s="196" t="s">
        <v>1406</v>
      </c>
      <c r="B25" s="197">
        <v>85.673473360505753</v>
      </c>
      <c r="C25" s="197">
        <v>90.860409569779975</v>
      </c>
      <c r="D25" s="197">
        <v>93.557619928566453</v>
      </c>
      <c r="E25" s="197">
        <v>95.921838572959089</v>
      </c>
      <c r="F25" s="197">
        <v>99.143191470379264</v>
      </c>
      <c r="G25" s="197">
        <v>101.14874388612458</v>
      </c>
      <c r="H25" s="197">
        <v>105.48044455620929</v>
      </c>
      <c r="I25" s="197">
        <v>106.60200232521689</v>
      </c>
      <c r="J25" s="197">
        <v>109.77265427640681</v>
      </c>
      <c r="K25" s="197">
        <v>111.88268915460826</v>
      </c>
      <c r="L25" s="197">
        <v>114.59536575510118</v>
      </c>
      <c r="M25" s="197">
        <v>121.17053458816149</v>
      </c>
      <c r="N25" s="197">
        <v>124.42596176427361</v>
      </c>
      <c r="O25" s="197">
        <v>127.96354216445035</v>
      </c>
      <c r="P25" s="197">
        <v>134.41337195013509</v>
      </c>
      <c r="Q25" s="197">
        <v>139.69335583400709</v>
      </c>
      <c r="R25" s="197">
        <v>146.60313692523312</v>
      </c>
      <c r="S25" s="197">
        <v>153.62784233369095</v>
      </c>
      <c r="T25" s="197">
        <v>161.97769427579303</v>
      </c>
      <c r="U25" s="197">
        <v>163.71523965028609</v>
      </c>
      <c r="V25" s="197">
        <v>164.93585884158961</v>
      </c>
      <c r="W25" s="197">
        <v>166.92477955366201</v>
      </c>
      <c r="X25" s="197">
        <v>166.30446437117888</v>
      </c>
      <c r="Y25" s="197">
        <v>163.84665064031768</v>
      </c>
      <c r="Z25" s="197">
        <v>163.9083343629226</v>
      </c>
      <c r="AA25" s="197">
        <v>161.55940802179492</v>
      </c>
    </row>
    <row r="26" spans="1:27" x14ac:dyDescent="0.2">
      <c r="A26" s="188" t="s">
        <v>1407</v>
      </c>
      <c r="B26" s="189"/>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90"/>
    </row>
    <row r="27" spans="1:27" x14ac:dyDescent="0.2">
      <c r="A27" s="199" t="s">
        <v>1408</v>
      </c>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3"/>
    </row>
    <row r="28" spans="1:27" s="202" customFormat="1" ht="24" x14ac:dyDescent="0.2">
      <c r="A28" s="200" t="s">
        <v>1409</v>
      </c>
      <c r="B28" s="201">
        <v>5.0496610141393871E-3</v>
      </c>
      <c r="C28" s="201">
        <v>5.6798145708326156E-3</v>
      </c>
      <c r="D28" s="201">
        <v>5.7279590887411519E-3</v>
      </c>
      <c r="E28" s="201">
        <v>5.9266254854743817E-3</v>
      </c>
      <c r="F28" s="201">
        <v>6.150068148240968E-3</v>
      </c>
      <c r="G28" s="201">
        <v>6.257384648113865E-3</v>
      </c>
      <c r="H28" s="201">
        <v>6.6272918936141918E-3</v>
      </c>
      <c r="I28" s="201">
        <v>6.7345957314948243E-3</v>
      </c>
      <c r="J28" s="201">
        <v>7.0244370000229093E-3</v>
      </c>
      <c r="K28" s="201">
        <v>7.1444564265879737E-3</v>
      </c>
      <c r="L28" s="201">
        <v>7.2970763727473005E-3</v>
      </c>
      <c r="M28" s="201">
        <v>7.9343630918288239E-3</v>
      </c>
      <c r="N28" s="201">
        <v>8.151729325194753E-3</v>
      </c>
      <c r="O28" s="201">
        <v>8.4104599651657532E-3</v>
      </c>
      <c r="P28" s="201">
        <v>8.9468024199627939E-3</v>
      </c>
      <c r="Q28" s="201">
        <v>9.381219229166916E-3</v>
      </c>
      <c r="R28" s="201">
        <v>9.9543758856953882E-3</v>
      </c>
      <c r="S28" s="201">
        <v>1.0543858673729525E-2</v>
      </c>
      <c r="T28" s="201">
        <v>1.1325231271791565E-2</v>
      </c>
      <c r="U28" s="201">
        <v>1.1445905848526314E-2</v>
      </c>
      <c r="V28" s="201">
        <v>1.161155927279949E-2</v>
      </c>
      <c r="W28" s="201">
        <v>1.1823580218513166E-2</v>
      </c>
      <c r="X28" s="201">
        <v>1.1765380688969145E-2</v>
      </c>
      <c r="Y28" s="201">
        <v>1.1566411900996363E-2</v>
      </c>
      <c r="Z28" s="201">
        <v>1.17042568720034E-2</v>
      </c>
      <c r="AA28" s="201">
        <v>1.1389996211173908E-2</v>
      </c>
    </row>
    <row r="29" spans="1:27" s="202" customFormat="1" ht="24" x14ac:dyDescent="0.2">
      <c r="A29" s="203" t="s">
        <v>1410</v>
      </c>
      <c r="B29" s="204">
        <v>0.28640946475428186</v>
      </c>
      <c r="C29" s="204">
        <v>0.30054453577971457</v>
      </c>
      <c r="D29" s="204">
        <v>0.30476617180659138</v>
      </c>
      <c r="E29" s="204">
        <v>0.30796203308504749</v>
      </c>
      <c r="F29" s="204">
        <v>0.31289652398166545</v>
      </c>
      <c r="G29" s="204">
        <v>0.31516328742522037</v>
      </c>
      <c r="H29" s="204">
        <v>0.32468666752443487</v>
      </c>
      <c r="I29" s="204">
        <v>0.32386530558695237</v>
      </c>
      <c r="J29" s="204">
        <v>0.33574116556480349</v>
      </c>
      <c r="K29" s="204">
        <v>0.33687533695439875</v>
      </c>
      <c r="L29" s="204">
        <v>0.32996766197112354</v>
      </c>
      <c r="M29" s="204">
        <v>0.35515097152303904</v>
      </c>
      <c r="N29" s="204">
        <v>0.35765796669403371</v>
      </c>
      <c r="O29" s="204">
        <v>0.36200309545847759</v>
      </c>
      <c r="P29" s="204">
        <v>0.38066679426925443</v>
      </c>
      <c r="Q29" s="204">
        <v>0.3803826031967204</v>
      </c>
      <c r="R29" s="204">
        <v>0.39358226380496786</v>
      </c>
      <c r="S29" s="204">
        <v>0.40874283064158207</v>
      </c>
      <c r="T29" s="204">
        <v>0.42675719303231019</v>
      </c>
      <c r="U29" s="204">
        <v>0.42265663842861018</v>
      </c>
      <c r="V29" s="204">
        <v>0.41918332007225501</v>
      </c>
      <c r="W29" s="204">
        <v>0.42087514959126132</v>
      </c>
      <c r="X29" s="204">
        <v>0.41173144951152602</v>
      </c>
      <c r="Y29" s="204">
        <v>0.40172116591428014</v>
      </c>
      <c r="Z29" s="204">
        <v>0.40186996178952017</v>
      </c>
      <c r="AA29" s="204">
        <v>0.39510677409267625</v>
      </c>
    </row>
    <row r="30" spans="1:27" s="202" customFormat="1" ht="24" x14ac:dyDescent="0.2">
      <c r="A30" s="203" t="s">
        <v>1411</v>
      </c>
      <c r="B30" s="204">
        <v>138.60000345367624</v>
      </c>
      <c r="C30" s="204">
        <v>138.06044849257509</v>
      </c>
      <c r="D30" s="204">
        <v>108.34250362032739</v>
      </c>
      <c r="E30" s="204">
        <v>134.31504885166339</v>
      </c>
      <c r="F30" s="204">
        <v>135.29075512038685</v>
      </c>
      <c r="G30" s="204">
        <v>125.55390917309502</v>
      </c>
      <c r="H30" s="204">
        <v>157.8781563881557</v>
      </c>
      <c r="I30" s="204">
        <v>211.17412278537824</v>
      </c>
      <c r="J30" s="204">
        <v>191.87475884505696</v>
      </c>
      <c r="K30" s="204">
        <v>188.1048339786407</v>
      </c>
      <c r="L30" s="204">
        <v>266.61803494605084</v>
      </c>
      <c r="M30" s="204">
        <v>314.63875451408148</v>
      </c>
      <c r="N30" s="204">
        <v>266.23258760676299</v>
      </c>
      <c r="O30" s="204">
        <v>294.47732894004156</v>
      </c>
      <c r="P30" s="204">
        <v>321.93068790963821</v>
      </c>
      <c r="Q30" s="204">
        <v>366.66514364191488</v>
      </c>
      <c r="R30" s="204">
        <v>379.51584717539248</v>
      </c>
      <c r="S30" s="204">
        <v>357.61900164519648</v>
      </c>
      <c r="T30" s="204">
        <v>356.6930887270816</v>
      </c>
      <c r="U30" s="204">
        <v>209.51376116960321</v>
      </c>
      <c r="V30" s="204">
        <v>190.97559783672807</v>
      </c>
      <c r="W30" s="204">
        <v>168.55939142016183</v>
      </c>
      <c r="X30" s="204">
        <v>120.5740039365502</v>
      </c>
      <c r="Y30" s="204">
        <v>79.364417117771197</v>
      </c>
      <c r="Z30" s="204">
        <v>75.754274931099616</v>
      </c>
      <c r="AA30" s="204">
        <v>5.1252956250253341</v>
      </c>
    </row>
    <row r="31" spans="1:27" s="202" customFormat="1" ht="24" x14ac:dyDescent="0.2">
      <c r="A31" s="203" t="s">
        <v>1412</v>
      </c>
      <c r="B31" s="204">
        <v>2.0520148297900769</v>
      </c>
      <c r="C31" s="204">
        <v>2.0440265559511341</v>
      </c>
      <c r="D31" s="204">
        <v>1.6040434241388906</v>
      </c>
      <c r="E31" s="204">
        <v>1.9885747852792091</v>
      </c>
      <c r="F31" s="204">
        <v>2.0030204106980345</v>
      </c>
      <c r="G31" s="204">
        <v>1.8588634714386345</v>
      </c>
      <c r="H31" s="204">
        <v>2.3374336950625776</v>
      </c>
      <c r="I31" s="204">
        <v>3.1264965427532458</v>
      </c>
      <c r="J31" s="204">
        <v>2.8407636421455535</v>
      </c>
      <c r="K31" s="204">
        <v>2.7849487681173137</v>
      </c>
      <c r="L31" s="204">
        <v>3.947360374934203</v>
      </c>
      <c r="M31" s="204">
        <v>4.8933084065637669</v>
      </c>
      <c r="N31" s="204">
        <v>4.3604493243685321</v>
      </c>
      <c r="O31" s="204">
        <v>5.093648230009836</v>
      </c>
      <c r="P31" s="204">
        <v>5.899507061331156</v>
      </c>
      <c r="Q31" s="204">
        <v>7.1439162382479076</v>
      </c>
      <c r="R31" s="204">
        <v>7.8931064119734353</v>
      </c>
      <c r="S31" s="204">
        <v>7.9757369595457934</v>
      </c>
      <c r="T31" s="204">
        <v>8.5754266865115465</v>
      </c>
      <c r="U31" s="204">
        <v>5.4630273862271457</v>
      </c>
      <c r="V31" s="204">
        <v>5.4397151693912642</v>
      </c>
      <c r="W31" s="204">
        <v>6.7420762945365462</v>
      </c>
      <c r="X31" s="204">
        <v>3.6470975188732</v>
      </c>
      <c r="Y31" s="204">
        <v>3.4118529220894245</v>
      </c>
      <c r="Z31" s="204">
        <v>2.7436579048528782</v>
      </c>
      <c r="AA31" s="204">
        <v>1.673219520319122</v>
      </c>
    </row>
    <row r="32" spans="1:27" s="202" customFormat="1" ht="24" x14ac:dyDescent="0.2">
      <c r="A32" s="203" t="s">
        <v>1413</v>
      </c>
      <c r="B32" s="204">
        <v>0</v>
      </c>
      <c r="C32" s="204">
        <v>0</v>
      </c>
      <c r="D32" s="204">
        <v>0</v>
      </c>
      <c r="E32" s="204">
        <v>0</v>
      </c>
      <c r="F32" s="204">
        <v>0</v>
      </c>
      <c r="G32" s="204">
        <v>0</v>
      </c>
      <c r="H32" s="204">
        <v>0</v>
      </c>
      <c r="I32" s="204">
        <v>0</v>
      </c>
      <c r="J32" s="204">
        <v>0</v>
      </c>
      <c r="K32" s="204">
        <v>0</v>
      </c>
      <c r="L32" s="204">
        <v>0</v>
      </c>
      <c r="M32" s="204">
        <v>1.0214223479431337</v>
      </c>
      <c r="N32" s="204">
        <v>1.8203881778672502</v>
      </c>
      <c r="O32" s="204">
        <v>3.1897230068602465</v>
      </c>
      <c r="P32" s="204">
        <v>4.9258193873159382</v>
      </c>
      <c r="Q32" s="204">
        <v>7.4560553835032097</v>
      </c>
      <c r="R32" s="204">
        <v>9.8855759098304201</v>
      </c>
      <c r="S32" s="204">
        <v>11.65390918873601</v>
      </c>
      <c r="T32" s="204">
        <v>14.320180512638915</v>
      </c>
      <c r="U32" s="204">
        <v>10.263102213237847</v>
      </c>
      <c r="V32" s="204">
        <v>11.354785308460201</v>
      </c>
      <c r="W32" s="204">
        <v>12.781990665486424</v>
      </c>
      <c r="X32" s="204">
        <v>8.9115153939809701</v>
      </c>
      <c r="Y32" s="204">
        <v>9.838628191277202</v>
      </c>
      <c r="Z32" s="204">
        <v>5.8445943560982645</v>
      </c>
      <c r="AA32" s="204">
        <v>10.770826257676665</v>
      </c>
    </row>
    <row r="33" spans="1:27" s="202" customFormat="1" ht="24" x14ac:dyDescent="0.2">
      <c r="A33" s="203" t="s">
        <v>1414</v>
      </c>
      <c r="B33" s="204">
        <v>0</v>
      </c>
      <c r="C33" s="204">
        <v>0</v>
      </c>
      <c r="D33" s="204">
        <v>0</v>
      </c>
      <c r="E33" s="204">
        <v>0</v>
      </c>
      <c r="F33" s="204">
        <v>0</v>
      </c>
      <c r="G33" s="204">
        <v>0</v>
      </c>
      <c r="H33" s="204">
        <v>0</v>
      </c>
      <c r="I33" s="204">
        <v>0</v>
      </c>
      <c r="J33" s="204">
        <v>0</v>
      </c>
      <c r="K33" s="204">
        <v>0</v>
      </c>
      <c r="L33" s="204">
        <v>0</v>
      </c>
      <c r="M33" s="204">
        <v>0.56523478941253302</v>
      </c>
      <c r="N33" s="204">
        <v>1.0073665711719331</v>
      </c>
      <c r="O33" s="204">
        <v>1.7651292001762031</v>
      </c>
      <c r="P33" s="204">
        <v>2.7258503690274711</v>
      </c>
      <c r="Q33" s="204">
        <v>4.1260325888006237</v>
      </c>
      <c r="R33" s="204">
        <v>5.4704808729382659</v>
      </c>
      <c r="S33" s="204">
        <v>6.4490412995102364</v>
      </c>
      <c r="T33" s="204">
        <v>7.9245027609886947</v>
      </c>
      <c r="U33" s="204">
        <v>5.6793964121702993</v>
      </c>
      <c r="V33" s="204">
        <v>6.2835121001379797</v>
      </c>
      <c r="W33" s="204">
        <v>7.0732991270731578</v>
      </c>
      <c r="X33" s="204">
        <v>10.11591730353198</v>
      </c>
      <c r="Y33" s="204">
        <v>10.671899840559417</v>
      </c>
      <c r="Z33" s="204">
        <v>15.721384170071302</v>
      </c>
      <c r="AA33" s="204">
        <v>9.0077069019788123</v>
      </c>
    </row>
    <row r="34" spans="1:27" s="202" customFormat="1" x14ac:dyDescent="0.2">
      <c r="A34" s="205" t="s">
        <v>1415</v>
      </c>
      <c r="B34" s="206">
        <v>0.72250288509150162</v>
      </c>
      <c r="C34" s="206">
        <v>0.63563769944826898</v>
      </c>
      <c r="D34" s="206">
        <v>0.54086704977344691</v>
      </c>
      <c r="E34" s="206">
        <v>0.65236722301793315</v>
      </c>
      <c r="F34" s="206">
        <v>0.61536279322808618</v>
      </c>
      <c r="G34" s="206">
        <v>0.53098790591620659</v>
      </c>
      <c r="H34" s="206">
        <v>0.58939386622576606</v>
      </c>
      <c r="I34" s="206">
        <v>0.7385556226419242</v>
      </c>
      <c r="J34" s="206">
        <v>0.74264699466799222</v>
      </c>
      <c r="K34" s="206">
        <v>0.74374509567608549</v>
      </c>
      <c r="L34" s="206">
        <v>1.0153469068382333</v>
      </c>
      <c r="M34" s="206">
        <v>1.2901240945143531</v>
      </c>
      <c r="N34" s="206">
        <v>1.0198167720367168</v>
      </c>
      <c r="O34" s="206">
        <v>1.1774081665302516</v>
      </c>
      <c r="P34" s="206">
        <v>1.3835346913200499</v>
      </c>
      <c r="Q34" s="206">
        <v>1.6248204691895689</v>
      </c>
      <c r="R34" s="206">
        <v>1.8526458147945712</v>
      </c>
      <c r="S34" s="206">
        <v>1.8824054795979921</v>
      </c>
      <c r="T34" s="206">
        <v>1.8630726774697017</v>
      </c>
      <c r="U34" s="206">
        <v>1.0493878876482465</v>
      </c>
      <c r="V34" s="206">
        <v>0.97211539769300481</v>
      </c>
      <c r="W34" s="206">
        <v>0.97598316040847299</v>
      </c>
      <c r="X34" s="206">
        <v>0.97519608865057517</v>
      </c>
      <c r="Y34" s="206">
        <v>0.97370572094207941</v>
      </c>
      <c r="Z34" s="206">
        <v>0.98068652755207764</v>
      </c>
      <c r="AA34" s="206">
        <v>0.98156274720045289</v>
      </c>
    </row>
    <row r="35" spans="1:27" s="202" customFormat="1" x14ac:dyDescent="0.2">
      <c r="A35" s="199" t="s">
        <v>1416</v>
      </c>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3"/>
    </row>
    <row r="36" spans="1:27" s="202" customFormat="1" x14ac:dyDescent="0.2">
      <c r="A36" s="200" t="s">
        <v>1417</v>
      </c>
      <c r="B36" s="201">
        <v>4.330798961678247E-2</v>
      </c>
      <c r="C36" s="207">
        <v>0.13728531043110598</v>
      </c>
      <c r="D36" s="207">
        <v>0.47137468001724925</v>
      </c>
      <c r="E36" s="207">
        <v>0.49387689643050797</v>
      </c>
      <c r="F36" s="207">
        <v>0.77761825741382562</v>
      </c>
      <c r="G36" s="207">
        <v>1.4780049214529274</v>
      </c>
      <c r="H36" s="207">
        <v>1.6479004234368237</v>
      </c>
      <c r="I36" s="207">
        <v>3.7000210372824012</v>
      </c>
      <c r="J36" s="207">
        <v>5.9636706162018704</v>
      </c>
      <c r="K36" s="207">
        <v>12.611837880778577</v>
      </c>
      <c r="L36" s="207">
        <v>31.386815151934716</v>
      </c>
      <c r="M36" s="207">
        <v>44.185961690645783</v>
      </c>
      <c r="N36" s="207">
        <v>50.996910702739655</v>
      </c>
      <c r="O36" s="207">
        <v>50.432385517378776</v>
      </c>
      <c r="P36" s="207">
        <v>48.098074852126565</v>
      </c>
      <c r="Q36" s="207">
        <v>50.005051601257883</v>
      </c>
      <c r="R36" s="207">
        <v>61.128187015605143</v>
      </c>
      <c r="S36" s="207">
        <v>62.081817241509555</v>
      </c>
      <c r="T36" s="207">
        <v>64.705097568337976</v>
      </c>
      <c r="U36" s="207">
        <v>53.987581280428294</v>
      </c>
      <c r="V36" s="207">
        <v>50.563216755885122</v>
      </c>
      <c r="W36" s="207">
        <v>47.173141181956112</v>
      </c>
      <c r="X36" s="207">
        <v>47.007556306009285</v>
      </c>
      <c r="Y36" s="207">
        <v>47.260036935551895</v>
      </c>
      <c r="Z36" s="207">
        <v>47.637857769543203</v>
      </c>
      <c r="AA36" s="207">
        <v>48.074173067448015</v>
      </c>
    </row>
    <row r="37" spans="1:27" x14ac:dyDescent="0.2">
      <c r="A37" s="208" t="s">
        <v>1418</v>
      </c>
      <c r="B37" s="197">
        <v>2.7243800517374042</v>
      </c>
      <c r="C37" s="197">
        <v>3.5851511623200683</v>
      </c>
      <c r="D37" s="197">
        <v>4.8436533855949291</v>
      </c>
      <c r="E37" s="197">
        <v>5.7010976783100178</v>
      </c>
      <c r="F37" s="197">
        <v>6.0846338397432982</v>
      </c>
      <c r="G37" s="197">
        <v>6.2510580977277996</v>
      </c>
      <c r="H37" s="197">
        <v>6.4449534182164676</v>
      </c>
      <c r="I37" s="197">
        <v>6.4558114455218769</v>
      </c>
      <c r="J37" s="197">
        <v>6.6051979012757158</v>
      </c>
      <c r="K37" s="197">
        <v>6.6880849549307388</v>
      </c>
      <c r="L37" s="197">
        <v>6.8166312711079362</v>
      </c>
      <c r="M37" s="197">
        <v>7.3176360634934019</v>
      </c>
      <c r="N37" s="197">
        <v>7.812945926103791</v>
      </c>
      <c r="O37" s="197">
        <v>8.5380037560194673</v>
      </c>
      <c r="P37" s="197">
        <v>9.2202153615327465</v>
      </c>
      <c r="Q37" s="197">
        <v>9.8785286724840642</v>
      </c>
      <c r="R37" s="197">
        <v>10.452675515604639</v>
      </c>
      <c r="S37" s="197">
        <v>11.08814945165288</v>
      </c>
      <c r="T37" s="197">
        <v>11.687324659308327</v>
      </c>
      <c r="U37" s="197">
        <v>12.061664958050764</v>
      </c>
      <c r="V37" s="197">
        <v>12.2845124038971</v>
      </c>
      <c r="W37" s="197">
        <v>12.649692318130276</v>
      </c>
      <c r="X37" s="197">
        <v>12.776442944163996</v>
      </c>
      <c r="Y37" s="197">
        <v>12.788710907295997</v>
      </c>
      <c r="Z37" s="197">
        <v>12.789889485498193</v>
      </c>
      <c r="AA37" s="197">
        <v>12.785334576728092</v>
      </c>
    </row>
    <row r="38" spans="1:27" x14ac:dyDescent="0.2">
      <c r="A38" s="209" t="s">
        <v>1419</v>
      </c>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3"/>
    </row>
    <row r="39" spans="1:27" x14ac:dyDescent="0.2">
      <c r="A39" s="210" t="s">
        <v>1420</v>
      </c>
      <c r="B39" s="195">
        <v>523.78724790472165</v>
      </c>
      <c r="C39" s="195">
        <v>555.07880830401348</v>
      </c>
      <c r="D39" s="195">
        <v>553.88507134866848</v>
      </c>
      <c r="E39" s="195">
        <v>572.67534822365894</v>
      </c>
      <c r="F39" s="195">
        <v>608.50574164855163</v>
      </c>
      <c r="G39" s="195">
        <v>603.72263801070881</v>
      </c>
      <c r="H39" s="195">
        <v>669.36798809697302</v>
      </c>
      <c r="I39" s="195">
        <v>682.88005401690668</v>
      </c>
      <c r="J39" s="195">
        <v>724.87566265359965</v>
      </c>
      <c r="K39" s="195">
        <v>730.507727118243</v>
      </c>
      <c r="L39" s="195">
        <v>731.29497138235502</v>
      </c>
      <c r="M39" s="195">
        <v>851.18273565969344</v>
      </c>
      <c r="N39" s="195">
        <v>861.17886681820471</v>
      </c>
      <c r="O39" s="195">
        <v>914.86542212228846</v>
      </c>
      <c r="P39" s="195">
        <v>947.45913680910462</v>
      </c>
      <c r="Q39" s="195">
        <v>993.20307173524793</v>
      </c>
      <c r="R39" s="195">
        <v>1059.9569249284182</v>
      </c>
      <c r="S39" s="195">
        <v>1075.7905823430533</v>
      </c>
      <c r="T39" s="195">
        <v>1159.9295435146023</v>
      </c>
      <c r="U39" s="195">
        <v>1138.1950446474641</v>
      </c>
      <c r="V39" s="195">
        <v>1126.414469822229</v>
      </c>
      <c r="W39" s="195">
        <v>1099.7125085685252</v>
      </c>
      <c r="X39" s="195">
        <v>1120.4388153561342</v>
      </c>
      <c r="Y39" s="195">
        <v>1130.709303661881</v>
      </c>
      <c r="Z39" s="195">
        <v>1064.2303338810575</v>
      </c>
      <c r="AA39" s="195">
        <v>1020.2464450164858</v>
      </c>
    </row>
    <row r="40" spans="1:27" s="213" customFormat="1" x14ac:dyDescent="0.2">
      <c r="A40" s="211" t="s">
        <v>1421</v>
      </c>
      <c r="B40" s="212">
        <v>0</v>
      </c>
      <c r="C40" s="212">
        <v>0</v>
      </c>
      <c r="D40" s="212">
        <v>0</v>
      </c>
      <c r="E40" s="212">
        <v>1.3358706154781594</v>
      </c>
      <c r="F40" s="212">
        <v>2.1835975965020138</v>
      </c>
      <c r="G40" s="212">
        <v>2.964344620806826</v>
      </c>
      <c r="H40" s="212">
        <v>4.219001152072714</v>
      </c>
      <c r="I40" s="212">
        <v>5.307977355766555</v>
      </c>
      <c r="J40" s="212">
        <v>6.7606203008637715</v>
      </c>
      <c r="K40" s="212">
        <v>8.0146312481594002</v>
      </c>
      <c r="L40" s="212">
        <v>9.2986671855784042</v>
      </c>
      <c r="M40" s="212">
        <v>12.399987860074667</v>
      </c>
      <c r="N40" s="212">
        <v>14.243554465664758</v>
      </c>
      <c r="O40" s="212">
        <v>17.055058142779441</v>
      </c>
      <c r="P40" s="212">
        <v>19.791550686138326</v>
      </c>
      <c r="Q40" s="212">
        <v>23.137455648399467</v>
      </c>
      <c r="R40" s="212">
        <v>27.431648222688423</v>
      </c>
      <c r="S40" s="212">
        <v>30.834274855887298</v>
      </c>
      <c r="T40" s="212">
        <v>36.729662175953237</v>
      </c>
      <c r="U40" s="212">
        <v>39.743353937847175</v>
      </c>
      <c r="V40" s="212">
        <v>43.312465255625938</v>
      </c>
      <c r="W40" s="212">
        <v>46.523127623593531</v>
      </c>
      <c r="X40" s="212">
        <v>39.784265935217057</v>
      </c>
      <c r="Y40" s="212">
        <v>26.606830032209771</v>
      </c>
      <c r="Z40" s="212">
        <v>31.656061544555072</v>
      </c>
      <c r="AA40" s="212">
        <v>30.316440593757711</v>
      </c>
    </row>
    <row r="41" spans="1:27" s="213" customFormat="1" x14ac:dyDescent="0.2">
      <c r="A41" s="211" t="s">
        <v>1422</v>
      </c>
      <c r="B41" s="212">
        <v>317.03865757997511</v>
      </c>
      <c r="C41" s="212">
        <v>335.97885580408075</v>
      </c>
      <c r="D41" s="212">
        <v>335.25630907668307</v>
      </c>
      <c r="E41" s="212">
        <v>337.52756892552367</v>
      </c>
      <c r="F41" s="212">
        <v>353.43892978745367</v>
      </c>
      <c r="G41" s="212">
        <v>345.22407539105564</v>
      </c>
      <c r="H41" s="212">
        <v>376.40920137650187</v>
      </c>
      <c r="I41" s="212">
        <v>377.16790872107993</v>
      </c>
      <c r="J41" s="212">
        <v>392.68927844932892</v>
      </c>
      <c r="K41" s="212">
        <v>387.55388009478207</v>
      </c>
      <c r="L41" s="212">
        <v>379.28142284027655</v>
      </c>
      <c r="M41" s="212">
        <v>430.7159621823842</v>
      </c>
      <c r="N41" s="212">
        <v>424.20503069894687</v>
      </c>
      <c r="O41" s="212">
        <v>437.54392160563287</v>
      </c>
      <c r="P41" s="212">
        <v>438.6268082958926</v>
      </c>
      <c r="Q41" s="212">
        <v>443.51695995804118</v>
      </c>
      <c r="R41" s="212">
        <v>454.66273096227246</v>
      </c>
      <c r="S41" s="212">
        <v>441.06226801024985</v>
      </c>
      <c r="T41" s="212">
        <v>451.82095261489366</v>
      </c>
      <c r="U41" s="212">
        <v>418.13124802651527</v>
      </c>
      <c r="V41" s="212">
        <v>386.68203795526705</v>
      </c>
      <c r="W41" s="212">
        <v>348.6435337330102</v>
      </c>
      <c r="X41" s="212">
        <v>299.29883455429103</v>
      </c>
      <c r="Y41" s="212">
        <v>171.40956675248268</v>
      </c>
      <c r="Z41" s="212">
        <v>126.5585648227392</v>
      </c>
      <c r="AA41" s="212">
        <v>94.721423623784418</v>
      </c>
    </row>
    <row r="42" spans="1:27" s="213" customFormat="1" x14ac:dyDescent="0.2">
      <c r="A42" s="211" t="s">
        <v>1423</v>
      </c>
      <c r="B42" s="212">
        <v>206.74859032474654</v>
      </c>
      <c r="C42" s="212">
        <v>219.09995249993267</v>
      </c>
      <c r="D42" s="212">
        <v>218.62876227198535</v>
      </c>
      <c r="E42" s="212">
        <v>233.81190868265728</v>
      </c>
      <c r="F42" s="212">
        <v>252.88321426459595</v>
      </c>
      <c r="G42" s="212">
        <v>255.53421799884637</v>
      </c>
      <c r="H42" s="212">
        <v>288.73978556839842</v>
      </c>
      <c r="I42" s="212">
        <v>300.40416794006006</v>
      </c>
      <c r="J42" s="212">
        <v>325.4257639034069</v>
      </c>
      <c r="K42" s="212">
        <v>334.93921577530159</v>
      </c>
      <c r="L42" s="212">
        <v>342.71488135649986</v>
      </c>
      <c r="M42" s="212">
        <v>408.06678561723453</v>
      </c>
      <c r="N42" s="212">
        <v>422.73028165359318</v>
      </c>
      <c r="O42" s="212">
        <v>460.26644237387598</v>
      </c>
      <c r="P42" s="212">
        <v>489.04077782707367</v>
      </c>
      <c r="Q42" s="212">
        <v>526.54865612880735</v>
      </c>
      <c r="R42" s="212">
        <v>577.8625457434573</v>
      </c>
      <c r="S42" s="212">
        <v>603.89403947691608</v>
      </c>
      <c r="T42" s="212">
        <v>671.37892872375539</v>
      </c>
      <c r="U42" s="212">
        <v>680.32044268310153</v>
      </c>
      <c r="V42" s="212">
        <v>696.41996661133589</v>
      </c>
      <c r="W42" s="212">
        <v>704.54584721192145</v>
      </c>
      <c r="X42" s="212">
        <v>781.35571486662604</v>
      </c>
      <c r="Y42" s="212">
        <v>932.69290687718876</v>
      </c>
      <c r="Z42" s="212">
        <v>906.01570751376323</v>
      </c>
      <c r="AA42" s="212">
        <v>895.20858079894367</v>
      </c>
    </row>
    <row r="43" spans="1:27" s="213" customFormat="1" x14ac:dyDescent="0.2">
      <c r="A43" s="211" t="s">
        <v>1424</v>
      </c>
      <c r="B43" s="212">
        <v>27.727332873501595</v>
      </c>
      <c r="C43" s="212">
        <v>28.353850046603998</v>
      </c>
      <c r="D43" s="212">
        <v>28.480843896602401</v>
      </c>
      <c r="E43" s="212">
        <v>32.14584165878788</v>
      </c>
      <c r="F43" s="212">
        <v>36.22332822901442</v>
      </c>
      <c r="G43" s="212">
        <v>36.821038222831632</v>
      </c>
      <c r="H43" s="212">
        <v>43.863789099161892</v>
      </c>
      <c r="I43" s="212">
        <v>45.868225069953986</v>
      </c>
      <c r="J43" s="212">
        <v>51.983738715911649</v>
      </c>
      <c r="K43" s="212">
        <v>53.577439348431859</v>
      </c>
      <c r="L43" s="212">
        <v>54.741575802860069</v>
      </c>
      <c r="M43" s="212">
        <v>67.475099503107515</v>
      </c>
      <c r="N43" s="212">
        <v>70.461743504594665</v>
      </c>
      <c r="O43" s="212">
        <v>77.945911895563839</v>
      </c>
      <c r="P43" s="212">
        <v>83.639414622103274</v>
      </c>
      <c r="Q43" s="212">
        <v>90.889184365198417</v>
      </c>
      <c r="R43" s="212">
        <v>100.90181414353873</v>
      </c>
      <c r="S43" s="212">
        <v>105.70113568601997</v>
      </c>
      <c r="T43" s="212">
        <v>119.0633084946799</v>
      </c>
      <c r="U43" s="212">
        <v>121.17961552056128</v>
      </c>
      <c r="V43" s="212">
        <v>125.07980386947119</v>
      </c>
      <c r="W43" s="212">
        <v>126.71467698224069</v>
      </c>
      <c r="X43" s="212">
        <v>126.22579775042745</v>
      </c>
      <c r="Y43" s="212">
        <v>124.2846680872067</v>
      </c>
      <c r="Z43" s="212">
        <v>124.86447482770326</v>
      </c>
      <c r="AA43" s="212">
        <v>121.39771968651085</v>
      </c>
    </row>
    <row r="44" spans="1:27" x14ac:dyDescent="0.2">
      <c r="A44" s="214" t="s">
        <v>1425</v>
      </c>
      <c r="B44" s="198">
        <v>154.37480034863742</v>
      </c>
      <c r="C44" s="198">
        <v>173.63942607917861</v>
      </c>
      <c r="D44" s="198">
        <v>175.11126751946563</v>
      </c>
      <c r="E44" s="198">
        <v>173.56152742416518</v>
      </c>
      <c r="F44" s="198">
        <v>170.88354373237999</v>
      </c>
      <c r="G44" s="198">
        <v>171.33483171639776</v>
      </c>
      <c r="H44" s="198">
        <v>166.70931493474578</v>
      </c>
      <c r="I44" s="198">
        <v>163.36403133657026</v>
      </c>
      <c r="J44" s="198">
        <v>158.22673126448501</v>
      </c>
      <c r="K44" s="198">
        <v>155.04748720739556</v>
      </c>
      <c r="L44" s="198">
        <v>153.18237268587316</v>
      </c>
      <c r="M44" s="198">
        <v>140.11583316031167</v>
      </c>
      <c r="N44" s="198">
        <v>137.16535130721661</v>
      </c>
      <c r="O44" s="198">
        <v>127.16726769231389</v>
      </c>
      <c r="P44" s="198">
        <v>121.561659705287</v>
      </c>
      <c r="Q44" s="198">
        <v>113.5453598408447</v>
      </c>
      <c r="R44" s="198">
        <v>101.72406433238109</v>
      </c>
      <c r="S44" s="198">
        <v>96.604167257416094</v>
      </c>
      <c r="T44" s="198">
        <v>80.454958177443544</v>
      </c>
      <c r="U44" s="198">
        <v>76.608738025074402</v>
      </c>
      <c r="V44" s="198">
        <v>72.319946945933381</v>
      </c>
      <c r="W44" s="198">
        <v>69.372278328269843</v>
      </c>
      <c r="X44" s="198">
        <v>69.048903676994243</v>
      </c>
      <c r="Y44" s="198">
        <v>67.883150675749022</v>
      </c>
      <c r="Z44" s="198">
        <v>68.688782178961063</v>
      </c>
      <c r="AA44" s="198">
        <v>66.84136483251666</v>
      </c>
    </row>
    <row r="45" spans="1:27" x14ac:dyDescent="0.2">
      <c r="A45" s="214" t="s">
        <v>1426</v>
      </c>
      <c r="B45" s="198">
        <v>48.135584084668899</v>
      </c>
      <c r="C45" s="198">
        <v>54.142484236882304</v>
      </c>
      <c r="D45" s="198">
        <v>54.60141890269712</v>
      </c>
      <c r="E45" s="198">
        <v>54.118194668571832</v>
      </c>
      <c r="F45" s="198">
        <v>53.283172962424338</v>
      </c>
      <c r="G45" s="198">
        <v>53.423889003203207</v>
      </c>
      <c r="H45" s="198">
        <v>51.98160728704601</v>
      </c>
      <c r="I45" s="198">
        <v>50.938514893965163</v>
      </c>
      <c r="J45" s="198">
        <v>49.336654104318356</v>
      </c>
      <c r="K45" s="198">
        <v>48.345334476438005</v>
      </c>
      <c r="L45" s="198">
        <v>47.763773388258315</v>
      </c>
      <c r="M45" s="198">
        <v>43.689497595785234</v>
      </c>
      <c r="N45" s="198">
        <v>42.769508277520842</v>
      </c>
      <c r="O45" s="198">
        <v>39.652007277073722</v>
      </c>
      <c r="P45" s="198">
        <v>37.904123464457641</v>
      </c>
      <c r="Q45" s="198">
        <v>35.404562167527423</v>
      </c>
      <c r="R45" s="198">
        <v>31.718565731241892</v>
      </c>
      <c r="S45" s="198">
        <v>30.122131367600598</v>
      </c>
      <c r="T45" s="198">
        <v>25.086648828906725</v>
      </c>
      <c r="U45" s="198">
        <v>23.887359481588405</v>
      </c>
      <c r="V45" s="198">
        <v>22.550072157845527</v>
      </c>
      <c r="W45" s="198">
        <v>21.630960034112597</v>
      </c>
      <c r="X45" s="198">
        <v>21.530128631045692</v>
      </c>
      <c r="Y45" s="198">
        <v>21.166635356970733</v>
      </c>
      <c r="Z45" s="198">
        <v>21.417839199026186</v>
      </c>
      <c r="AA45" s="198">
        <v>20.841796264438287</v>
      </c>
    </row>
    <row r="46" spans="1:27" x14ac:dyDescent="0.2">
      <c r="A46" s="209" t="s">
        <v>1427</v>
      </c>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3"/>
    </row>
    <row r="47" spans="1:27" x14ac:dyDescent="0.2">
      <c r="A47" s="215" t="s">
        <v>1428</v>
      </c>
      <c r="B47" s="195">
        <v>0.18704578054597146</v>
      </c>
      <c r="C47" s="195">
        <v>0.18363755108891011</v>
      </c>
      <c r="D47" s="195">
        <v>0.17825630918733032</v>
      </c>
      <c r="E47" s="195">
        <v>0.1866596253473925</v>
      </c>
      <c r="F47" s="195">
        <v>0.19524471800695523</v>
      </c>
      <c r="G47" s="195">
        <v>0.17486707471373006</v>
      </c>
      <c r="H47" s="195">
        <v>0.18888646737484674</v>
      </c>
      <c r="I47" s="195">
        <v>0.19574091625589166</v>
      </c>
      <c r="J47" s="195">
        <v>0.20271654946993692</v>
      </c>
      <c r="K47" s="195">
        <v>0.21758423246205591</v>
      </c>
      <c r="L47" s="195">
        <v>0.20124726934088091</v>
      </c>
      <c r="M47" s="195">
        <v>0.22637386363784326</v>
      </c>
      <c r="N47" s="195">
        <v>0.23589813487815856</v>
      </c>
      <c r="O47" s="195">
        <v>0.23115687775809349</v>
      </c>
      <c r="P47" s="195">
        <v>0.22407905519450899</v>
      </c>
      <c r="Q47" s="195">
        <v>0.23794320040611225</v>
      </c>
      <c r="R47" s="195">
        <v>0.26719382905834899</v>
      </c>
      <c r="S47" s="195">
        <v>0.26876545835409033</v>
      </c>
      <c r="T47" s="195">
        <v>0.29021492547800354</v>
      </c>
      <c r="U47" s="195">
        <v>0.28969235799622606</v>
      </c>
      <c r="V47" s="195">
        <v>0.39829532347837371</v>
      </c>
      <c r="W47" s="195">
        <v>0.43819117845117839</v>
      </c>
      <c r="X47" s="195">
        <v>0.53736076094276086</v>
      </c>
      <c r="Y47" s="195">
        <v>0.64575542087542082</v>
      </c>
      <c r="Z47" s="195">
        <v>0.67573692255892237</v>
      </c>
      <c r="AA47" s="195">
        <v>0.68496199999999996</v>
      </c>
    </row>
    <row r="48" spans="1:27" x14ac:dyDescent="0.2">
      <c r="A48" s="214" t="s">
        <v>1429</v>
      </c>
      <c r="B48" s="198">
        <v>0</v>
      </c>
      <c r="C48" s="216">
        <v>1.6668744588744593E-3</v>
      </c>
      <c r="D48" s="216">
        <v>3.1794086900753574E-3</v>
      </c>
      <c r="E48" s="216">
        <v>4.908019240019241E-3</v>
      </c>
      <c r="F48" s="217">
        <v>6.7292339265672607E-3</v>
      </c>
      <c r="G48" s="217">
        <v>7.4083309283309298E-3</v>
      </c>
      <c r="H48" s="217">
        <v>9.4456219336219328E-3</v>
      </c>
      <c r="I48" s="217">
        <v>1.1235968574635243E-2</v>
      </c>
      <c r="J48" s="217">
        <v>1.3088051306717974E-2</v>
      </c>
      <c r="K48" s="217">
        <v>1.555749494949495E-2</v>
      </c>
      <c r="L48" s="217">
        <v>1.5742703222703228E-2</v>
      </c>
      <c r="M48" s="217">
        <v>1.9184490299823637E-2</v>
      </c>
      <c r="N48" s="217">
        <v>2.14841596921597E-2</v>
      </c>
      <c r="O48" s="217">
        <v>2.2471937149270489E-2</v>
      </c>
      <c r="P48" s="217">
        <v>2.3120166105499447E-2</v>
      </c>
      <c r="Q48" s="217">
        <v>2.5929158249158257E-2</v>
      </c>
      <c r="R48" s="217">
        <v>3.0621101170434515E-2</v>
      </c>
      <c r="S48" s="217">
        <v>3.2272541606541617E-2</v>
      </c>
      <c r="T48" s="217">
        <v>3.6393425685425695E-2</v>
      </c>
      <c r="U48" s="217">
        <v>3.7828789802789815E-2</v>
      </c>
      <c r="V48" s="198">
        <v>5.4019079685746374E-2</v>
      </c>
      <c r="W48" s="198">
        <v>6.1581750841750847E-2</v>
      </c>
      <c r="X48" s="198">
        <v>7.5518673400673406E-2</v>
      </c>
      <c r="Y48" s="198">
        <v>9.0752053872053873E-2</v>
      </c>
      <c r="Z48" s="198">
        <v>9.4965542087542099E-2</v>
      </c>
      <c r="AA48" s="198">
        <v>9.6262E-2</v>
      </c>
    </row>
    <row r="49" spans="1:27" x14ac:dyDescent="0.2">
      <c r="A49" s="214" t="s">
        <v>1430</v>
      </c>
      <c r="B49" s="198">
        <v>5.7677257551016243</v>
      </c>
      <c r="C49" s="198">
        <v>5.3900557614878863</v>
      </c>
      <c r="D49" s="198">
        <v>4.9767844931628664</v>
      </c>
      <c r="E49" s="198">
        <v>4.9532388485735588</v>
      </c>
      <c r="F49" s="198">
        <v>4.9201554379801165</v>
      </c>
      <c r="G49" s="198">
        <v>4.1807436526136073</v>
      </c>
      <c r="H49" s="198">
        <v>4.2798981088316967</v>
      </c>
      <c r="I49" s="198">
        <v>4.1984964021881312</v>
      </c>
      <c r="J49" s="198">
        <v>4.110736184875142</v>
      </c>
      <c r="K49" s="198">
        <v>4.165381066407277</v>
      </c>
      <c r="L49" s="198">
        <v>3.6313300205506511</v>
      </c>
      <c r="M49" s="198">
        <v>3.8433161159635696</v>
      </c>
      <c r="N49" s="198">
        <v>3.7609542476821076</v>
      </c>
      <c r="O49" s="198">
        <v>3.4532278714320115</v>
      </c>
      <c r="P49" s="198">
        <v>3.128975752478901</v>
      </c>
      <c r="Q49" s="198">
        <v>3.0971512739443798</v>
      </c>
      <c r="R49" s="198">
        <v>3.2318750796863367</v>
      </c>
      <c r="S49" s="198">
        <v>3.0102873678944624</v>
      </c>
      <c r="T49" s="198">
        <v>2.9978371917892304</v>
      </c>
      <c r="U49" s="198">
        <v>2.7470067159554969</v>
      </c>
      <c r="V49" s="198">
        <v>3.4483746566020277</v>
      </c>
      <c r="W49" s="198">
        <v>3.4419203703703678</v>
      </c>
      <c r="X49" s="198">
        <v>4.2208812962962936</v>
      </c>
      <c r="Y49" s="198">
        <v>5.0723037037037004</v>
      </c>
      <c r="Z49" s="198">
        <v>5.3078035185185142</v>
      </c>
      <c r="AA49" s="198">
        <v>5.380264999999997</v>
      </c>
    </row>
    <row r="50" spans="1:27" x14ac:dyDescent="0.2">
      <c r="A50" s="214" t="s">
        <v>1431</v>
      </c>
      <c r="B50" s="198">
        <v>0</v>
      </c>
      <c r="C50" s="216">
        <v>2.0620086580086594E-3</v>
      </c>
      <c r="D50" s="216">
        <v>3.9330905884239244E-3</v>
      </c>
      <c r="E50" s="217">
        <v>6.0714699374699432E-3</v>
      </c>
      <c r="F50" s="217">
        <v>8.3244053230719962E-3</v>
      </c>
      <c r="G50" s="217">
        <v>9.1644829244829328E-3</v>
      </c>
      <c r="H50" s="217">
        <v>1.1684715728715735E-2</v>
      </c>
      <c r="I50" s="217">
        <v>1.3899465768799111E-2</v>
      </c>
      <c r="J50" s="217">
        <v>1.6190586499919842E-2</v>
      </c>
      <c r="K50" s="217">
        <v>1.9245414141414154E-2</v>
      </c>
      <c r="L50" s="217">
        <v>1.9474526214526226E-2</v>
      </c>
      <c r="M50" s="217">
        <v>2.373219223985892E-2</v>
      </c>
      <c r="N50" s="217">
        <v>2.6577000481000503E-2</v>
      </c>
      <c r="O50" s="217">
        <v>2.7798931537598222E-2</v>
      </c>
      <c r="P50" s="217">
        <v>2.8600823793490476E-2</v>
      </c>
      <c r="Q50" s="217">
        <v>3.2075690235690263E-2</v>
      </c>
      <c r="R50" s="217">
        <v>3.7879862754529439E-2</v>
      </c>
      <c r="S50" s="217">
        <v>3.9922778739778765E-2</v>
      </c>
      <c r="T50" s="217">
        <v>4.5020522366522403E-2</v>
      </c>
      <c r="U50" s="217">
        <v>4.679614093314096E-2</v>
      </c>
      <c r="V50" s="198">
        <v>6.6824354657688045E-2</v>
      </c>
      <c r="W50" s="198">
        <v>7.6179764309764364E-2</v>
      </c>
      <c r="X50" s="198">
        <v>9.3420447811447885E-2</v>
      </c>
      <c r="Y50" s="198">
        <v>0.11226491582491591</v>
      </c>
      <c r="Z50" s="198">
        <v>0.11747721548821559</v>
      </c>
      <c r="AA50" s="198">
        <v>0.11908100000000008</v>
      </c>
    </row>
    <row r="51" spans="1:27" x14ac:dyDescent="0.2">
      <c r="A51" s="214" t="s">
        <v>1432</v>
      </c>
      <c r="B51" s="198">
        <v>9.7316458530009218</v>
      </c>
      <c r="C51" s="198">
        <v>9.2345279998184093</v>
      </c>
      <c r="D51" s="198">
        <v>8.6643685138085367</v>
      </c>
      <c r="E51" s="198">
        <v>8.7699393015230918</v>
      </c>
      <c r="F51" s="198">
        <v>8.8672012518644152</v>
      </c>
      <c r="G51" s="198">
        <v>7.6767037412850039</v>
      </c>
      <c r="H51" s="198">
        <v>8.0152474897703563</v>
      </c>
      <c r="I51" s="198">
        <v>8.0283893574533423</v>
      </c>
      <c r="J51" s="198">
        <v>8.0359920002208423</v>
      </c>
      <c r="K51" s="198">
        <v>8.3357611742977742</v>
      </c>
      <c r="L51" s="198">
        <v>7.4502465483905098</v>
      </c>
      <c r="M51" s="198">
        <v>8.0972214056288916</v>
      </c>
      <c r="N51" s="198">
        <v>8.1515543628751761</v>
      </c>
      <c r="O51" s="198">
        <v>7.7153679837630404</v>
      </c>
      <c r="P51" s="198">
        <v>7.2227576465700114</v>
      </c>
      <c r="Q51" s="198">
        <v>7.4051713884956731</v>
      </c>
      <c r="R51" s="198">
        <v>8.0268666363114907</v>
      </c>
      <c r="S51" s="198">
        <v>7.7918026747060889</v>
      </c>
      <c r="T51" s="198">
        <v>8.117176972525856</v>
      </c>
      <c r="U51" s="198">
        <v>7.8146106030085845</v>
      </c>
      <c r="V51" s="198">
        <v>10.358874844261344</v>
      </c>
      <c r="W51" s="198">
        <v>10.983665218855192</v>
      </c>
      <c r="X51" s="198">
        <v>13.46944208417505</v>
      </c>
      <c r="Y51" s="198">
        <v>16.186454006733971</v>
      </c>
      <c r="Z51" s="198">
        <v>16.937967942760899</v>
      </c>
      <c r="AA51" s="198">
        <v>17.169202999999957</v>
      </c>
    </row>
    <row r="52" spans="1:27" ht="24" x14ac:dyDescent="0.2">
      <c r="A52" s="208" t="s">
        <v>1433</v>
      </c>
      <c r="B52" s="218">
        <v>2.1069575757575756E-2</v>
      </c>
      <c r="C52" s="218">
        <v>2.0317090909090903E-2</v>
      </c>
      <c r="D52" s="218">
        <v>1.9376484848484844E-2</v>
      </c>
      <c r="E52" s="218">
        <v>1.9940848484848481E-2</v>
      </c>
      <c r="F52" s="218">
        <v>2.0505212121212119E-2</v>
      </c>
      <c r="G52" s="218">
        <v>1.8059636363636361E-2</v>
      </c>
      <c r="H52" s="218">
        <v>1.9188363636363632E-2</v>
      </c>
      <c r="I52" s="218">
        <v>1.956460606060606E-2</v>
      </c>
      <c r="J52" s="218">
        <v>1.9940848484848485E-2</v>
      </c>
      <c r="K52" s="218">
        <v>2.1069575757575759E-2</v>
      </c>
      <c r="L52" s="218">
        <v>1.9188363636363635E-2</v>
      </c>
      <c r="M52" s="218">
        <v>2.1257696969696972E-2</v>
      </c>
      <c r="N52" s="218">
        <v>2.1822060606060609E-2</v>
      </c>
      <c r="O52" s="218">
        <v>2.1069575757575763E-2</v>
      </c>
      <c r="P52" s="218">
        <v>2.0128969696969701E-2</v>
      </c>
      <c r="Q52" s="218">
        <v>2.1069575757575763E-2</v>
      </c>
      <c r="R52" s="218">
        <v>2.3327030303030311E-2</v>
      </c>
      <c r="S52" s="218">
        <v>2.3138909090909095E-2</v>
      </c>
      <c r="T52" s="218">
        <v>2.4643878787878798E-2</v>
      </c>
      <c r="U52" s="218">
        <v>2.4267636363636377E-2</v>
      </c>
      <c r="V52" s="218">
        <v>3.2921212121212136E-2</v>
      </c>
      <c r="W52" s="218">
        <v>3.574303030303029E-2</v>
      </c>
      <c r="X52" s="218">
        <v>4.3832242424242412E-2</v>
      </c>
      <c r="Y52" s="197">
        <v>5.2673939393939377E-2</v>
      </c>
      <c r="Z52" s="197">
        <v>5.5119515151515128E-2</v>
      </c>
      <c r="AA52" s="197">
        <v>5.5871999999999977E-2</v>
      </c>
    </row>
    <row r="53" spans="1:27" x14ac:dyDescent="0.2">
      <c r="A53" s="209" t="s">
        <v>1434</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3"/>
    </row>
    <row r="54" spans="1:27" x14ac:dyDescent="0.2">
      <c r="A54" s="219" t="s">
        <v>1435</v>
      </c>
      <c r="B54" s="220">
        <v>116.51023949575305</v>
      </c>
      <c r="C54" s="220">
        <v>120.51002618733793</v>
      </c>
      <c r="D54" s="220">
        <v>125.42967595173263</v>
      </c>
      <c r="E54" s="220">
        <v>128.4106675819838</v>
      </c>
      <c r="F54" s="220">
        <v>133.46964287335149</v>
      </c>
      <c r="G54" s="220">
        <v>137.48461139936902</v>
      </c>
      <c r="H54" s="220">
        <v>143.30855213770869</v>
      </c>
      <c r="I54" s="220">
        <v>145.75196061977266</v>
      </c>
      <c r="J54" s="220">
        <v>151.25755775797268</v>
      </c>
      <c r="K54" s="220">
        <v>156.29943327800066</v>
      </c>
      <c r="L54" s="220">
        <v>163.08470146493514</v>
      </c>
      <c r="M54" s="220">
        <v>174.22095801276782</v>
      </c>
      <c r="N54" s="220">
        <v>181.55209209953563</v>
      </c>
      <c r="O54" s="220">
        <v>190.49620967610022</v>
      </c>
      <c r="P54" s="220">
        <v>202.99989384694348</v>
      </c>
      <c r="Q54" s="220">
        <v>213.50729290488948</v>
      </c>
      <c r="R54" s="220">
        <v>227.71988014239454</v>
      </c>
      <c r="S54" s="220">
        <v>240.13811308572127</v>
      </c>
      <c r="T54" s="220">
        <v>255.1416341729383</v>
      </c>
      <c r="U54" s="220">
        <v>259.88686725633681</v>
      </c>
      <c r="V54" s="220">
        <v>260.88114464227993</v>
      </c>
      <c r="W54" s="220">
        <v>263.98872196125797</v>
      </c>
      <c r="X54" s="220">
        <v>262.17513785338701</v>
      </c>
      <c r="Y54" s="220">
        <v>257.00231683779589</v>
      </c>
      <c r="Z54" s="220">
        <v>254.32570416258645</v>
      </c>
      <c r="AA54" s="220">
        <v>252.92233047789131</v>
      </c>
    </row>
    <row r="55" spans="1:27" x14ac:dyDescent="0.2">
      <c r="A55" s="209" t="s">
        <v>1436</v>
      </c>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3"/>
    </row>
    <row r="56" spans="1:27" ht="24" x14ac:dyDescent="0.2">
      <c r="A56" s="215" t="s">
        <v>1437</v>
      </c>
      <c r="B56" s="195">
        <v>0</v>
      </c>
      <c r="C56" s="195">
        <v>3.1595871762412404</v>
      </c>
      <c r="D56" s="195">
        <v>6.2403763135145693</v>
      </c>
      <c r="E56" s="195">
        <v>9.622999140825927</v>
      </c>
      <c r="F56" s="195">
        <v>13.233335900490907</v>
      </c>
      <c r="G56" s="195">
        <v>16.687091149245404</v>
      </c>
      <c r="H56" s="195">
        <v>21.019207800186194</v>
      </c>
      <c r="I56" s="195">
        <v>25.017574173416872</v>
      </c>
      <c r="J56" s="195">
        <v>29.731323029180267</v>
      </c>
      <c r="K56" s="195">
        <v>34.105431482003098</v>
      </c>
      <c r="L56" s="195">
        <v>38.670926731188985</v>
      </c>
      <c r="M56" s="195">
        <v>46.477428160399491</v>
      </c>
      <c r="N56" s="195">
        <v>52.113404350986357</v>
      </c>
      <c r="O56" s="195">
        <v>59.386793082007841</v>
      </c>
      <c r="P56" s="195">
        <v>66.732075159741456</v>
      </c>
      <c r="Q56" s="195">
        <v>75.085146391435387</v>
      </c>
      <c r="R56" s="195">
        <v>85.195222251675617</v>
      </c>
      <c r="S56" s="195">
        <v>93.863330635945644</v>
      </c>
      <c r="T56" s="195">
        <v>106.65509032986692</v>
      </c>
      <c r="U56" s="195">
        <v>114.29654143174709</v>
      </c>
      <c r="V56" s="195">
        <v>122.49600439756313</v>
      </c>
      <c r="W56" s="195">
        <v>130.31255285856622</v>
      </c>
      <c r="X56" s="195">
        <v>121.07564712838258</v>
      </c>
      <c r="Y56" s="195">
        <v>109.37599303315329</v>
      </c>
      <c r="Z56" s="195">
        <v>112.1143310654477</v>
      </c>
      <c r="AA56" s="195">
        <v>120.67322120117747</v>
      </c>
    </row>
    <row r="57" spans="1:27" ht="24" x14ac:dyDescent="0.2">
      <c r="A57" s="208" t="s">
        <v>1438</v>
      </c>
      <c r="B57" s="197">
        <v>352.13783807925375</v>
      </c>
      <c r="C57" s="197">
        <v>373.23778282152324</v>
      </c>
      <c r="D57" s="197">
        <v>352.3577699388037</v>
      </c>
      <c r="E57" s="197">
        <v>345.55577215442281</v>
      </c>
      <c r="F57" s="197">
        <v>339.19622875300865</v>
      </c>
      <c r="G57" s="197">
        <v>324.82265617351288</v>
      </c>
      <c r="H57" s="197">
        <v>322.7402758418919</v>
      </c>
      <c r="I57" s="197">
        <v>310.67166739782226</v>
      </c>
      <c r="J57" s="197">
        <v>303.73028163799574</v>
      </c>
      <c r="K57" s="197">
        <v>289.99619198124878</v>
      </c>
      <c r="L57" s="197">
        <v>275.82468799338579</v>
      </c>
      <c r="M57" s="197">
        <v>279.39622973117537</v>
      </c>
      <c r="N57" s="197">
        <v>264.58647584402178</v>
      </c>
      <c r="O57" s="197">
        <v>254.56498503460023</v>
      </c>
      <c r="P57" s="197">
        <v>240.8312113824131</v>
      </c>
      <c r="Q57" s="197">
        <v>226.88078479143377</v>
      </c>
      <c r="R57" s="197">
        <v>213.65054457257509</v>
      </c>
      <c r="S57" s="197">
        <v>192.82915803965057</v>
      </c>
      <c r="T57" s="197">
        <v>176.12223568557621</v>
      </c>
      <c r="U57" s="197">
        <v>147.52417443499974</v>
      </c>
      <c r="V57" s="197">
        <v>118.35128010864879</v>
      </c>
      <c r="W57" s="197">
        <v>87.638330456893044</v>
      </c>
      <c r="X57" s="197">
        <v>96.72922500345048</v>
      </c>
      <c r="Y57" s="197">
        <v>105.86209063600722</v>
      </c>
      <c r="Z57" s="197">
        <v>103.95060992242365</v>
      </c>
      <c r="AA57" s="197">
        <v>88.464293831705817</v>
      </c>
    </row>
    <row r="58" spans="1:27" x14ac:dyDescent="0.2">
      <c r="A58" s="209" t="s">
        <v>1439</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3"/>
    </row>
    <row r="59" spans="1:27" x14ac:dyDescent="0.2">
      <c r="A59" s="215" t="s">
        <v>1440</v>
      </c>
      <c r="B59" s="195">
        <v>0.28623972044255475</v>
      </c>
      <c r="C59" s="195">
        <v>0.31900378228595366</v>
      </c>
      <c r="D59" s="195">
        <v>0.32263958477781607</v>
      </c>
      <c r="E59" s="195">
        <v>0.33468120252352979</v>
      </c>
      <c r="F59" s="195">
        <v>0.34727875754675414</v>
      </c>
      <c r="G59" s="195">
        <v>0.35349454943048214</v>
      </c>
      <c r="H59" s="195">
        <v>0.37508450880556859</v>
      </c>
      <c r="I59" s="195">
        <v>0.37996781039516597</v>
      </c>
      <c r="J59" s="195">
        <v>0.39649258275378862</v>
      </c>
      <c r="K59" s="195">
        <v>0.40142948763608427</v>
      </c>
      <c r="L59" s="195">
        <v>0.40802781004454641</v>
      </c>
      <c r="M59" s="195">
        <v>0.44170975105315835</v>
      </c>
      <c r="N59" s="195">
        <v>0.45279256338915169</v>
      </c>
      <c r="O59" s="195">
        <v>0.46632016369193391</v>
      </c>
      <c r="P59" s="195">
        <v>0.49312102122401263</v>
      </c>
      <c r="Q59" s="195">
        <v>0.51529808734479066</v>
      </c>
      <c r="R59" s="195">
        <v>0.54451204750573456</v>
      </c>
      <c r="S59" s="195">
        <v>0.57458331438286325</v>
      </c>
      <c r="T59" s="195">
        <v>0.61576319853658557</v>
      </c>
      <c r="U59" s="195">
        <v>0.62202531183530152</v>
      </c>
      <c r="V59" s="195">
        <v>0.6323506150356768</v>
      </c>
      <c r="W59" s="195">
        <v>0.64255204831094603</v>
      </c>
      <c r="X59" s="195">
        <v>0.63955683106342054</v>
      </c>
      <c r="Y59" s="195">
        <v>0.62875918974580058</v>
      </c>
      <c r="Z59" s="195">
        <v>0.63622125074548652</v>
      </c>
      <c r="AA59" s="195">
        <v>0.6191097787187807</v>
      </c>
    </row>
    <row r="60" spans="1:27" x14ac:dyDescent="0.2">
      <c r="A60" s="214" t="s">
        <v>1441</v>
      </c>
      <c r="B60" s="198">
        <v>1.3645681411982444</v>
      </c>
      <c r="C60" s="198">
        <v>1.4471833034412871</v>
      </c>
      <c r="D60" s="198">
        <v>1.4901432440313296</v>
      </c>
      <c r="E60" s="198">
        <v>1.5277994439543774</v>
      </c>
      <c r="F60" s="198">
        <v>1.5791076886531688</v>
      </c>
      <c r="G60" s="198">
        <v>1.6110512159164256</v>
      </c>
      <c r="H60" s="198">
        <v>1.6800445752346851</v>
      </c>
      <c r="I60" s="198">
        <v>1.6979082375804522</v>
      </c>
      <c r="J60" s="198">
        <v>1.7484089406535728</v>
      </c>
      <c r="K60" s="198">
        <v>1.782016617086803</v>
      </c>
      <c r="L60" s="198">
        <v>1.8252228969446358</v>
      </c>
      <c r="M60" s="198">
        <v>1.929949197404514</v>
      </c>
      <c r="N60" s="198">
        <v>1.9818001617260019</v>
      </c>
      <c r="O60" s="198">
        <v>2.0381451343489267</v>
      </c>
      <c r="P60" s="198">
        <v>2.1408750914345021</v>
      </c>
      <c r="Q60" s="198">
        <v>2.2249722747441405</v>
      </c>
      <c r="R60" s="198">
        <v>2.3350281271556015</v>
      </c>
      <c r="S60" s="198">
        <v>2.4469144418536053</v>
      </c>
      <c r="T60" s="198">
        <v>2.5799070882001596</v>
      </c>
      <c r="U60" s="198">
        <v>2.6075819211317333</v>
      </c>
      <c r="V60" s="198">
        <v>2.6270233887839103</v>
      </c>
      <c r="W60" s="198">
        <v>2.658702013830931</v>
      </c>
      <c r="X60" s="198">
        <v>2.6488219155657862</v>
      </c>
      <c r="Y60" s="198">
        <v>2.609674975648689</v>
      </c>
      <c r="Z60" s="198">
        <v>2.6106574459442844</v>
      </c>
      <c r="AA60" s="198">
        <v>2.5732448148765941</v>
      </c>
    </row>
    <row r="61" spans="1:27" x14ac:dyDescent="0.2">
      <c r="A61" s="214" t="s">
        <v>1442</v>
      </c>
      <c r="B61" s="198">
        <v>1.1876411252353543</v>
      </c>
      <c r="C61" s="198">
        <v>1.2288508873448458</v>
      </c>
      <c r="D61" s="198">
        <v>1.2752847627079695</v>
      </c>
      <c r="E61" s="198">
        <v>1.3865956043322569</v>
      </c>
      <c r="F61" s="198">
        <v>1.4627757147250757</v>
      </c>
      <c r="G61" s="198">
        <v>1.5059927100925374</v>
      </c>
      <c r="H61" s="198">
        <v>1.6501003091645914</v>
      </c>
      <c r="I61" s="198">
        <v>1.6494948133618696</v>
      </c>
      <c r="J61" s="198">
        <v>1.7853941836501828</v>
      </c>
      <c r="K61" s="198">
        <v>1.7456959693071301</v>
      </c>
      <c r="L61" s="198">
        <v>1.7252476162591051</v>
      </c>
      <c r="M61" s="198">
        <v>1.880449356125393</v>
      </c>
      <c r="N61" s="198">
        <v>1.9285579218354565</v>
      </c>
      <c r="O61" s="198">
        <v>2.0068226294243585</v>
      </c>
      <c r="P61" s="198">
        <v>2.0740312387834092</v>
      </c>
      <c r="Q61" s="198">
        <v>2.159479646735337</v>
      </c>
      <c r="R61" s="198">
        <v>2.2612019996989541</v>
      </c>
      <c r="S61" s="198">
        <v>2.3018235715103419</v>
      </c>
      <c r="T61" s="198">
        <v>2.4694554155789774</v>
      </c>
      <c r="U61" s="198">
        <v>2.5049286952735161</v>
      </c>
      <c r="V61" s="198">
        <v>2.6194498637704808</v>
      </c>
      <c r="W61" s="198">
        <v>2.6506412097012144</v>
      </c>
      <c r="X61" s="198">
        <v>2.6382854071025488</v>
      </c>
      <c r="Y61" s="198">
        <v>2.5937432208013926</v>
      </c>
      <c r="Z61" s="198">
        <v>2.6245255464465518</v>
      </c>
      <c r="AA61" s="198">
        <v>2.5539376881837663</v>
      </c>
    </row>
    <row r="62" spans="1:27" x14ac:dyDescent="0.2">
      <c r="A62" s="214" t="s">
        <v>1443</v>
      </c>
      <c r="B62" s="198">
        <v>2.6569300530901154</v>
      </c>
      <c r="C62" s="198">
        <v>2.7491224276238833</v>
      </c>
      <c r="D62" s="198">
        <v>2.8530019214476381</v>
      </c>
      <c r="E62" s="198">
        <v>3.1020208498614847</v>
      </c>
      <c r="F62" s="198">
        <v>3.2724471010661933</v>
      </c>
      <c r="G62" s="198">
        <v>3.3691299553024097</v>
      </c>
      <c r="H62" s="198">
        <v>3.6915201140107703</v>
      </c>
      <c r="I62" s="198">
        <v>3.690165529733509</v>
      </c>
      <c r="J62" s="198">
        <v>3.9941926583355833</v>
      </c>
      <c r="K62" s="198">
        <v>3.9053818412453896</v>
      </c>
      <c r="L62" s="198">
        <v>3.8596358304386924</v>
      </c>
      <c r="M62" s="198">
        <v>4.2068452341724152</v>
      </c>
      <c r="N62" s="198">
        <v>4.314471259686476</v>
      </c>
      <c r="O62" s="198">
        <v>4.489561065243735</v>
      </c>
      <c r="P62" s="198">
        <v>4.6399167326572144</v>
      </c>
      <c r="Q62" s="198">
        <v>4.8310775456773865</v>
      </c>
      <c r="R62" s="198">
        <v>5.058645597100762</v>
      </c>
      <c r="S62" s="198">
        <v>5.1495221023481239</v>
      </c>
      <c r="T62" s="198">
        <v>5.5245395001943036</v>
      </c>
      <c r="U62" s="198">
        <v>5.6038985093254636</v>
      </c>
      <c r="V62" s="198">
        <v>5.8600994170148839</v>
      </c>
      <c r="W62" s="198">
        <v>5.9298791026781537</v>
      </c>
      <c r="X62" s="198">
        <v>5.902237332317652</v>
      </c>
      <c r="Y62" s="198">
        <v>5.8025898286237831</v>
      </c>
      <c r="Z62" s="198">
        <v>5.8714544749995312</v>
      </c>
      <c r="AA62" s="198">
        <v>5.7135389245722132</v>
      </c>
    </row>
    <row r="63" spans="1:27" x14ac:dyDescent="0.2">
      <c r="A63" s="208" t="s">
        <v>1444</v>
      </c>
      <c r="B63" s="197">
        <v>94.905000000000001</v>
      </c>
      <c r="C63" s="197">
        <v>95.311999999999998</v>
      </c>
      <c r="D63" s="197">
        <v>96.754999999999995</v>
      </c>
      <c r="E63" s="197">
        <v>98.456999999999994</v>
      </c>
      <c r="F63" s="197">
        <v>100.566</v>
      </c>
      <c r="G63" s="197">
        <v>101.084</v>
      </c>
      <c r="H63" s="197">
        <v>100.34399999999999</v>
      </c>
      <c r="I63" s="197">
        <v>100.455</v>
      </c>
      <c r="J63" s="197">
        <v>101.898</v>
      </c>
      <c r="K63" s="197">
        <v>112.813</v>
      </c>
      <c r="L63" s="197">
        <v>105.22799999999999</v>
      </c>
      <c r="M63" s="197">
        <v>107.078</v>
      </c>
      <c r="N63" s="197">
        <v>106.07899999999999</v>
      </c>
      <c r="O63" s="197">
        <v>107.855</v>
      </c>
      <c r="P63" s="197">
        <v>107.744</v>
      </c>
      <c r="Q63" s="197">
        <v>109.816</v>
      </c>
      <c r="R63" s="197">
        <v>115.514</v>
      </c>
      <c r="S63" s="197">
        <v>122.063</v>
      </c>
      <c r="T63" s="197">
        <v>132.01599999999999</v>
      </c>
      <c r="U63" s="197">
        <v>135.27199999999999</v>
      </c>
      <c r="V63" s="197">
        <v>142.006</v>
      </c>
      <c r="W63" s="197">
        <v>157.102</v>
      </c>
      <c r="X63" s="197">
        <v>168.31299999999999</v>
      </c>
      <c r="Y63" s="197">
        <v>171.60599999999999</v>
      </c>
      <c r="Z63" s="197">
        <v>186.25800000000001</v>
      </c>
      <c r="AA63" s="197">
        <v>195.21199999999999</v>
      </c>
    </row>
    <row r="64" spans="1:27" x14ac:dyDescent="0.2">
      <c r="A64" s="209" t="s">
        <v>1445</v>
      </c>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3"/>
    </row>
    <row r="65" spans="1:27" x14ac:dyDescent="0.2">
      <c r="A65" s="215" t="s">
        <v>1446</v>
      </c>
      <c r="B65" s="195">
        <v>0.31002300794366489</v>
      </c>
      <c r="C65" s="195">
        <v>0.34871116949855069</v>
      </c>
      <c r="D65" s="195">
        <v>0.35166699330854667</v>
      </c>
      <c r="E65" s="195">
        <v>0.36386408014667443</v>
      </c>
      <c r="F65" s="195">
        <v>0.37758230127476033</v>
      </c>
      <c r="G65" s="195">
        <v>0.38417097801948069</v>
      </c>
      <c r="H65" s="195">
        <v>0.40739615284194736</v>
      </c>
      <c r="I65" s="195">
        <v>0.41375220888829023</v>
      </c>
      <c r="J65" s="195">
        <v>0.43161605206200176</v>
      </c>
      <c r="K65" s="195">
        <v>0.43902879555959567</v>
      </c>
      <c r="L65" s="195">
        <v>0.44846170014488507</v>
      </c>
      <c r="M65" s="195">
        <v>0.4878333066363828</v>
      </c>
      <c r="N65" s="195">
        <v>0.50134822700047466</v>
      </c>
      <c r="O65" s="195">
        <v>0.51744173306928198</v>
      </c>
      <c r="P65" s="195">
        <v>0.5504472648736074</v>
      </c>
      <c r="Q65" s="195">
        <v>0.57717515116260487</v>
      </c>
      <c r="R65" s="195">
        <v>0.61254102545212707</v>
      </c>
      <c r="S65" s="195">
        <v>0.65037049517878298</v>
      </c>
      <c r="T65" s="195">
        <v>0.69909037999408163</v>
      </c>
      <c r="U65" s="195">
        <v>0.70666896629892495</v>
      </c>
      <c r="V65" s="195">
        <v>0.71707822421141465</v>
      </c>
      <c r="W65" s="195">
        <v>0.72938209007938215</v>
      </c>
      <c r="X65" s="195">
        <v>0.7259821198793267</v>
      </c>
      <c r="Y65" s="195">
        <v>0.71372535995944875</v>
      </c>
      <c r="Z65" s="195">
        <v>0.72219579229649866</v>
      </c>
      <c r="AA65" s="195">
        <v>0.702771994233787</v>
      </c>
    </row>
    <row r="66" spans="1:27" x14ac:dyDescent="0.2">
      <c r="A66" s="208" t="s">
        <v>1447</v>
      </c>
      <c r="B66" s="197">
        <v>0.73860484045285413</v>
      </c>
      <c r="C66" s="197">
        <v>0.78333135558788658</v>
      </c>
      <c r="D66" s="197">
        <v>0.80656745460288026</v>
      </c>
      <c r="E66" s="197">
        <v>0.82695642386365709</v>
      </c>
      <c r="F66" s="197">
        <v>0.85471474786716295</v>
      </c>
      <c r="G66" s="197">
        <v>0.87200119739337323</v>
      </c>
      <c r="H66" s="197">
        <v>0.90937230487027632</v>
      </c>
      <c r="I66" s="197">
        <v>0.91902962535254351</v>
      </c>
      <c r="J66" s="197">
        <v>0.9463579987402061</v>
      </c>
      <c r="K66" s="197">
        <v>0.96453410764333325</v>
      </c>
      <c r="L66" s="197">
        <v>0.98793059890833823</v>
      </c>
      <c r="M66" s="197">
        <v>1.0446047194562627</v>
      </c>
      <c r="N66" s="197">
        <v>1.0726731402002023</v>
      </c>
      <c r="O66" s="197">
        <v>1.1031838796277909</v>
      </c>
      <c r="P66" s="197">
        <v>1.1587810421214415</v>
      </c>
      <c r="Q66" s="197">
        <v>1.2043179624070663</v>
      </c>
      <c r="R66" s="197">
        <v>1.2638618737545153</v>
      </c>
      <c r="S66" s="197">
        <v>1.3244328438256623</v>
      </c>
      <c r="T66" s="197">
        <v>1.3964168942417243</v>
      </c>
      <c r="U66" s="197">
        <v>1.4114026569164355</v>
      </c>
      <c r="V66" s="197">
        <v>1.4219293794704955</v>
      </c>
      <c r="W66" s="197">
        <v>1.4390558185277991</v>
      </c>
      <c r="X66" s="197">
        <v>1.4337273678419358</v>
      </c>
      <c r="Y66" s="197">
        <v>1.4125359254086858</v>
      </c>
      <c r="Z66" s="197">
        <v>1.4130635813349159</v>
      </c>
      <c r="AA66" s="197">
        <v>1.3928246988413071</v>
      </c>
    </row>
    <row r="67" spans="1:27" x14ac:dyDescent="0.2">
      <c r="A67" s="221" t="s">
        <v>1448</v>
      </c>
      <c r="B67" s="222"/>
      <c r="C67" s="222"/>
      <c r="D67" s="222"/>
      <c r="E67" s="222"/>
      <c r="F67" s="222"/>
      <c r="G67" s="222"/>
      <c r="H67" s="222"/>
      <c r="I67" s="222"/>
      <c r="J67" s="222"/>
      <c r="K67" s="222"/>
      <c r="L67" s="222"/>
      <c r="M67" s="222"/>
      <c r="N67" s="222"/>
      <c r="O67" s="222"/>
      <c r="P67" s="222"/>
      <c r="Q67" s="222"/>
      <c r="R67" s="222"/>
      <c r="S67" s="222"/>
      <c r="T67" s="222"/>
      <c r="U67" s="222"/>
      <c r="V67" s="222"/>
      <c r="W67" s="222"/>
      <c r="X67" s="222"/>
      <c r="Y67" s="222"/>
      <c r="Z67" s="222"/>
      <c r="AA67" s="223"/>
    </row>
    <row r="68" spans="1:27" ht="24" x14ac:dyDescent="0.2">
      <c r="A68" s="215" t="s">
        <v>1449</v>
      </c>
      <c r="B68" s="195">
        <v>134.79184137153604</v>
      </c>
      <c r="C68" s="195">
        <v>137.48381546012999</v>
      </c>
      <c r="D68" s="195">
        <v>138.20551975692001</v>
      </c>
      <c r="E68" s="195">
        <v>137.78296160679005</v>
      </c>
      <c r="F68" s="195">
        <v>140.862119529312</v>
      </c>
      <c r="G68" s="195">
        <v>142.60456052577001</v>
      </c>
      <c r="H68" s="195">
        <v>145.08246881664002</v>
      </c>
      <c r="I68" s="195">
        <v>145.23022198945802</v>
      </c>
      <c r="J68" s="195">
        <v>149.17474260543605</v>
      </c>
      <c r="K68" s="195">
        <v>148.78869620932801</v>
      </c>
      <c r="L68" s="195">
        <v>150.22095791227198</v>
      </c>
      <c r="M68" s="195">
        <v>153.48358455516001</v>
      </c>
      <c r="N68" s="195">
        <v>153.93537485726401</v>
      </c>
      <c r="O68" s="195">
        <v>153.362333683548</v>
      </c>
      <c r="P68" s="195">
        <v>150.56969634788402</v>
      </c>
      <c r="Q68" s="195">
        <v>149.32852419869999</v>
      </c>
      <c r="R68" s="195">
        <v>149.03152950131226</v>
      </c>
      <c r="S68" s="195">
        <v>141.60424604545616</v>
      </c>
      <c r="T68" s="195">
        <v>138.76855147781998</v>
      </c>
      <c r="U68" s="195">
        <v>129.14695426914821</v>
      </c>
      <c r="V68" s="195">
        <v>123.4599692228694</v>
      </c>
      <c r="W68" s="195">
        <v>123.4599692228694</v>
      </c>
      <c r="X68" s="195">
        <v>123.4599692228694</v>
      </c>
      <c r="Y68" s="195">
        <v>123.4599692228694</v>
      </c>
      <c r="Z68" s="195">
        <v>123.4599692228694</v>
      </c>
      <c r="AA68" s="195">
        <v>123.4599692228694</v>
      </c>
    </row>
    <row r="69" spans="1:27" ht="24" x14ac:dyDescent="0.2">
      <c r="A69" s="208" t="s">
        <v>1450</v>
      </c>
      <c r="B69" s="197">
        <v>6.157604751486546</v>
      </c>
      <c r="C69" s="197">
        <v>6.2187730106072738</v>
      </c>
      <c r="D69" s="197">
        <v>7.0187578896960003</v>
      </c>
      <c r="E69" s="197">
        <v>7.0871224145956386</v>
      </c>
      <c r="F69" s="197">
        <v>7.5320915152581822</v>
      </c>
      <c r="G69" s="197">
        <v>8.7446622990043643</v>
      </c>
      <c r="H69" s="197">
        <v>9.5950210385454557</v>
      </c>
      <c r="I69" s="197">
        <v>10.459772309644364</v>
      </c>
      <c r="J69" s="197">
        <v>11.338916112301092</v>
      </c>
      <c r="K69" s="197">
        <v>14.205428647566544</v>
      </c>
      <c r="L69" s="197">
        <v>15.131348177786181</v>
      </c>
      <c r="M69" s="197">
        <v>16.071660239563641</v>
      </c>
      <c r="N69" s="197">
        <v>17.837144110656002</v>
      </c>
      <c r="O69" s="197">
        <v>18.813437501328</v>
      </c>
      <c r="P69" s="197">
        <v>20.449388588400002</v>
      </c>
      <c r="Q69" s="197">
        <v>24.130278534312001</v>
      </c>
      <c r="R69" s="197">
        <v>27.397495020172876</v>
      </c>
      <c r="S69" s="197">
        <v>24.918858805061053</v>
      </c>
      <c r="T69" s="197">
        <v>25.726650159600002</v>
      </c>
      <c r="U69" s="197">
        <v>26.442664771540368</v>
      </c>
      <c r="V69" s="197">
        <v>27.105334745076</v>
      </c>
      <c r="W69" s="197">
        <v>27.105334745076</v>
      </c>
      <c r="X69" s="197">
        <v>27.105334745076</v>
      </c>
      <c r="Y69" s="197">
        <v>27.105334745076</v>
      </c>
      <c r="Z69" s="197">
        <v>27.105334745076</v>
      </c>
      <c r="AA69" s="197">
        <v>27.105334745076</v>
      </c>
    </row>
    <row r="70" spans="1:27" ht="12.75" x14ac:dyDescent="0.2">
      <c r="A70" s="224" t="s">
        <v>1451</v>
      </c>
      <c r="B70" s="225"/>
      <c r="C70" s="225"/>
      <c r="D70" s="225"/>
      <c r="E70" s="225"/>
      <c r="F70" s="225"/>
      <c r="G70" s="225"/>
      <c r="H70" s="225"/>
      <c r="I70" s="225"/>
      <c r="J70" s="225"/>
      <c r="K70" s="225"/>
      <c r="L70" s="225"/>
      <c r="M70" s="225"/>
      <c r="N70" s="225"/>
      <c r="O70" s="225"/>
      <c r="P70" s="225"/>
      <c r="Q70" s="225"/>
      <c r="R70" s="225"/>
      <c r="S70" s="225"/>
      <c r="T70" s="225"/>
      <c r="U70" s="225"/>
      <c r="V70" s="225"/>
      <c r="W70" s="225"/>
      <c r="X70" s="225"/>
      <c r="Y70" s="225"/>
      <c r="Z70" s="225"/>
      <c r="AA70" s="226"/>
    </row>
    <row r="71" spans="1:27" s="229" customFormat="1" x14ac:dyDescent="0.2">
      <c r="A71" s="227" t="s">
        <v>1393</v>
      </c>
      <c r="B71" s="228">
        <v>853.24452172210408</v>
      </c>
      <c r="C71" s="228">
        <v>842.7844950258833</v>
      </c>
      <c r="D71" s="228">
        <v>848.20430650808885</v>
      </c>
      <c r="E71" s="228">
        <v>822.53608387554277</v>
      </c>
      <c r="F71" s="228">
        <v>802.71316498624162</v>
      </c>
      <c r="G71" s="228">
        <v>729.95264929499729</v>
      </c>
      <c r="H71" s="228">
        <v>657.65879342998005</v>
      </c>
      <c r="I71" s="228">
        <v>633.35950402736887</v>
      </c>
      <c r="J71" s="228">
        <v>560.27307547986879</v>
      </c>
      <c r="K71" s="228">
        <v>568.38903005365785</v>
      </c>
      <c r="L71" s="228">
        <v>557.22135207914869</v>
      </c>
      <c r="M71" s="228">
        <v>528.23945824237933</v>
      </c>
      <c r="N71" s="228">
        <v>531.56442441294587</v>
      </c>
      <c r="O71" s="228">
        <v>502.35183416738346</v>
      </c>
      <c r="P71" s="228">
        <v>485.85575400390786</v>
      </c>
      <c r="Q71" s="228">
        <v>466.16831507593776</v>
      </c>
      <c r="R71" s="228">
        <v>455.56646363159882</v>
      </c>
      <c r="S71" s="228">
        <v>443.1626988841652</v>
      </c>
      <c r="T71" s="228">
        <v>430.60425869609594</v>
      </c>
      <c r="U71" s="228">
        <v>417.17064109658531</v>
      </c>
      <c r="V71" s="228">
        <v>406.41279745945059</v>
      </c>
      <c r="W71" s="228">
        <v>405.37975529995441</v>
      </c>
      <c r="X71" s="228">
        <v>405.53356117663776</v>
      </c>
      <c r="Y71" s="228">
        <v>434.39016616704401</v>
      </c>
      <c r="Z71" s="228">
        <v>445.64769952322871</v>
      </c>
      <c r="AA71" s="228">
        <v>444.8372021170556</v>
      </c>
    </row>
    <row r="72" spans="1:27" x14ac:dyDescent="0.2">
      <c r="A72" s="221" t="s">
        <v>1452</v>
      </c>
      <c r="B72" s="222"/>
      <c r="C72" s="222"/>
      <c r="D72" s="222"/>
      <c r="E72" s="222"/>
      <c r="F72" s="222"/>
      <c r="G72" s="222"/>
      <c r="H72" s="222"/>
      <c r="I72" s="222"/>
      <c r="J72" s="222"/>
      <c r="K72" s="222"/>
      <c r="L72" s="222"/>
      <c r="M72" s="222"/>
      <c r="N72" s="222"/>
      <c r="O72" s="222"/>
      <c r="P72" s="222"/>
      <c r="Q72" s="222"/>
      <c r="R72" s="222"/>
      <c r="S72" s="222"/>
      <c r="T72" s="222"/>
      <c r="U72" s="222"/>
      <c r="V72" s="222"/>
      <c r="W72" s="222"/>
      <c r="X72" s="222"/>
      <c r="Y72" s="222"/>
      <c r="Z72" s="222"/>
      <c r="AA72" s="223"/>
    </row>
    <row r="73" spans="1:27" s="213" customFormat="1" x14ac:dyDescent="0.2">
      <c r="A73" s="210" t="s">
        <v>1453</v>
      </c>
      <c r="B73" s="230">
        <v>633.86716491584741</v>
      </c>
      <c r="C73" s="230">
        <v>627.37796662133167</v>
      </c>
      <c r="D73" s="230">
        <v>631.89987271484233</v>
      </c>
      <c r="E73" s="230">
        <v>602.76355900449562</v>
      </c>
      <c r="F73" s="230">
        <v>578.00949796759392</v>
      </c>
      <c r="G73" s="230">
        <v>515.87288357597379</v>
      </c>
      <c r="H73" s="230">
        <v>455.57358926290362</v>
      </c>
      <c r="I73" s="230">
        <v>429.42953809597356</v>
      </c>
      <c r="J73" s="230">
        <v>371.21566891271101</v>
      </c>
      <c r="K73" s="230">
        <v>367.34462827010606</v>
      </c>
      <c r="L73" s="230">
        <v>350.5696407258053</v>
      </c>
      <c r="M73" s="230">
        <v>322.77161257973438</v>
      </c>
      <c r="N73" s="230">
        <v>314.62790219733785</v>
      </c>
      <c r="O73" s="230">
        <v>287.15456368003913</v>
      </c>
      <c r="P73" s="230">
        <v>267.27896541909786</v>
      </c>
      <c r="Q73" s="230">
        <v>245.79827033300947</v>
      </c>
      <c r="R73" s="230">
        <v>229.12757178974411</v>
      </c>
      <c r="S73" s="230">
        <v>211.39033798479284</v>
      </c>
      <c r="T73" s="230">
        <v>193.45511404300726</v>
      </c>
      <c r="U73" s="230">
        <v>175.01962082651784</v>
      </c>
      <c r="V73" s="230">
        <v>157.52925731239452</v>
      </c>
      <c r="W73" s="230">
        <v>143.18714990847593</v>
      </c>
      <c r="X73" s="230">
        <v>143.34095578515931</v>
      </c>
      <c r="Y73" s="230">
        <v>153.1604739154582</v>
      </c>
      <c r="Z73" s="230">
        <v>157.06276916660138</v>
      </c>
      <c r="AA73" s="230">
        <v>156.25227176042827</v>
      </c>
    </row>
    <row r="74" spans="1:27" s="213" customFormat="1" x14ac:dyDescent="0.2">
      <c r="A74" s="231" t="s">
        <v>1454</v>
      </c>
      <c r="B74" s="212" t="s">
        <v>1455</v>
      </c>
      <c r="C74" s="212" t="s">
        <v>1455</v>
      </c>
      <c r="D74" s="212" t="s">
        <v>1455</v>
      </c>
      <c r="E74" s="212" t="s">
        <v>1455</v>
      </c>
      <c r="F74" s="212" t="s">
        <v>1455</v>
      </c>
      <c r="G74" s="212" t="s">
        <v>1455</v>
      </c>
      <c r="H74" s="212" t="s">
        <v>1455</v>
      </c>
      <c r="I74" s="212" t="s">
        <v>1455</v>
      </c>
      <c r="J74" s="212" t="s">
        <v>1455</v>
      </c>
      <c r="K74" s="212" t="s">
        <v>1455</v>
      </c>
      <c r="L74" s="212" t="s">
        <v>1455</v>
      </c>
      <c r="M74" s="212" t="s">
        <v>1455</v>
      </c>
      <c r="N74" s="212" t="s">
        <v>1455</v>
      </c>
      <c r="O74" s="212" t="s">
        <v>1455</v>
      </c>
      <c r="P74" s="212" t="s">
        <v>1455</v>
      </c>
      <c r="Q74" s="212" t="s">
        <v>1455</v>
      </c>
      <c r="R74" s="212" t="s">
        <v>1455</v>
      </c>
      <c r="S74" s="212" t="s">
        <v>1455</v>
      </c>
      <c r="T74" s="212" t="s">
        <v>1455</v>
      </c>
      <c r="U74" s="212" t="s">
        <v>1455</v>
      </c>
      <c r="V74" s="212" t="s">
        <v>1455</v>
      </c>
      <c r="W74" s="212">
        <v>14.625297430406849</v>
      </c>
      <c r="X74" s="212">
        <v>14.625297430406849</v>
      </c>
      <c r="Y74" s="212">
        <v>15.68720021413276</v>
      </c>
      <c r="Z74" s="212">
        <v>16.097480835117771</v>
      </c>
      <c r="AA74" s="212">
        <v>16.097480835117771</v>
      </c>
    </row>
    <row r="75" spans="1:27" s="213" customFormat="1" x14ac:dyDescent="0.2">
      <c r="A75" s="231" t="s">
        <v>1456</v>
      </c>
      <c r="B75" s="212" t="s">
        <v>1455</v>
      </c>
      <c r="C75" s="212" t="s">
        <v>1455</v>
      </c>
      <c r="D75" s="212" t="s">
        <v>1455</v>
      </c>
      <c r="E75" s="212" t="s">
        <v>1455</v>
      </c>
      <c r="F75" s="212" t="s">
        <v>1455</v>
      </c>
      <c r="G75" s="212" t="s">
        <v>1455</v>
      </c>
      <c r="H75" s="212" t="s">
        <v>1455</v>
      </c>
      <c r="I75" s="212" t="s">
        <v>1455</v>
      </c>
      <c r="J75" s="212" t="s">
        <v>1455</v>
      </c>
      <c r="K75" s="212" t="s">
        <v>1455</v>
      </c>
      <c r="L75" s="212" t="s">
        <v>1455</v>
      </c>
      <c r="M75" s="212" t="s">
        <v>1455</v>
      </c>
      <c r="N75" s="212" t="s">
        <v>1455</v>
      </c>
      <c r="O75" s="212" t="s">
        <v>1455</v>
      </c>
      <c r="P75" s="212" t="s">
        <v>1455</v>
      </c>
      <c r="Q75" s="212" t="s">
        <v>1455</v>
      </c>
      <c r="R75" s="212" t="s">
        <v>1455</v>
      </c>
      <c r="S75" s="212" t="s">
        <v>1455</v>
      </c>
      <c r="T75" s="212" t="s">
        <v>1455</v>
      </c>
      <c r="U75" s="212" t="s">
        <v>1455</v>
      </c>
      <c r="V75" s="212" t="s">
        <v>1455</v>
      </c>
      <c r="W75" s="212">
        <v>64.412531563169139</v>
      </c>
      <c r="X75" s="212">
        <v>64.412531563169139</v>
      </c>
      <c r="Y75" s="212">
        <v>69.089349036402538</v>
      </c>
      <c r="Z75" s="212">
        <v>70.896301241969994</v>
      </c>
      <c r="AA75" s="212">
        <v>70.896301241969994</v>
      </c>
    </row>
    <row r="76" spans="1:27" s="213" customFormat="1" ht="24" x14ac:dyDescent="0.2">
      <c r="A76" s="231" t="s">
        <v>1457</v>
      </c>
      <c r="B76" s="212" t="s">
        <v>1455</v>
      </c>
      <c r="C76" s="212" t="s">
        <v>1455</v>
      </c>
      <c r="D76" s="212" t="s">
        <v>1455</v>
      </c>
      <c r="E76" s="212" t="s">
        <v>1455</v>
      </c>
      <c r="F76" s="212" t="s">
        <v>1455</v>
      </c>
      <c r="G76" s="212" t="s">
        <v>1455</v>
      </c>
      <c r="H76" s="212" t="s">
        <v>1455</v>
      </c>
      <c r="I76" s="212" t="s">
        <v>1455</v>
      </c>
      <c r="J76" s="212" t="s">
        <v>1455</v>
      </c>
      <c r="K76" s="212" t="s">
        <v>1455</v>
      </c>
      <c r="L76" s="212" t="s">
        <v>1455</v>
      </c>
      <c r="M76" s="212" t="s">
        <v>1455</v>
      </c>
      <c r="N76" s="212" t="s">
        <v>1455</v>
      </c>
      <c r="O76" s="212" t="s">
        <v>1455</v>
      </c>
      <c r="P76" s="212" t="s">
        <v>1455</v>
      </c>
      <c r="Q76" s="212" t="s">
        <v>1455</v>
      </c>
      <c r="R76" s="212" t="s">
        <v>1455</v>
      </c>
      <c r="S76" s="212" t="s">
        <v>1455</v>
      </c>
      <c r="T76" s="212" t="s">
        <v>1455</v>
      </c>
      <c r="U76" s="212" t="s">
        <v>1455</v>
      </c>
      <c r="V76" s="212" t="s">
        <v>1455</v>
      </c>
      <c r="W76" s="212">
        <v>22.060956487200837</v>
      </c>
      <c r="X76" s="212">
        <v>22.386579461181665</v>
      </c>
      <c r="Y76" s="212">
        <v>22.766989820501614</v>
      </c>
      <c r="Z76" s="212">
        <v>23.143440507303456</v>
      </c>
      <c r="AA76" s="212">
        <v>21.427533537473256</v>
      </c>
    </row>
    <row r="77" spans="1:27" s="213" customFormat="1" ht="24" x14ac:dyDescent="0.2">
      <c r="A77" s="231" t="s">
        <v>1458</v>
      </c>
      <c r="B77" s="212" t="s">
        <v>1455</v>
      </c>
      <c r="C77" s="212" t="s">
        <v>1455</v>
      </c>
      <c r="D77" s="212" t="s">
        <v>1455</v>
      </c>
      <c r="E77" s="212" t="s">
        <v>1455</v>
      </c>
      <c r="F77" s="212" t="s">
        <v>1455</v>
      </c>
      <c r="G77" s="212" t="s">
        <v>1455</v>
      </c>
      <c r="H77" s="212" t="s">
        <v>1455</v>
      </c>
      <c r="I77" s="212" t="s">
        <v>1455</v>
      </c>
      <c r="J77" s="212" t="s">
        <v>1455</v>
      </c>
      <c r="K77" s="212" t="s">
        <v>1455</v>
      </c>
      <c r="L77" s="212" t="s">
        <v>1455</v>
      </c>
      <c r="M77" s="212" t="s">
        <v>1455</v>
      </c>
      <c r="N77" s="212" t="s">
        <v>1455</v>
      </c>
      <c r="O77" s="212" t="s">
        <v>1455</v>
      </c>
      <c r="P77" s="212" t="s">
        <v>1455</v>
      </c>
      <c r="Q77" s="212" t="s">
        <v>1455</v>
      </c>
      <c r="R77" s="212" t="s">
        <v>1455</v>
      </c>
      <c r="S77" s="212" t="s">
        <v>1455</v>
      </c>
      <c r="T77" s="212" t="s">
        <v>1455</v>
      </c>
      <c r="U77" s="212" t="s">
        <v>1455</v>
      </c>
      <c r="V77" s="212" t="s">
        <v>1455</v>
      </c>
      <c r="W77" s="212">
        <v>6.9585924405470827</v>
      </c>
      <c r="X77" s="212">
        <v>6.7867753432496238</v>
      </c>
      <c r="Y77" s="212">
        <v>7.9364863433506159</v>
      </c>
      <c r="Z77" s="212">
        <v>8.2596094280345547</v>
      </c>
      <c r="AA77" s="212">
        <v>9.1650189916916496</v>
      </c>
    </row>
    <row r="78" spans="1:27" s="213" customFormat="1" x14ac:dyDescent="0.2">
      <c r="A78" s="231" t="s">
        <v>1401</v>
      </c>
      <c r="B78" s="212" t="s">
        <v>1455</v>
      </c>
      <c r="C78" s="212" t="s">
        <v>1455</v>
      </c>
      <c r="D78" s="212" t="s">
        <v>1455</v>
      </c>
      <c r="E78" s="212" t="s">
        <v>1455</v>
      </c>
      <c r="F78" s="212" t="s">
        <v>1455</v>
      </c>
      <c r="G78" s="212" t="s">
        <v>1455</v>
      </c>
      <c r="H78" s="212" t="s">
        <v>1455</v>
      </c>
      <c r="I78" s="212" t="s">
        <v>1455</v>
      </c>
      <c r="J78" s="212" t="s">
        <v>1455</v>
      </c>
      <c r="K78" s="212" t="s">
        <v>1455</v>
      </c>
      <c r="L78" s="212" t="s">
        <v>1455</v>
      </c>
      <c r="M78" s="212" t="s">
        <v>1455</v>
      </c>
      <c r="N78" s="212" t="s">
        <v>1455</v>
      </c>
      <c r="O78" s="212" t="s">
        <v>1455</v>
      </c>
      <c r="P78" s="212" t="s">
        <v>1455</v>
      </c>
      <c r="Q78" s="212" t="s">
        <v>1455</v>
      </c>
      <c r="R78" s="212" t="s">
        <v>1455</v>
      </c>
      <c r="S78" s="212" t="s">
        <v>1455</v>
      </c>
      <c r="T78" s="212" t="s">
        <v>1455</v>
      </c>
      <c r="U78" s="212" t="s">
        <v>1455</v>
      </c>
      <c r="V78" s="212" t="s">
        <v>1455</v>
      </c>
      <c r="W78" s="212">
        <v>15.353400591006423</v>
      </c>
      <c r="X78" s="212">
        <v>15.353400591006423</v>
      </c>
      <c r="Y78" s="212">
        <v>16.468168950749462</v>
      </c>
      <c r="Z78" s="212">
        <v>16.898874907922913</v>
      </c>
      <c r="AA78" s="212">
        <v>16.898874907922913</v>
      </c>
    </row>
    <row r="79" spans="1:27" s="213" customFormat="1" x14ac:dyDescent="0.2">
      <c r="A79" s="232" t="s">
        <v>1459</v>
      </c>
      <c r="B79" s="233" t="s">
        <v>1455</v>
      </c>
      <c r="C79" s="233" t="s">
        <v>1455</v>
      </c>
      <c r="D79" s="233" t="s">
        <v>1455</v>
      </c>
      <c r="E79" s="233" t="s">
        <v>1455</v>
      </c>
      <c r="F79" s="233" t="s">
        <v>1455</v>
      </c>
      <c r="G79" s="233" t="s">
        <v>1455</v>
      </c>
      <c r="H79" s="233" t="s">
        <v>1455</v>
      </c>
      <c r="I79" s="233" t="s">
        <v>1455</v>
      </c>
      <c r="J79" s="233" t="s">
        <v>1455</v>
      </c>
      <c r="K79" s="233" t="s">
        <v>1455</v>
      </c>
      <c r="L79" s="233" t="s">
        <v>1455</v>
      </c>
      <c r="M79" s="233" t="s">
        <v>1455</v>
      </c>
      <c r="N79" s="233" t="s">
        <v>1455</v>
      </c>
      <c r="O79" s="233" t="s">
        <v>1455</v>
      </c>
      <c r="P79" s="233" t="s">
        <v>1455</v>
      </c>
      <c r="Q79" s="233" t="s">
        <v>1455</v>
      </c>
      <c r="R79" s="233" t="s">
        <v>1455</v>
      </c>
      <c r="S79" s="233" t="s">
        <v>1455</v>
      </c>
      <c r="T79" s="233" t="s">
        <v>1455</v>
      </c>
      <c r="U79" s="233" t="s">
        <v>1455</v>
      </c>
      <c r="V79" s="233" t="s">
        <v>1455</v>
      </c>
      <c r="W79" s="233">
        <v>19.776371396145617</v>
      </c>
      <c r="X79" s="233">
        <v>19.776371396145617</v>
      </c>
      <c r="Y79" s="233">
        <v>21.212279550321202</v>
      </c>
      <c r="Z79" s="233">
        <v>21.767062246252685</v>
      </c>
      <c r="AA79" s="233">
        <v>21.767062246252685</v>
      </c>
    </row>
    <row r="80" spans="1:27" x14ac:dyDescent="0.2">
      <c r="A80" s="209" t="s">
        <v>1419</v>
      </c>
      <c r="B80" s="234"/>
      <c r="C80" s="234"/>
      <c r="D80" s="234"/>
      <c r="E80" s="234"/>
      <c r="F80" s="234"/>
      <c r="G80" s="234"/>
      <c r="H80" s="234"/>
      <c r="I80" s="234"/>
      <c r="J80" s="234"/>
      <c r="K80" s="234"/>
      <c r="L80" s="234"/>
      <c r="M80" s="234"/>
      <c r="N80" s="234"/>
      <c r="O80" s="234"/>
      <c r="P80" s="234"/>
      <c r="Q80" s="234"/>
      <c r="R80" s="234"/>
      <c r="S80" s="234"/>
      <c r="T80" s="234"/>
      <c r="U80" s="234"/>
      <c r="V80" s="234"/>
      <c r="W80" s="234"/>
      <c r="X80" s="234"/>
      <c r="Y80" s="234"/>
      <c r="Z80" s="234"/>
      <c r="AA80" s="235"/>
    </row>
    <row r="81" spans="1:27" x14ac:dyDescent="0.2">
      <c r="A81" s="236" t="s">
        <v>1460</v>
      </c>
      <c r="B81" s="237"/>
      <c r="C81" s="237"/>
      <c r="D81" s="237"/>
      <c r="E81" s="237"/>
      <c r="F81" s="237"/>
      <c r="G81" s="237"/>
      <c r="H81" s="237"/>
      <c r="I81" s="237"/>
      <c r="J81" s="237"/>
      <c r="K81" s="237"/>
      <c r="L81" s="237"/>
      <c r="M81" s="237"/>
      <c r="N81" s="237"/>
      <c r="O81" s="237"/>
      <c r="P81" s="237"/>
      <c r="Q81" s="237"/>
      <c r="R81" s="237"/>
      <c r="S81" s="237"/>
      <c r="T81" s="237"/>
      <c r="U81" s="237"/>
      <c r="V81" s="237"/>
      <c r="W81" s="237"/>
      <c r="X81" s="237"/>
      <c r="Y81" s="237"/>
      <c r="Z81" s="237"/>
      <c r="AA81" s="238"/>
    </row>
    <row r="82" spans="1:27" x14ac:dyDescent="0.2">
      <c r="A82" s="215" t="s">
        <v>1461</v>
      </c>
      <c r="B82" s="195">
        <v>137.10177833888682</v>
      </c>
      <c r="C82" s="195">
        <v>135.94563264353573</v>
      </c>
      <c r="D82" s="195">
        <v>137.0193838481004</v>
      </c>
      <c r="E82" s="195">
        <v>142.04827815108214</v>
      </c>
      <c r="F82" s="195">
        <v>147.99614953768474</v>
      </c>
      <c r="G82" s="195">
        <v>143.50935697102503</v>
      </c>
      <c r="H82" s="195">
        <v>137.73302035339071</v>
      </c>
      <c r="I82" s="195">
        <v>141.17578639020095</v>
      </c>
      <c r="J82" s="195">
        <v>132.81960108384334</v>
      </c>
      <c r="K82" s="195">
        <v>143.21754211153822</v>
      </c>
      <c r="L82" s="195">
        <v>149.16074259729166</v>
      </c>
      <c r="M82" s="195">
        <v>150.1661939620688</v>
      </c>
      <c r="N82" s="195">
        <v>160.43474570864268</v>
      </c>
      <c r="O82" s="195">
        <v>160.94795407289081</v>
      </c>
      <c r="P82" s="195">
        <v>165.23419326761697</v>
      </c>
      <c r="Q82" s="195">
        <v>168.29715791557953</v>
      </c>
      <c r="R82" s="195">
        <v>174.62244155050308</v>
      </c>
      <c r="S82" s="195">
        <v>180.40387858980412</v>
      </c>
      <c r="T82" s="195">
        <v>186.23615863742458</v>
      </c>
      <c r="U82" s="195">
        <v>191.78804155251387</v>
      </c>
      <c r="V82" s="195">
        <v>198.73267570876499</v>
      </c>
      <c r="W82" s="195">
        <v>211.0018130360117</v>
      </c>
      <c r="X82" s="195">
        <v>211.0018130360117</v>
      </c>
      <c r="Y82" s="195">
        <v>226.32207668879144</v>
      </c>
      <c r="Z82" s="195">
        <v>232.24126946372908</v>
      </c>
      <c r="AA82" s="195">
        <v>232.24126946372908</v>
      </c>
    </row>
    <row r="83" spans="1:27" x14ac:dyDescent="0.2">
      <c r="A83" s="214" t="s">
        <v>1462</v>
      </c>
      <c r="B83" s="198">
        <v>3.8608725465519531</v>
      </c>
      <c r="C83" s="198">
        <v>3.8283147546029532</v>
      </c>
      <c r="D83" s="198">
        <v>3.8585522657261406</v>
      </c>
      <c r="E83" s="198">
        <v>3.8703584800158768</v>
      </c>
      <c r="F83" s="198">
        <v>3.9084012735851386</v>
      </c>
      <c r="G83" s="198">
        <v>3.6792389229277553</v>
      </c>
      <c r="H83" s="198">
        <v>3.4330728693791004</v>
      </c>
      <c r="I83" s="198">
        <v>3.4257814700121125</v>
      </c>
      <c r="J83" s="198">
        <v>3.1416529368974029</v>
      </c>
      <c r="K83" s="198">
        <v>3.3059065107089913</v>
      </c>
      <c r="L83" s="198">
        <v>3.363664847173943</v>
      </c>
      <c r="M83" s="198">
        <v>3.3115178630456663</v>
      </c>
      <c r="N83" s="198">
        <v>3.463008825178667</v>
      </c>
      <c r="O83" s="198">
        <v>3.4034368579984156</v>
      </c>
      <c r="P83" s="198">
        <v>3.4257986774976348</v>
      </c>
      <c r="Q83" s="198">
        <v>3.4237252547135193</v>
      </c>
      <c r="R83" s="198">
        <v>3.4881308359461349</v>
      </c>
      <c r="S83" s="198">
        <v>3.5407974042120443</v>
      </c>
      <c r="T83" s="198">
        <v>3.593822928609173</v>
      </c>
      <c r="U83" s="198">
        <v>3.6409191205010782</v>
      </c>
      <c r="V83" s="198">
        <v>3.7136470751137205</v>
      </c>
      <c r="W83" s="198">
        <v>3.8832120521915638</v>
      </c>
      <c r="X83" s="198">
        <v>3.8832120521915638</v>
      </c>
      <c r="Y83" s="198">
        <v>4.1651614421196639</v>
      </c>
      <c r="Z83" s="198">
        <v>4.2740964336827938</v>
      </c>
      <c r="AA83" s="198">
        <v>4.2740964336827938</v>
      </c>
    </row>
    <row r="84" spans="1:27" x14ac:dyDescent="0.2">
      <c r="A84" s="214" t="s">
        <v>1463</v>
      </c>
      <c r="B84" s="198">
        <v>16.493561684757786</v>
      </c>
      <c r="C84" s="198">
        <v>15.908376184772951</v>
      </c>
      <c r="D84" s="198">
        <v>15.865029110699997</v>
      </c>
      <c r="E84" s="198">
        <v>15.734987888481147</v>
      </c>
      <c r="F84" s="198">
        <v>15.713314351444669</v>
      </c>
      <c r="G84" s="198">
        <v>14.629637499620898</v>
      </c>
      <c r="H84" s="198">
        <v>13.502613573724179</v>
      </c>
      <c r="I84" s="198">
        <v>13.329225277432377</v>
      </c>
      <c r="J84" s="198">
        <v>12.093833666353278</v>
      </c>
      <c r="K84" s="198">
        <v>12.592325018192213</v>
      </c>
      <c r="L84" s="198">
        <v>12.679019166338119</v>
      </c>
      <c r="M84" s="198">
        <v>12.353916110790983</v>
      </c>
      <c r="N84" s="198">
        <v>12.787386851520493</v>
      </c>
      <c r="O84" s="198">
        <v>12.440610258936886</v>
      </c>
      <c r="P84" s="198">
        <v>12.397263184863935</v>
      </c>
      <c r="Q84" s="198">
        <v>12.267221962645085</v>
      </c>
      <c r="R84" s="198">
        <v>12.375589647827461</v>
      </c>
      <c r="S84" s="198">
        <v>12.440610258936886</v>
      </c>
      <c r="T84" s="198">
        <v>12.505630870046312</v>
      </c>
      <c r="U84" s="198">
        <v>12.548977944119262</v>
      </c>
      <c r="V84" s="198">
        <v>12.679019166338119</v>
      </c>
      <c r="W84" s="198">
        <v>13.134163444104097</v>
      </c>
      <c r="X84" s="198">
        <v>13.134163444104097</v>
      </c>
      <c r="Y84" s="198">
        <v>14.087799073709014</v>
      </c>
      <c r="Z84" s="198">
        <v>14.456249203329101</v>
      </c>
      <c r="AA84" s="198">
        <v>14.456249203329101</v>
      </c>
    </row>
    <row r="85" spans="1:27" x14ac:dyDescent="0.2">
      <c r="A85" s="208" t="s">
        <v>1464</v>
      </c>
      <c r="B85" s="197">
        <v>2.4142926360600003</v>
      </c>
      <c r="C85" s="197">
        <v>2.3286344216400003</v>
      </c>
      <c r="D85" s="197">
        <v>2.3222893687200004</v>
      </c>
      <c r="E85" s="197">
        <v>2.30325420996</v>
      </c>
      <c r="F85" s="197">
        <v>2.3000816835000002</v>
      </c>
      <c r="G85" s="197">
        <v>2.1414553605000002</v>
      </c>
      <c r="H85" s="197">
        <v>1.9764839845800002</v>
      </c>
      <c r="I85" s="197">
        <v>1.9511037729000003</v>
      </c>
      <c r="J85" s="197">
        <v>1.7702697646800001</v>
      </c>
      <c r="K85" s="197">
        <v>1.8432378732600003</v>
      </c>
      <c r="L85" s="197">
        <v>1.8559279791000001</v>
      </c>
      <c r="M85" s="197">
        <v>1.8083400822000002</v>
      </c>
      <c r="N85" s="197">
        <v>1.8717906114</v>
      </c>
      <c r="O85" s="197">
        <v>1.8210301880400002</v>
      </c>
      <c r="P85" s="197">
        <v>1.81468513512</v>
      </c>
      <c r="Q85" s="197">
        <v>1.7956499763600002</v>
      </c>
      <c r="R85" s="197">
        <v>1.81151260866</v>
      </c>
      <c r="S85" s="197">
        <v>1.8210301880400002</v>
      </c>
      <c r="T85" s="197">
        <v>1.8305477674200001</v>
      </c>
      <c r="U85" s="197">
        <v>1.8368928203400001</v>
      </c>
      <c r="V85" s="197">
        <v>1.8559279791000001</v>
      </c>
      <c r="W85" s="197">
        <v>1.9225510347600001</v>
      </c>
      <c r="X85" s="197">
        <v>1.9225510347600001</v>
      </c>
      <c r="Y85" s="197">
        <v>2.0621421990000002</v>
      </c>
      <c r="Z85" s="197">
        <v>2.1160751488200003</v>
      </c>
      <c r="AA85" s="197">
        <v>2.1160751488200003</v>
      </c>
    </row>
    <row r="86" spans="1:27" x14ac:dyDescent="0.2">
      <c r="A86" s="221" t="s">
        <v>1465</v>
      </c>
      <c r="B86" s="222"/>
      <c r="C86" s="222"/>
      <c r="D86" s="222"/>
      <c r="E86" s="222"/>
      <c r="F86" s="222"/>
      <c r="G86" s="222"/>
      <c r="H86" s="222"/>
      <c r="I86" s="222"/>
      <c r="J86" s="222"/>
      <c r="K86" s="222"/>
      <c r="L86" s="222"/>
      <c r="M86" s="222"/>
      <c r="N86" s="222"/>
      <c r="O86" s="222"/>
      <c r="P86" s="222"/>
      <c r="Q86" s="222"/>
      <c r="R86" s="222"/>
      <c r="S86" s="222"/>
      <c r="T86" s="222"/>
      <c r="U86" s="222"/>
      <c r="V86" s="222"/>
      <c r="W86" s="222"/>
      <c r="X86" s="222"/>
      <c r="Y86" s="222"/>
      <c r="Z86" s="222"/>
      <c r="AA86" s="223"/>
    </row>
    <row r="87" spans="1:27" x14ac:dyDescent="0.2">
      <c r="A87" s="219" t="s">
        <v>1466</v>
      </c>
      <c r="B87" s="220">
        <v>59.506851600000005</v>
      </c>
      <c r="C87" s="220">
        <v>57.395570399999997</v>
      </c>
      <c r="D87" s="220">
        <v>57.239179199999995</v>
      </c>
      <c r="E87" s="220">
        <v>55.815646141507941</v>
      </c>
      <c r="F87" s="220">
        <v>54.785720172433216</v>
      </c>
      <c r="G87" s="220">
        <v>50.120076964949838</v>
      </c>
      <c r="H87" s="220">
        <v>45.44001338600247</v>
      </c>
      <c r="I87" s="220">
        <v>44.048069020849766</v>
      </c>
      <c r="J87" s="220">
        <v>39.232049115383752</v>
      </c>
      <c r="K87" s="220">
        <v>40.085390269852361</v>
      </c>
      <c r="L87" s="220">
        <v>39.592356763439646</v>
      </c>
      <c r="M87" s="220">
        <v>37.827877644539605</v>
      </c>
      <c r="N87" s="220">
        <v>38.379590218866213</v>
      </c>
      <c r="O87" s="220">
        <v>36.584239109478183</v>
      </c>
      <c r="P87" s="220">
        <v>35.704848319711466</v>
      </c>
      <c r="Q87" s="220">
        <v>34.586289633630102</v>
      </c>
      <c r="R87" s="220">
        <v>34.141217198918056</v>
      </c>
      <c r="S87" s="220">
        <v>33.566044458379345</v>
      </c>
      <c r="T87" s="220">
        <v>32.982984449588628</v>
      </c>
      <c r="U87" s="220">
        <v>32.336188832593251</v>
      </c>
      <c r="V87" s="220">
        <v>31.902270217739193</v>
      </c>
      <c r="W87" s="220">
        <v>32.250865824411122</v>
      </c>
      <c r="X87" s="220">
        <v>32.250865824411122</v>
      </c>
      <c r="Y87" s="220">
        <v>34.592512847965722</v>
      </c>
      <c r="Z87" s="220">
        <v>35.497240107066361</v>
      </c>
      <c r="AA87" s="220">
        <v>35.497240107066361</v>
      </c>
    </row>
    <row r="88" spans="1:27" ht="12.75" x14ac:dyDescent="0.2">
      <c r="A88" s="224" t="s">
        <v>1467</v>
      </c>
      <c r="B88" s="225"/>
      <c r="C88" s="225"/>
      <c r="D88" s="225"/>
      <c r="E88" s="225"/>
      <c r="F88" s="225"/>
      <c r="G88" s="225"/>
      <c r="H88" s="225"/>
      <c r="I88" s="225"/>
      <c r="J88" s="225"/>
      <c r="K88" s="225"/>
      <c r="L88" s="225"/>
      <c r="M88" s="225"/>
      <c r="N88" s="225"/>
      <c r="O88" s="225"/>
      <c r="P88" s="225"/>
      <c r="Q88" s="225"/>
      <c r="R88" s="225"/>
      <c r="S88" s="225"/>
      <c r="T88" s="225"/>
      <c r="U88" s="225"/>
      <c r="V88" s="225"/>
      <c r="W88" s="225"/>
      <c r="X88" s="225"/>
      <c r="Y88" s="225"/>
      <c r="Z88" s="225"/>
      <c r="AA88" s="226"/>
    </row>
    <row r="89" spans="1:27" s="213" customFormat="1" x14ac:dyDescent="0.2">
      <c r="A89" s="210" t="s">
        <v>1292</v>
      </c>
      <c r="B89" s="166">
        <v>2342.570559375783</v>
      </c>
      <c r="C89" s="166">
        <v>2371.6580010476678</v>
      </c>
      <c r="D89" s="166">
        <v>2375.3326953433061</v>
      </c>
      <c r="E89" s="166">
        <v>2327.67665950121</v>
      </c>
      <c r="F89" s="166">
        <v>2281.185425085208</v>
      </c>
      <c r="G89" s="166">
        <v>2229.42843288939</v>
      </c>
      <c r="H89" s="166">
        <v>2170.4780474969334</v>
      </c>
      <c r="I89" s="166">
        <v>2124.5660512256095</v>
      </c>
      <c r="J89" s="166">
        <v>2069.7909236038759</v>
      </c>
      <c r="K89" s="166">
        <v>2015.5898200382778</v>
      </c>
      <c r="L89" s="166">
        <v>1978.8525391536418</v>
      </c>
      <c r="M89" s="166">
        <v>1907.7360440948169</v>
      </c>
      <c r="N89" s="166">
        <v>1877.7567804288844</v>
      </c>
      <c r="O89" s="166">
        <v>1827.5346108642821</v>
      </c>
      <c r="P89" s="166">
        <v>1781.4181238538788</v>
      </c>
      <c r="Q89" s="166">
        <v>1725.965815751744</v>
      </c>
      <c r="R89" s="166">
        <v>1673.1224729088151</v>
      </c>
      <c r="S89" s="166">
        <v>1647.6115660048699</v>
      </c>
      <c r="T89" s="166">
        <v>1608.7613190088198</v>
      </c>
      <c r="U89" s="166">
        <v>1564.7023756643721</v>
      </c>
      <c r="V89" s="166">
        <v>1533.2370395951802</v>
      </c>
      <c r="W89" s="166">
        <v>1493.8764818705192</v>
      </c>
      <c r="X89" s="166">
        <v>1491.8255486206119</v>
      </c>
      <c r="Y89" s="166">
        <v>1563.3595728327073</v>
      </c>
      <c r="Z89" s="166">
        <v>1616.9516302912571</v>
      </c>
      <c r="AA89" s="166">
        <v>1687.5592154238186</v>
      </c>
    </row>
    <row r="90" spans="1:27" x14ac:dyDescent="0.2">
      <c r="A90" s="214" t="s">
        <v>1391</v>
      </c>
      <c r="B90" s="184">
        <v>0</v>
      </c>
      <c r="C90" s="184">
        <v>0</v>
      </c>
      <c r="D90" s="184">
        <v>0</v>
      </c>
      <c r="E90" s="184">
        <v>53.51325516</v>
      </c>
      <c r="F90" s="184">
        <v>77.594379840000002</v>
      </c>
      <c r="G90" s="184">
        <v>101.66396778000002</v>
      </c>
      <c r="H90" s="184">
        <v>82.84298022000003</v>
      </c>
      <c r="I90" s="184">
        <v>127.43704494000002</v>
      </c>
      <c r="J90" s="184">
        <v>183.11824422000001</v>
      </c>
      <c r="K90" s="184">
        <v>212.95610586000001</v>
      </c>
      <c r="L90" s="184">
        <v>255.10047192000005</v>
      </c>
      <c r="M90" s="184">
        <v>330.68998206000009</v>
      </c>
      <c r="N90" s="184">
        <v>351.41767110000006</v>
      </c>
      <c r="O90" s="184">
        <v>353.41816878000009</v>
      </c>
      <c r="P90" s="184">
        <v>409.94058708000006</v>
      </c>
      <c r="Q90" s="184">
        <v>496.15994160000008</v>
      </c>
      <c r="R90" s="184">
        <v>458.27611866000001</v>
      </c>
      <c r="S90" s="184">
        <v>435.32596044000007</v>
      </c>
      <c r="T90" s="184">
        <v>437.67664344000008</v>
      </c>
      <c r="U90" s="184">
        <v>378.95409756000004</v>
      </c>
      <c r="V90" s="184">
        <v>433.19010348000006</v>
      </c>
      <c r="W90" s="184">
        <v>341.94373488000008</v>
      </c>
      <c r="X90" s="184">
        <v>375.40474920000008</v>
      </c>
      <c r="Y90" s="184">
        <v>331.77227850000003</v>
      </c>
      <c r="Z90" s="184">
        <v>334.98937260000008</v>
      </c>
      <c r="AA90" s="184">
        <v>338.20646670000002</v>
      </c>
    </row>
    <row r="91" spans="1:27" s="187" customFormat="1" x14ac:dyDescent="0.2">
      <c r="A91" s="239" t="s">
        <v>1393</v>
      </c>
      <c r="B91" s="186">
        <v>2342.570559375783</v>
      </c>
      <c r="C91" s="186">
        <v>2371.6580010476678</v>
      </c>
      <c r="D91" s="186">
        <v>2375.3326953433061</v>
      </c>
      <c r="E91" s="186">
        <v>2274.1634043412096</v>
      </c>
      <c r="F91" s="186">
        <v>2203.5910452452076</v>
      </c>
      <c r="G91" s="186">
        <v>2127.7644651093897</v>
      </c>
      <c r="H91" s="186">
        <v>2087.6350672769336</v>
      </c>
      <c r="I91" s="186">
        <v>1997.1290062856096</v>
      </c>
      <c r="J91" s="186">
        <v>1886.6726793838761</v>
      </c>
      <c r="K91" s="186">
        <v>1802.6337141782778</v>
      </c>
      <c r="L91" s="186">
        <v>1723.7520672336416</v>
      </c>
      <c r="M91" s="186">
        <v>1577.0460620348167</v>
      </c>
      <c r="N91" s="186">
        <v>1526.3391093288847</v>
      </c>
      <c r="O91" s="186">
        <v>1474.1164420842822</v>
      </c>
      <c r="P91" s="186">
        <v>1371.4775367738787</v>
      </c>
      <c r="Q91" s="186">
        <v>1229.8058741517439</v>
      </c>
      <c r="R91" s="186">
        <v>1214.8463542488153</v>
      </c>
      <c r="S91" s="186">
        <v>1212.2856055648699</v>
      </c>
      <c r="T91" s="186">
        <v>1171.0846755688196</v>
      </c>
      <c r="U91" s="186">
        <v>1185.7482781043718</v>
      </c>
      <c r="V91" s="186">
        <v>1100.0469361151802</v>
      </c>
      <c r="W91" s="186">
        <v>1151.932746990519</v>
      </c>
      <c r="X91" s="186">
        <v>1116.420799420612</v>
      </c>
      <c r="Y91" s="186">
        <v>1231.5872943327072</v>
      </c>
      <c r="Z91" s="186">
        <v>1281.962257691257</v>
      </c>
      <c r="AA91" s="186">
        <v>1349.3527487238186</v>
      </c>
    </row>
    <row r="92" spans="1:27" x14ac:dyDescent="0.2">
      <c r="A92" s="221" t="s">
        <v>1468</v>
      </c>
      <c r="B92" s="222"/>
      <c r="C92" s="222"/>
      <c r="D92" s="222"/>
      <c r="E92" s="222"/>
      <c r="F92" s="222"/>
      <c r="G92" s="222"/>
      <c r="H92" s="222"/>
      <c r="I92" s="222"/>
      <c r="J92" s="222"/>
      <c r="K92" s="222"/>
      <c r="L92" s="222"/>
      <c r="M92" s="222"/>
      <c r="N92" s="222"/>
      <c r="O92" s="222"/>
      <c r="P92" s="222"/>
      <c r="Q92" s="222"/>
      <c r="R92" s="222"/>
      <c r="S92" s="222"/>
      <c r="T92" s="222"/>
      <c r="U92" s="222"/>
      <c r="V92" s="222"/>
      <c r="W92" s="222"/>
      <c r="X92" s="222"/>
      <c r="Y92" s="222"/>
      <c r="Z92" s="222"/>
      <c r="AA92" s="223"/>
    </row>
    <row r="93" spans="1:27" x14ac:dyDescent="0.2">
      <c r="A93" s="219" t="s">
        <v>1406</v>
      </c>
      <c r="B93" s="220">
        <v>3.1889968394641373</v>
      </c>
      <c r="C93" s="220">
        <v>3.2101566814716462</v>
      </c>
      <c r="D93" s="220">
        <v>3.1840045587220458</v>
      </c>
      <c r="E93" s="220">
        <v>3.203613188770305</v>
      </c>
      <c r="F93" s="220">
        <v>3.2940859876893493</v>
      </c>
      <c r="G93" s="220">
        <v>3.2438573074877355</v>
      </c>
      <c r="H93" s="220">
        <v>3.1097648652357108</v>
      </c>
      <c r="I93" s="220">
        <v>3.2157060876357222</v>
      </c>
      <c r="J93" s="220">
        <v>3.3068015561440425</v>
      </c>
      <c r="K93" s="220">
        <v>3.2341567707284855</v>
      </c>
      <c r="L93" s="220">
        <v>3.2658146035306332</v>
      </c>
      <c r="M93" s="220">
        <v>3.167902541623921</v>
      </c>
      <c r="N93" s="220">
        <v>3.3099695242298335</v>
      </c>
      <c r="O93" s="220">
        <v>3.293517938239483</v>
      </c>
      <c r="P93" s="220">
        <v>3.3099913722855976</v>
      </c>
      <c r="Q93" s="220">
        <v>3.2823208096603933</v>
      </c>
      <c r="R93" s="220">
        <v>3.2807477496453803</v>
      </c>
      <c r="S93" s="220">
        <v>3.2888533783338532</v>
      </c>
      <c r="T93" s="220">
        <v>3.3119576973043645</v>
      </c>
      <c r="U93" s="220">
        <v>3.3271639441161622</v>
      </c>
      <c r="V93" s="220">
        <v>3.3296983185847955</v>
      </c>
      <c r="W93" s="220">
        <v>3.3324511736110689</v>
      </c>
      <c r="X93" s="220">
        <v>3.3137055417654908</v>
      </c>
      <c r="Y93" s="220">
        <v>3.308090591434123</v>
      </c>
      <c r="Z93" s="220">
        <v>3.2972430317472585</v>
      </c>
      <c r="AA93" s="220">
        <v>3.2909398676593224</v>
      </c>
    </row>
    <row r="94" spans="1:27" x14ac:dyDescent="0.2">
      <c r="A94" s="209" t="s">
        <v>1469</v>
      </c>
      <c r="B94" s="192"/>
      <c r="C94" s="192"/>
      <c r="D94" s="192"/>
      <c r="E94" s="192"/>
      <c r="F94" s="192"/>
      <c r="G94" s="192"/>
      <c r="H94" s="192"/>
      <c r="I94" s="192"/>
      <c r="J94" s="192"/>
      <c r="K94" s="192"/>
      <c r="L94" s="192"/>
      <c r="M94" s="192"/>
      <c r="N94" s="192"/>
      <c r="O94" s="192"/>
      <c r="P94" s="192"/>
      <c r="Q94" s="192"/>
      <c r="R94" s="192"/>
      <c r="S94" s="192"/>
      <c r="T94" s="192"/>
      <c r="U94" s="192"/>
      <c r="V94" s="192"/>
      <c r="W94" s="192"/>
      <c r="X94" s="192"/>
      <c r="Y94" s="192"/>
      <c r="Z94" s="192"/>
      <c r="AA94" s="193"/>
    </row>
    <row r="95" spans="1:27" x14ac:dyDescent="0.2">
      <c r="A95" s="215" t="s">
        <v>1470</v>
      </c>
      <c r="B95" s="195">
        <v>1098.3592805162218</v>
      </c>
      <c r="C95" s="195">
        <v>1105.647186404241</v>
      </c>
      <c r="D95" s="195">
        <v>1096.6398313727914</v>
      </c>
      <c r="E95" s="195">
        <v>1061.1518955544268</v>
      </c>
      <c r="F95" s="195">
        <v>1026.0780063269744</v>
      </c>
      <c r="G95" s="195">
        <v>991.41816369043477</v>
      </c>
      <c r="H95" s="195">
        <v>957.17236764480776</v>
      </c>
      <c r="I95" s="195">
        <v>923.34061819009332</v>
      </c>
      <c r="J95" s="195">
        <v>889.92291532629145</v>
      </c>
      <c r="K95" s="195">
        <v>856.91925905340213</v>
      </c>
      <c r="L95" s="195">
        <v>824.32964937142549</v>
      </c>
      <c r="M95" s="195">
        <v>792.15408628036153</v>
      </c>
      <c r="N95" s="195">
        <v>760.39256978021001</v>
      </c>
      <c r="O95" s="195">
        <v>729.04509987097117</v>
      </c>
      <c r="P95" s="195">
        <v>698.11167655264489</v>
      </c>
      <c r="Q95" s="195">
        <v>667.59229982523141</v>
      </c>
      <c r="R95" s="195">
        <v>637.48696968873037</v>
      </c>
      <c r="S95" s="195">
        <v>607.79568614314189</v>
      </c>
      <c r="T95" s="195">
        <v>578.51844918846621</v>
      </c>
      <c r="U95" s="195">
        <v>549.65525882470297</v>
      </c>
      <c r="V95" s="195">
        <v>521.20611505185241</v>
      </c>
      <c r="W95" s="195">
        <v>493.17101786991486</v>
      </c>
      <c r="X95" s="195">
        <v>495.98114049586769</v>
      </c>
      <c r="Y95" s="195">
        <v>536.00902093161744</v>
      </c>
      <c r="Z95" s="195">
        <v>574.27930979206042</v>
      </c>
      <c r="AA95" s="195">
        <v>572.43708783755665</v>
      </c>
    </row>
    <row r="96" spans="1:27" ht="24" x14ac:dyDescent="0.2">
      <c r="A96" s="214" t="s">
        <v>1471</v>
      </c>
      <c r="B96" s="198" t="s">
        <v>1455</v>
      </c>
      <c r="C96" s="198" t="s">
        <v>1455</v>
      </c>
      <c r="D96" s="198" t="s">
        <v>1455</v>
      </c>
      <c r="E96" s="198" t="s">
        <v>1455</v>
      </c>
      <c r="F96" s="198" t="s">
        <v>1455</v>
      </c>
      <c r="G96" s="198" t="s">
        <v>1455</v>
      </c>
      <c r="H96" s="198" t="s">
        <v>1455</v>
      </c>
      <c r="I96" s="198" t="s">
        <v>1455</v>
      </c>
      <c r="J96" s="198" t="s">
        <v>1455</v>
      </c>
      <c r="K96" s="198" t="s">
        <v>1455</v>
      </c>
      <c r="L96" s="198" t="s">
        <v>1455</v>
      </c>
      <c r="M96" s="198" t="s">
        <v>1455</v>
      </c>
      <c r="N96" s="198" t="s">
        <v>1455</v>
      </c>
      <c r="O96" s="198" t="s">
        <v>1455</v>
      </c>
      <c r="P96" s="198" t="s">
        <v>1455</v>
      </c>
      <c r="Q96" s="198" t="s">
        <v>1455</v>
      </c>
      <c r="R96" s="198" t="s">
        <v>1455</v>
      </c>
      <c r="S96" s="198" t="s">
        <v>1455</v>
      </c>
      <c r="T96" s="198" t="s">
        <v>1455</v>
      </c>
      <c r="U96" s="198" t="s">
        <v>1455</v>
      </c>
      <c r="V96" s="198" t="s">
        <v>1455</v>
      </c>
      <c r="W96" s="198">
        <v>94.842879999999994</v>
      </c>
      <c r="X96" s="198">
        <v>101.56799999999998</v>
      </c>
      <c r="Y96" s="198">
        <v>109.71135999999998</v>
      </c>
      <c r="Z96" s="198">
        <v>117.59616</v>
      </c>
      <c r="AA96" s="198">
        <v>117.37087999999999</v>
      </c>
    </row>
    <row r="97" spans="1:27" x14ac:dyDescent="0.2">
      <c r="A97" s="214" t="s">
        <v>1472</v>
      </c>
      <c r="B97" s="198" t="s">
        <v>1455</v>
      </c>
      <c r="C97" s="198" t="s">
        <v>1455</v>
      </c>
      <c r="D97" s="198" t="s">
        <v>1455</v>
      </c>
      <c r="E97" s="198" t="s">
        <v>1455</v>
      </c>
      <c r="F97" s="198" t="s">
        <v>1455</v>
      </c>
      <c r="G97" s="198" t="s">
        <v>1455</v>
      </c>
      <c r="H97" s="198" t="s">
        <v>1455</v>
      </c>
      <c r="I97" s="198" t="s">
        <v>1455</v>
      </c>
      <c r="J97" s="198" t="s">
        <v>1455</v>
      </c>
      <c r="K97" s="198" t="s">
        <v>1455</v>
      </c>
      <c r="L97" s="198" t="s">
        <v>1455</v>
      </c>
      <c r="M97" s="198" t="s">
        <v>1455</v>
      </c>
      <c r="N97" s="198" t="s">
        <v>1455</v>
      </c>
      <c r="O97" s="198" t="s">
        <v>1455</v>
      </c>
      <c r="P97" s="198" t="s">
        <v>1455</v>
      </c>
      <c r="Q97" s="198" t="s">
        <v>1455</v>
      </c>
      <c r="R97" s="198" t="s">
        <v>1455</v>
      </c>
      <c r="S97" s="198" t="s">
        <v>1455</v>
      </c>
      <c r="T97" s="198" t="s">
        <v>1455</v>
      </c>
      <c r="U97" s="198" t="s">
        <v>1455</v>
      </c>
      <c r="V97" s="198" t="s">
        <v>1455</v>
      </c>
      <c r="W97" s="198">
        <v>301.59440491280498</v>
      </c>
      <c r="X97" s="198">
        <v>293.67</v>
      </c>
      <c r="Y97" s="198">
        <v>317.21541323251409</v>
      </c>
      <c r="Z97" s="198">
        <v>340.01323553875233</v>
      </c>
      <c r="AA97" s="198">
        <v>339.36186918714554</v>
      </c>
    </row>
    <row r="98" spans="1:27" ht="12" customHeight="1" x14ac:dyDescent="0.2">
      <c r="A98" s="214" t="s">
        <v>1473</v>
      </c>
      <c r="B98" s="198" t="s">
        <v>1455</v>
      </c>
      <c r="C98" s="198" t="s">
        <v>1455</v>
      </c>
      <c r="D98" s="198" t="s">
        <v>1455</v>
      </c>
      <c r="E98" s="198" t="s">
        <v>1455</v>
      </c>
      <c r="F98" s="198" t="s">
        <v>1455</v>
      </c>
      <c r="G98" s="198" t="s">
        <v>1455</v>
      </c>
      <c r="H98" s="198" t="s">
        <v>1455</v>
      </c>
      <c r="I98" s="198" t="s">
        <v>1455</v>
      </c>
      <c r="J98" s="198" t="s">
        <v>1455</v>
      </c>
      <c r="K98" s="198" t="s">
        <v>1455</v>
      </c>
      <c r="L98" s="198" t="s">
        <v>1455</v>
      </c>
      <c r="M98" s="198" t="s">
        <v>1455</v>
      </c>
      <c r="N98" s="198" t="s">
        <v>1455</v>
      </c>
      <c r="O98" s="198" t="s">
        <v>1455</v>
      </c>
      <c r="P98" s="198" t="s">
        <v>1455</v>
      </c>
      <c r="Q98" s="198" t="s">
        <v>1455</v>
      </c>
      <c r="R98" s="198" t="s">
        <v>1455</v>
      </c>
      <c r="S98" s="198" t="s">
        <v>1455</v>
      </c>
      <c r="T98" s="198" t="s">
        <v>1455</v>
      </c>
      <c r="U98" s="198" t="s">
        <v>1455</v>
      </c>
      <c r="V98" s="198" t="s">
        <v>1455</v>
      </c>
      <c r="W98" s="198">
        <v>47.075376899743375</v>
      </c>
      <c r="X98" s="198">
        <v>51.065564738292004</v>
      </c>
      <c r="Y98" s="198">
        <v>55.90181716804365</v>
      </c>
      <c r="Z98" s="198">
        <v>59.205628128544419</v>
      </c>
      <c r="AA98" s="198">
        <v>56.989675661566686</v>
      </c>
    </row>
    <row r="99" spans="1:27" ht="12" customHeight="1" x14ac:dyDescent="0.2">
      <c r="A99" s="208" t="s">
        <v>1474</v>
      </c>
      <c r="B99" s="197" t="s">
        <v>1455</v>
      </c>
      <c r="C99" s="197" t="s">
        <v>1455</v>
      </c>
      <c r="D99" s="197" t="s">
        <v>1455</v>
      </c>
      <c r="E99" s="197" t="s">
        <v>1455</v>
      </c>
      <c r="F99" s="197" t="s">
        <v>1455</v>
      </c>
      <c r="G99" s="197" t="s">
        <v>1455</v>
      </c>
      <c r="H99" s="197" t="s">
        <v>1455</v>
      </c>
      <c r="I99" s="197" t="s">
        <v>1455</v>
      </c>
      <c r="J99" s="197" t="s">
        <v>1455</v>
      </c>
      <c r="K99" s="197" t="s">
        <v>1455</v>
      </c>
      <c r="L99" s="197" t="s">
        <v>1455</v>
      </c>
      <c r="M99" s="197" t="s">
        <v>1455</v>
      </c>
      <c r="N99" s="197" t="s">
        <v>1455</v>
      </c>
      <c r="O99" s="197" t="s">
        <v>1455</v>
      </c>
      <c r="P99" s="197" t="s">
        <v>1455</v>
      </c>
      <c r="Q99" s="197" t="s">
        <v>1455</v>
      </c>
      <c r="R99" s="197" t="s">
        <v>1455</v>
      </c>
      <c r="S99" s="197" t="s">
        <v>1455</v>
      </c>
      <c r="T99" s="197" t="s">
        <v>1455</v>
      </c>
      <c r="U99" s="197" t="s">
        <v>1455</v>
      </c>
      <c r="V99" s="197" t="s">
        <v>1455</v>
      </c>
      <c r="W99" s="197">
        <v>49.658356057366468</v>
      </c>
      <c r="X99" s="197">
        <v>49.677575757575752</v>
      </c>
      <c r="Y99" s="197">
        <v>53.180430531059784</v>
      </c>
      <c r="Z99" s="197">
        <v>57.464286124763696</v>
      </c>
      <c r="AA99" s="197">
        <v>58.714662988844267</v>
      </c>
    </row>
    <row r="100" spans="1:27" x14ac:dyDescent="0.2">
      <c r="A100" s="209" t="s">
        <v>1475</v>
      </c>
      <c r="B100" s="192"/>
      <c r="C100" s="192"/>
      <c r="D100" s="192"/>
      <c r="E100" s="192"/>
      <c r="F100" s="192"/>
      <c r="G100" s="192"/>
      <c r="H100" s="192"/>
      <c r="I100" s="192"/>
      <c r="J100" s="192"/>
      <c r="K100" s="192"/>
      <c r="L100" s="192"/>
      <c r="M100" s="192"/>
      <c r="N100" s="192"/>
      <c r="O100" s="192"/>
      <c r="P100" s="192"/>
      <c r="Q100" s="192"/>
      <c r="R100" s="192"/>
      <c r="S100" s="192"/>
      <c r="T100" s="192"/>
      <c r="U100" s="192"/>
      <c r="V100" s="192"/>
      <c r="W100" s="192"/>
      <c r="X100" s="192"/>
      <c r="Y100" s="192"/>
      <c r="Z100" s="192"/>
      <c r="AA100" s="193"/>
    </row>
    <row r="101" spans="1:27" x14ac:dyDescent="0.2">
      <c r="A101" s="215" t="s">
        <v>1470</v>
      </c>
      <c r="B101" s="195">
        <v>245.59417539197364</v>
      </c>
      <c r="C101" s="195">
        <v>254.78496131736648</v>
      </c>
      <c r="D101" s="195">
        <v>262.30190398380006</v>
      </c>
      <c r="E101" s="195">
        <v>254.10954127543016</v>
      </c>
      <c r="F101" s="195">
        <v>246.02046536207166</v>
      </c>
      <c r="G101" s="195">
        <v>238.0346762437245</v>
      </c>
      <c r="H101" s="195">
        <v>230.15217392038875</v>
      </c>
      <c r="I101" s="195">
        <v>222.37295839206428</v>
      </c>
      <c r="J101" s="195">
        <v>214.69702965875123</v>
      </c>
      <c r="K101" s="195">
        <v>207.12438772044948</v>
      </c>
      <c r="L101" s="195">
        <v>199.65503257715915</v>
      </c>
      <c r="M101" s="195">
        <v>192.28896422888013</v>
      </c>
      <c r="N101" s="195">
        <v>185.02618267561246</v>
      </c>
      <c r="O101" s="195">
        <v>177.86668791735616</v>
      </c>
      <c r="P101" s="195">
        <v>170.81047995411117</v>
      </c>
      <c r="Q101" s="195">
        <v>163.85755878587767</v>
      </c>
      <c r="R101" s="195">
        <v>159.78637844445066</v>
      </c>
      <c r="S101" s="195">
        <v>153.24427472501668</v>
      </c>
      <c r="T101" s="195">
        <v>151.01166142590225</v>
      </c>
      <c r="U101" s="195">
        <v>145.96522161474635</v>
      </c>
      <c r="V101" s="195">
        <v>140.89121483200375</v>
      </c>
      <c r="W101" s="195">
        <v>136.47544734574359</v>
      </c>
      <c r="X101" s="195">
        <v>130.98962</v>
      </c>
      <c r="Y101" s="195">
        <v>131.64785929648238</v>
      </c>
      <c r="Z101" s="195">
        <v>131.64785929648238</v>
      </c>
      <c r="AA101" s="195">
        <v>129.01490211055275</v>
      </c>
    </row>
    <row r="102" spans="1:27" ht="24" x14ac:dyDescent="0.2">
      <c r="A102" s="214" t="s">
        <v>1471</v>
      </c>
      <c r="B102" s="198" t="s">
        <v>1455</v>
      </c>
      <c r="C102" s="198" t="s">
        <v>1455</v>
      </c>
      <c r="D102" s="198" t="s">
        <v>1455</v>
      </c>
      <c r="E102" s="198" t="s">
        <v>1455</v>
      </c>
      <c r="F102" s="198" t="s">
        <v>1455</v>
      </c>
      <c r="G102" s="198" t="s">
        <v>1455</v>
      </c>
      <c r="H102" s="198" t="s">
        <v>1455</v>
      </c>
      <c r="I102" s="198" t="s">
        <v>1455</v>
      </c>
      <c r="J102" s="198" t="s">
        <v>1455</v>
      </c>
      <c r="K102" s="198" t="s">
        <v>1455</v>
      </c>
      <c r="L102" s="198" t="s">
        <v>1455</v>
      </c>
      <c r="M102" s="198" t="s">
        <v>1455</v>
      </c>
      <c r="N102" s="198" t="s">
        <v>1455</v>
      </c>
      <c r="O102" s="198" t="s">
        <v>1455</v>
      </c>
      <c r="P102" s="198" t="s">
        <v>1455</v>
      </c>
      <c r="Q102" s="198" t="s">
        <v>1455</v>
      </c>
      <c r="R102" s="198" t="s">
        <v>1455</v>
      </c>
      <c r="S102" s="198" t="s">
        <v>1455</v>
      </c>
      <c r="T102" s="198" t="s">
        <v>1455</v>
      </c>
      <c r="U102" s="198" t="s">
        <v>1455</v>
      </c>
      <c r="V102" s="198" t="s">
        <v>1455</v>
      </c>
      <c r="W102" s="198" t="s">
        <v>1455</v>
      </c>
      <c r="X102" s="198">
        <v>25.149619999999999</v>
      </c>
      <c r="Y102" s="198">
        <v>25.276</v>
      </c>
      <c r="Z102" s="198">
        <v>25.276</v>
      </c>
      <c r="AA102" s="198">
        <v>24.770479999999999</v>
      </c>
    </row>
    <row r="103" spans="1:27" x14ac:dyDescent="0.2">
      <c r="A103" s="214" t="s">
        <v>1472</v>
      </c>
      <c r="B103" s="198" t="s">
        <v>1455</v>
      </c>
      <c r="C103" s="198" t="s">
        <v>1455</v>
      </c>
      <c r="D103" s="198" t="s">
        <v>1455</v>
      </c>
      <c r="E103" s="198" t="s">
        <v>1455</v>
      </c>
      <c r="F103" s="198" t="s">
        <v>1455</v>
      </c>
      <c r="G103" s="198" t="s">
        <v>1455</v>
      </c>
      <c r="H103" s="198" t="s">
        <v>1455</v>
      </c>
      <c r="I103" s="198" t="s">
        <v>1455</v>
      </c>
      <c r="J103" s="198" t="s">
        <v>1455</v>
      </c>
      <c r="K103" s="198" t="s">
        <v>1455</v>
      </c>
      <c r="L103" s="198" t="s">
        <v>1455</v>
      </c>
      <c r="M103" s="198" t="s">
        <v>1455</v>
      </c>
      <c r="N103" s="198" t="s">
        <v>1455</v>
      </c>
      <c r="O103" s="198" t="s">
        <v>1455</v>
      </c>
      <c r="P103" s="198" t="s">
        <v>1455</v>
      </c>
      <c r="Q103" s="198" t="s">
        <v>1455</v>
      </c>
      <c r="R103" s="198" t="s">
        <v>1455</v>
      </c>
      <c r="S103" s="198" t="s">
        <v>1455</v>
      </c>
      <c r="T103" s="198" t="s">
        <v>1455</v>
      </c>
      <c r="U103" s="198" t="s">
        <v>1455</v>
      </c>
      <c r="V103" s="198" t="s">
        <v>1455</v>
      </c>
      <c r="W103" s="198" t="s">
        <v>1455</v>
      </c>
      <c r="X103" s="198">
        <v>105.83999999999999</v>
      </c>
      <c r="Y103" s="198">
        <v>106.37185929648241</v>
      </c>
      <c r="Z103" s="198">
        <v>106.37185929648241</v>
      </c>
      <c r="AA103" s="198">
        <v>104.24442211055273</v>
      </c>
    </row>
    <row r="104" spans="1:27" x14ac:dyDescent="0.2">
      <c r="A104" s="214" t="s">
        <v>1476</v>
      </c>
      <c r="B104" s="198">
        <v>13.564994766371111</v>
      </c>
      <c r="C104" s="198">
        <v>14.072632876183</v>
      </c>
      <c r="D104" s="198">
        <v>14.487818976450001</v>
      </c>
      <c r="E104" s="198">
        <v>15.310678621027794</v>
      </c>
      <c r="F104" s="198">
        <v>14.974766666938434</v>
      </c>
      <c r="G104" s="198">
        <v>14.98284760706238</v>
      </c>
      <c r="H104" s="198">
        <v>16.19096051176918</v>
      </c>
      <c r="I104" s="198">
        <v>15.395092937070205</v>
      </c>
      <c r="J104" s="198">
        <v>13.963333218535672</v>
      </c>
      <c r="K104" s="198">
        <v>14.597810580040669</v>
      </c>
      <c r="L104" s="198">
        <v>15.433418710815516</v>
      </c>
      <c r="M104" s="198">
        <v>14.738881059237976</v>
      </c>
      <c r="N104" s="198">
        <v>15.101775816072985</v>
      </c>
      <c r="O104" s="198">
        <v>15.690340710811109</v>
      </c>
      <c r="P104" s="198">
        <v>15.039930058343078</v>
      </c>
      <c r="Q104" s="198">
        <v>14.910122234991293</v>
      </c>
      <c r="R104" s="198">
        <v>13.494385389707102</v>
      </c>
      <c r="S104" s="198">
        <v>14.586467609041009</v>
      </c>
      <c r="T104" s="198">
        <v>15.111605155321604</v>
      </c>
      <c r="U104" s="198">
        <v>14.762543139264501</v>
      </c>
      <c r="V104" s="198">
        <v>14.771810272434157</v>
      </c>
      <c r="W104" s="198">
        <v>14.561755253921921</v>
      </c>
      <c r="X104" s="198">
        <v>12.819534218026298</v>
      </c>
      <c r="Y104" s="198">
        <v>15.127050377271033</v>
      </c>
      <c r="Z104" s="198">
        <v>15.713968811349341</v>
      </c>
      <c r="AA104" s="198">
        <v>92.590494637373794</v>
      </c>
    </row>
    <row r="105" spans="1:27" x14ac:dyDescent="0.2">
      <c r="A105" s="214" t="s">
        <v>1477</v>
      </c>
      <c r="B105" s="198">
        <v>72.780991857738215</v>
      </c>
      <c r="C105" s="198">
        <v>73.263913091714201</v>
      </c>
      <c r="D105" s="198">
        <v>72.667055355968955</v>
      </c>
      <c r="E105" s="198">
        <v>73.114574000773757</v>
      </c>
      <c r="F105" s="198">
        <v>75.179392617082016</v>
      </c>
      <c r="G105" s="198">
        <v>74.033046807158641</v>
      </c>
      <c r="H105" s="198">
        <v>70.972717355916942</v>
      </c>
      <c r="I105" s="198">
        <v>73.390564607904068</v>
      </c>
      <c r="J105" s="198">
        <v>75.469594122682452</v>
      </c>
      <c r="K105" s="198">
        <v>73.811655967834611</v>
      </c>
      <c r="L105" s="198">
        <v>74.534167963736721</v>
      </c>
      <c r="M105" s="198">
        <v>72.299566507811718</v>
      </c>
      <c r="N105" s="198">
        <v>75.541895185074324</v>
      </c>
      <c r="O105" s="198">
        <v>75.166428288653123</v>
      </c>
      <c r="P105" s="198">
        <v>75.542393813090825</v>
      </c>
      <c r="Q105" s="198">
        <v>74.910881430199154</v>
      </c>
      <c r="R105" s="198">
        <v>74.874980213011455</v>
      </c>
      <c r="S105" s="198">
        <v>75.059971207131326</v>
      </c>
      <c r="T105" s="198">
        <v>75.587270334575408</v>
      </c>
      <c r="U105" s="198">
        <v>75.934315434056359</v>
      </c>
      <c r="V105" s="198">
        <v>75.992156283969848</v>
      </c>
      <c r="W105" s="198">
        <v>76.05498341404828</v>
      </c>
      <c r="X105" s="198">
        <v>75.627160575895061</v>
      </c>
      <c r="Y105" s="198">
        <v>75.499013175655691</v>
      </c>
      <c r="Z105" s="198">
        <v>75.251444365465616</v>
      </c>
      <c r="AA105" s="198">
        <v>75.107590182706673</v>
      </c>
    </row>
    <row r="106" spans="1:27" x14ac:dyDescent="0.2">
      <c r="A106" s="208" t="s">
        <v>1478</v>
      </c>
      <c r="B106" s="197">
        <v>16.900240225121735</v>
      </c>
      <c r="C106" s="197">
        <v>17.012377812913332</v>
      </c>
      <c r="D106" s="197">
        <v>16.873783396200331</v>
      </c>
      <c r="E106" s="197">
        <v>16.977700262532757</v>
      </c>
      <c r="F106" s="197">
        <v>17.457165157777972</v>
      </c>
      <c r="G106" s="197">
        <v>17.19097588123396</v>
      </c>
      <c r="H106" s="197">
        <v>16.480346614253165</v>
      </c>
      <c r="I106" s="197">
        <v>17.041787154471475</v>
      </c>
      <c r="J106" s="197">
        <v>17.524551916781277</v>
      </c>
      <c r="K106" s="197">
        <v>17.139567425911849</v>
      </c>
      <c r="L106" s="197">
        <v>17.307339614564423</v>
      </c>
      <c r="M106" s="197">
        <v>16.788449991757997</v>
      </c>
      <c r="N106" s="197">
        <v>17.541340714127465</v>
      </c>
      <c r="O106" s="197">
        <v>17.454154752736581</v>
      </c>
      <c r="P106" s="197">
        <v>17.541456498936753</v>
      </c>
      <c r="Q106" s="197">
        <v>17.39481503797851</v>
      </c>
      <c r="R106" s="197">
        <v>17.386478531710058</v>
      </c>
      <c r="S106" s="197">
        <v>17.429434695954441</v>
      </c>
      <c r="T106" s="197">
        <v>17.551877131772315</v>
      </c>
      <c r="U106" s="197">
        <v>17.632463359034006</v>
      </c>
      <c r="V106" s="197">
        <v>17.645894396910958</v>
      </c>
      <c r="W106" s="197">
        <v>17.660483282880744</v>
      </c>
      <c r="X106" s="197">
        <v>17.561139916515039</v>
      </c>
      <c r="Y106" s="197">
        <v>17.531383220529037</v>
      </c>
      <c r="Z106" s="197">
        <v>17.473896062719511</v>
      </c>
      <c r="AA106" s="197">
        <v>17.440492145241066</v>
      </c>
    </row>
    <row r="107" spans="1:27" x14ac:dyDescent="0.2">
      <c r="A107" s="188" t="s">
        <v>1407</v>
      </c>
      <c r="B107" s="189"/>
      <c r="C107" s="189"/>
      <c r="D107" s="189"/>
      <c r="E107" s="189"/>
      <c r="F107" s="189"/>
      <c r="G107" s="189"/>
      <c r="H107" s="189"/>
      <c r="I107" s="189"/>
      <c r="J107" s="189"/>
      <c r="K107" s="189"/>
      <c r="L107" s="189"/>
      <c r="M107" s="189"/>
      <c r="N107" s="189"/>
      <c r="O107" s="189"/>
      <c r="P107" s="189"/>
      <c r="Q107" s="189"/>
      <c r="R107" s="189"/>
      <c r="S107" s="189"/>
      <c r="T107" s="189"/>
      <c r="U107" s="189"/>
      <c r="V107" s="189"/>
      <c r="W107" s="189"/>
      <c r="X107" s="189"/>
      <c r="Y107" s="189"/>
      <c r="Z107" s="189"/>
      <c r="AA107" s="190"/>
    </row>
    <row r="108" spans="1:27" x14ac:dyDescent="0.2">
      <c r="A108" s="209" t="s">
        <v>1479</v>
      </c>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3"/>
    </row>
    <row r="109" spans="1:27" x14ac:dyDescent="0.2">
      <c r="A109" s="215" t="s">
        <v>1480</v>
      </c>
      <c r="B109" s="195">
        <v>1.9938685000417575</v>
      </c>
      <c r="C109" s="195">
        <v>2.0070983477238018</v>
      </c>
      <c r="D109" s="195">
        <v>1.9907471575581774</v>
      </c>
      <c r="E109" s="195">
        <v>1.9757131079550001</v>
      </c>
      <c r="F109" s="195">
        <v>1.9606790583518237</v>
      </c>
      <c r="G109" s="195">
        <v>1.9456450087486468</v>
      </c>
      <c r="H109" s="195">
        <v>1.9306109591454699</v>
      </c>
      <c r="I109" s="195">
        <v>1.9155769095422928</v>
      </c>
      <c r="J109" s="195">
        <v>1.9005428599391156</v>
      </c>
      <c r="K109" s="195">
        <v>1.8855088103359388</v>
      </c>
      <c r="L109" s="195">
        <v>1.8704747607327616</v>
      </c>
      <c r="M109" s="195">
        <v>1.8554407111295845</v>
      </c>
      <c r="N109" s="195">
        <v>1.8404066615264079</v>
      </c>
      <c r="O109" s="195">
        <v>1.825372611923231</v>
      </c>
      <c r="P109" s="195">
        <v>1.8103385623200541</v>
      </c>
      <c r="Q109" s="195">
        <v>1.7953045127168767</v>
      </c>
      <c r="R109" s="195">
        <v>1.7802704631137001</v>
      </c>
      <c r="S109" s="195">
        <v>1.7652364135105234</v>
      </c>
      <c r="T109" s="195">
        <v>1.7502023639073458</v>
      </c>
      <c r="U109" s="195">
        <v>1.7351683143041692</v>
      </c>
      <c r="V109" s="195">
        <v>1.7201342647009921</v>
      </c>
      <c r="W109" s="195">
        <v>1.7051002150978163</v>
      </c>
      <c r="X109" s="195">
        <v>1.8260054802959911</v>
      </c>
      <c r="Y109" s="195">
        <v>1.972408087298424</v>
      </c>
      <c r="Z109" s="195">
        <v>2.1141622619502614</v>
      </c>
      <c r="AA109" s="195">
        <v>2.1101121426744944</v>
      </c>
    </row>
    <row r="110" spans="1:27" x14ac:dyDescent="0.2">
      <c r="A110" s="208" t="s">
        <v>1481</v>
      </c>
      <c r="B110" s="197">
        <v>4.2262638990719505</v>
      </c>
      <c r="C110" s="197">
        <v>4.3844219119751182</v>
      </c>
      <c r="D110" s="197">
        <v>4.5137758894130542</v>
      </c>
      <c r="E110" s="197">
        <v>4.7701432577590879</v>
      </c>
      <c r="F110" s="197">
        <v>4.6654876652369293</v>
      </c>
      <c r="G110" s="197">
        <v>4.6680053356160611</v>
      </c>
      <c r="H110" s="197">
        <v>5.0444009069452198</v>
      </c>
      <c r="I110" s="197">
        <v>4.7964430966163309</v>
      </c>
      <c r="J110" s="197">
        <v>4.3503688802377969</v>
      </c>
      <c r="K110" s="197">
        <v>4.5480445014886497</v>
      </c>
      <c r="L110" s="197">
        <v>4.8083837450849449</v>
      </c>
      <c r="M110" s="197">
        <v>4.5919959429543269</v>
      </c>
      <c r="N110" s="197">
        <v>4.7050582062569593</v>
      </c>
      <c r="O110" s="197">
        <v>4.888429494615977</v>
      </c>
      <c r="P110" s="197">
        <v>4.6857897511114679</v>
      </c>
      <c r="Q110" s="197">
        <v>4.6453472646160963</v>
      </c>
      <c r="R110" s="197">
        <v>4.204265080445726</v>
      </c>
      <c r="S110" s="197">
        <v>4.5445105238005103</v>
      </c>
      <c r="T110" s="197">
        <v>4.7081206019551249</v>
      </c>
      <c r="U110" s="197">
        <v>4.5993680205935279</v>
      </c>
      <c r="V110" s="197">
        <v>4.6022552572668447</v>
      </c>
      <c r="W110" s="197">
        <v>4.5368112260050006</v>
      </c>
      <c r="X110" s="197">
        <v>3.994010731421457</v>
      </c>
      <c r="Y110" s="197">
        <v>4.7129326630773196</v>
      </c>
      <c r="Z110" s="197">
        <v>4.8957909857207094</v>
      </c>
      <c r="AA110" s="197">
        <v>4.4367203546633531</v>
      </c>
    </row>
    <row r="111" spans="1:27" x14ac:dyDescent="0.2">
      <c r="A111" s="209" t="s">
        <v>1460</v>
      </c>
      <c r="B111" s="192"/>
      <c r="C111" s="192"/>
      <c r="D111" s="192"/>
      <c r="E111" s="192"/>
      <c r="F111" s="192"/>
      <c r="G111" s="192"/>
      <c r="H111" s="192"/>
      <c r="I111" s="192"/>
      <c r="J111" s="192"/>
      <c r="K111" s="192"/>
      <c r="L111" s="192"/>
      <c r="M111" s="192"/>
      <c r="N111" s="192"/>
      <c r="O111" s="192"/>
      <c r="P111" s="192"/>
      <c r="Q111" s="192"/>
      <c r="R111" s="192"/>
      <c r="S111" s="192"/>
      <c r="T111" s="192"/>
      <c r="U111" s="192"/>
      <c r="V111" s="192"/>
      <c r="W111" s="192"/>
      <c r="X111" s="192"/>
      <c r="Y111" s="192"/>
      <c r="Z111" s="192"/>
      <c r="AA111" s="193"/>
    </row>
    <row r="112" spans="1:27" x14ac:dyDescent="0.2">
      <c r="A112" s="215" t="s">
        <v>1482</v>
      </c>
      <c r="B112" s="195">
        <v>176.92070661714274</v>
      </c>
      <c r="C112" s="195">
        <v>180.50562537965774</v>
      </c>
      <c r="D112" s="195">
        <v>186.652512</v>
      </c>
      <c r="E112" s="195">
        <v>191.83470907007296</v>
      </c>
      <c r="F112" s="195">
        <v>196.05396055503113</v>
      </c>
      <c r="G112" s="195">
        <v>204.91026774837457</v>
      </c>
      <c r="H112" s="195">
        <v>208.6214163696869</v>
      </c>
      <c r="I112" s="195">
        <v>209.80493202385819</v>
      </c>
      <c r="J112" s="195">
        <v>205.27075180492682</v>
      </c>
      <c r="K112" s="195">
        <v>206.73969642270748</v>
      </c>
      <c r="L112" s="195">
        <v>215.30238078441434</v>
      </c>
      <c r="M112" s="195">
        <v>205.20309702972938</v>
      </c>
      <c r="N112" s="195">
        <v>212.29331193403121</v>
      </c>
      <c r="O112" s="195">
        <v>205.5526097922677</v>
      </c>
      <c r="P112" s="195">
        <v>206.590435151077</v>
      </c>
      <c r="Q112" s="195">
        <v>203.09900768456592</v>
      </c>
      <c r="R112" s="195">
        <v>200.09131370618289</v>
      </c>
      <c r="S112" s="195">
        <v>213.18820596880752</v>
      </c>
      <c r="T112" s="195">
        <v>214.78453386149295</v>
      </c>
      <c r="U112" s="195">
        <v>211.39810417007365</v>
      </c>
      <c r="V112" s="195">
        <v>222.25867023765008</v>
      </c>
      <c r="W112" s="195">
        <v>225.85732849283681</v>
      </c>
      <c r="X112" s="195">
        <v>235.64752441271671</v>
      </c>
      <c r="Y112" s="195">
        <v>241.34078631899936</v>
      </c>
      <c r="Z112" s="195">
        <v>245.38235635943988</v>
      </c>
      <c r="AA112" s="195">
        <v>251.96144183623005</v>
      </c>
    </row>
    <row r="113" spans="1:27" x14ac:dyDescent="0.2">
      <c r="A113" s="214" t="s">
        <v>1483</v>
      </c>
      <c r="B113" s="198">
        <v>1.002599961517683</v>
      </c>
      <c r="C113" s="198">
        <v>1.0229154999420211</v>
      </c>
      <c r="D113" s="198">
        <v>1.0577495700000001</v>
      </c>
      <c r="E113" s="198">
        <v>1.0871167971741242</v>
      </c>
      <c r="F113" s="198">
        <v>1.1110270644194766</v>
      </c>
      <c r="G113" s="198">
        <v>1.1612152725778913</v>
      </c>
      <c r="H113" s="198">
        <v>1.1822461487034652</v>
      </c>
      <c r="I113" s="198">
        <v>1.1889530671417659</v>
      </c>
      <c r="J113" s="198">
        <v>1.163258115997057</v>
      </c>
      <c r="K113" s="198">
        <v>1.1715825447505868</v>
      </c>
      <c r="L113" s="198">
        <v>1.2201068083921127</v>
      </c>
      <c r="M113" s="198">
        <v>1.1628747200887632</v>
      </c>
      <c r="N113" s="198">
        <v>1.2030545799035235</v>
      </c>
      <c r="O113" s="198">
        <v>1.1648553897852121</v>
      </c>
      <c r="P113" s="198">
        <v>1.1707366892933353</v>
      </c>
      <c r="Q113" s="198">
        <v>1.1509509609266673</v>
      </c>
      <c r="R113" s="198">
        <v>1.1339065237624557</v>
      </c>
      <c r="S113" s="198">
        <v>1.2081258954209928</v>
      </c>
      <c r="T113" s="198">
        <v>1.2171721982217127</v>
      </c>
      <c r="U113" s="198">
        <v>1.1979814864999545</v>
      </c>
      <c r="V113" s="198">
        <v>1.2595277200054302</v>
      </c>
      <c r="W113" s="198">
        <v>1.2799211193827755</v>
      </c>
      <c r="X113" s="198">
        <v>1.3354016238426818</v>
      </c>
      <c r="Y113" s="198">
        <v>1.3676650274729947</v>
      </c>
      <c r="Z113" s="198">
        <v>1.3905683836967826</v>
      </c>
      <c r="AA113" s="198">
        <v>1.4278517010199805</v>
      </c>
    </row>
    <row r="114" spans="1:27" x14ac:dyDescent="0.2">
      <c r="A114" s="214" t="s">
        <v>1484</v>
      </c>
      <c r="B114" s="198">
        <v>21.302263554024773</v>
      </c>
      <c r="C114" s="198">
        <v>22.099450798953789</v>
      </c>
      <c r="D114" s="198">
        <v>22.751452800000003</v>
      </c>
      <c r="E114" s="198">
        <v>24.043659197323706</v>
      </c>
      <c r="F114" s="198">
        <v>23.51614812192701</v>
      </c>
      <c r="G114" s="198">
        <v>23.528838308635471</v>
      </c>
      <c r="H114" s="198">
        <v>25.426040625505021</v>
      </c>
      <c r="I114" s="198">
        <v>24.176222168341294</v>
      </c>
      <c r="J114" s="198">
        <v>21.927808262139823</v>
      </c>
      <c r="K114" s="198">
        <v>22.924181958305823</v>
      </c>
      <c r="L114" s="198">
        <v>24.236408386419207</v>
      </c>
      <c r="M114" s="198">
        <v>23.145716914957902</v>
      </c>
      <c r="N114" s="198">
        <v>23.715601377548161</v>
      </c>
      <c r="O114" s="198">
        <v>24.639874827136261</v>
      </c>
      <c r="P114" s="198">
        <v>23.618479730724758</v>
      </c>
      <c r="Q114" s="198">
        <v>23.414631479248158</v>
      </c>
      <c r="R114" s="198">
        <v>21.19137965196747</v>
      </c>
      <c r="S114" s="198">
        <v>22.906369127421481</v>
      </c>
      <c r="T114" s="198">
        <v>23.731037223919074</v>
      </c>
      <c r="U114" s="198">
        <v>23.182875489188323</v>
      </c>
      <c r="V114" s="198">
        <v>23.197428455597098</v>
      </c>
      <c r="W114" s="198">
        <v>22.867561216998062</v>
      </c>
      <c r="X114" s="198">
        <v>20.131603532147214</v>
      </c>
      <c r="Y114" s="198">
        <v>23.755292167933714</v>
      </c>
      <c r="Z114" s="198">
        <v>24.676980040489848</v>
      </c>
      <c r="AA114" s="198">
        <v>22.363058381493651</v>
      </c>
    </row>
    <row r="115" spans="1:27" x14ac:dyDescent="0.2">
      <c r="A115" s="214" t="s">
        <v>1485</v>
      </c>
      <c r="B115" s="198">
        <v>0.17772263815859099</v>
      </c>
      <c r="C115" s="198">
        <v>0.18437349100884576</v>
      </c>
      <c r="D115" s="198">
        <v>0.18981307800000002</v>
      </c>
      <c r="E115" s="198">
        <v>0.20059382575459189</v>
      </c>
      <c r="F115" s="198">
        <v>0.19619285401092654</v>
      </c>
      <c r="G115" s="198">
        <v>0.19629872695981915</v>
      </c>
      <c r="H115" s="198">
        <v>0.21212689470450669</v>
      </c>
      <c r="I115" s="198">
        <v>0.20169978526315011</v>
      </c>
      <c r="J115" s="198">
        <v>0.18294149462097611</v>
      </c>
      <c r="K115" s="198">
        <v>0.19125413996147519</v>
      </c>
      <c r="L115" s="198">
        <v>0.20220191281548594</v>
      </c>
      <c r="M115" s="198">
        <v>0.19310238378029307</v>
      </c>
      <c r="N115" s="198">
        <v>0.19785687242326153</v>
      </c>
      <c r="O115" s="198">
        <v>0.20556799267225045</v>
      </c>
      <c r="P115" s="198">
        <v>0.19704659631096075</v>
      </c>
      <c r="Q115" s="198">
        <v>0.1953459108910964</v>
      </c>
      <c r="R115" s="198">
        <v>0.17679754493772434</v>
      </c>
      <c r="S115" s="198">
        <v>0.19110552930844249</v>
      </c>
      <c r="T115" s="198">
        <v>0.1979856521340323</v>
      </c>
      <c r="U115" s="198">
        <v>0.19341239402055199</v>
      </c>
      <c r="V115" s="198">
        <v>0.19353380795276826</v>
      </c>
      <c r="W115" s="198">
        <v>0.19078175882253237</v>
      </c>
      <c r="X115" s="198">
        <v>0.16795593956586957</v>
      </c>
      <c r="Y115" s="198">
        <v>0.19818800868772615</v>
      </c>
      <c r="Z115" s="198">
        <v>0.20587755772809124</v>
      </c>
      <c r="AA115" s="198">
        <v>0.18657274250570094</v>
      </c>
    </row>
    <row r="116" spans="1:27" x14ac:dyDescent="0.2">
      <c r="A116" s="214" t="s">
        <v>1486</v>
      </c>
      <c r="B116" s="198">
        <v>8.6576450975592554</v>
      </c>
      <c r="C116" s="198">
        <v>8.8330737115575069</v>
      </c>
      <c r="D116" s="198">
        <v>9.1338726617280006</v>
      </c>
      <c r="E116" s="198">
        <v>9.3874643634353241</v>
      </c>
      <c r="F116" s="198">
        <v>9.5939341579131732</v>
      </c>
      <c r="G116" s="198">
        <v>10.027319068142212</v>
      </c>
      <c r="H116" s="198">
        <v>10.20892476191297</v>
      </c>
      <c r="I116" s="198">
        <v>10.266840303271243</v>
      </c>
      <c r="J116" s="198">
        <v>10.04495941722646</v>
      </c>
      <c r="K116" s="198">
        <v>10.116842473833485</v>
      </c>
      <c r="L116" s="198">
        <v>10.535858900477663</v>
      </c>
      <c r="M116" s="198">
        <v>10.041648719208039</v>
      </c>
      <c r="N116" s="198">
        <v>10.388609600614121</v>
      </c>
      <c r="O116" s="198">
        <v>10.058752186139543</v>
      </c>
      <c r="P116" s="198">
        <v>10.109538347927046</v>
      </c>
      <c r="Q116" s="198">
        <v>9.9386847465205381</v>
      </c>
      <c r="R116" s="198">
        <v>9.7915027262539311</v>
      </c>
      <c r="S116" s="198">
        <v>10.43240139356565</v>
      </c>
      <c r="T116" s="198">
        <v>10.510517972560063</v>
      </c>
      <c r="U116" s="198">
        <v>10.344802455271342</v>
      </c>
      <c r="V116" s="198">
        <v>10.876266116984755</v>
      </c>
      <c r="W116" s="198">
        <v>11.052367075411462</v>
      </c>
      <c r="X116" s="198">
        <v>11.53145199051591</v>
      </c>
      <c r="Y116" s="198">
        <v>11.810052737565339</v>
      </c>
      <c r="Z116" s="198">
        <v>12.0078276601061</v>
      </c>
      <c r="AA116" s="198">
        <v>12.329776335383642</v>
      </c>
    </row>
    <row r="117" spans="1:27" x14ac:dyDescent="0.2">
      <c r="A117" s="208" t="s">
        <v>1487</v>
      </c>
      <c r="B117" s="240">
        <v>2.4245541363115746E-3</v>
      </c>
      <c r="C117" s="240">
        <v>2.4736825271042128E-3</v>
      </c>
      <c r="D117" s="240">
        <v>2.5579206000000006E-3</v>
      </c>
      <c r="E117" s="240">
        <v>2.6289383885995947E-3</v>
      </c>
      <c r="F117" s="240">
        <v>2.686759792524526E-3</v>
      </c>
      <c r="G117" s="240">
        <v>2.8081282668463792E-3</v>
      </c>
      <c r="H117" s="240">
        <v>2.8589865350068231E-3</v>
      </c>
      <c r="I117" s="240">
        <v>2.8752056527662833E-3</v>
      </c>
      <c r="J117" s="240">
        <v>2.8130684071335167E-3</v>
      </c>
      <c r="K117" s="240">
        <v>2.8331990962832043E-3</v>
      </c>
      <c r="L117" s="240">
        <v>2.9505437089295517E-3</v>
      </c>
      <c r="M117" s="240">
        <v>2.812141253561825E-3</v>
      </c>
      <c r="N117" s="240">
        <v>2.9093068720033315E-3</v>
      </c>
      <c r="O117" s="240">
        <v>2.8169310412034707E-3</v>
      </c>
      <c r="P117" s="240">
        <v>2.8311535921675887E-3</v>
      </c>
      <c r="Q117" s="240">
        <v>2.7833064234137365E-3</v>
      </c>
      <c r="R117" s="240">
        <v>2.742088427988087E-3</v>
      </c>
      <c r="S117" s="240">
        <v>2.9215706656262721E-3</v>
      </c>
      <c r="T117" s="240">
        <v>2.9434470387717598E-3</v>
      </c>
      <c r="U117" s="240">
        <v>2.8970387789775754E-3</v>
      </c>
      <c r="V117" s="240">
        <v>3.0458739881812683E-3</v>
      </c>
      <c r="W117" s="240">
        <v>3.0951906675265868E-3</v>
      </c>
      <c r="X117" s="240">
        <v>3.2293573259506467E-3</v>
      </c>
      <c r="Y117" s="240">
        <v>3.3073788417354207E-3</v>
      </c>
      <c r="Z117" s="240">
        <v>3.3627652662309325E-3</v>
      </c>
      <c r="AA117" s="240">
        <v>3.4529262723160922E-3</v>
      </c>
    </row>
    <row r="118" spans="1:27" x14ac:dyDescent="0.2">
      <c r="A118" s="209" t="s">
        <v>1488</v>
      </c>
      <c r="B118" s="192"/>
      <c r="C118" s="192"/>
      <c r="D118" s="192"/>
      <c r="E118" s="192"/>
      <c r="F118" s="192"/>
      <c r="G118" s="192"/>
      <c r="H118" s="192"/>
      <c r="I118" s="192"/>
      <c r="J118" s="192"/>
      <c r="K118" s="192"/>
      <c r="L118" s="192"/>
      <c r="M118" s="192"/>
      <c r="N118" s="192"/>
      <c r="O118" s="192"/>
      <c r="P118" s="192"/>
      <c r="Q118" s="192"/>
      <c r="R118" s="192"/>
      <c r="S118" s="192"/>
      <c r="T118" s="192"/>
      <c r="U118" s="192"/>
      <c r="V118" s="192"/>
      <c r="W118" s="192"/>
      <c r="X118" s="192"/>
      <c r="Y118" s="192"/>
      <c r="Z118" s="192"/>
      <c r="AA118" s="193"/>
    </row>
    <row r="119" spans="1:27" ht="23.25" customHeight="1" x14ac:dyDescent="0.2">
      <c r="A119" s="215" t="s">
        <v>1489</v>
      </c>
      <c r="B119" s="195">
        <v>213.08111462742983</v>
      </c>
      <c r="C119" s="195">
        <v>214.49496448281505</v>
      </c>
      <c r="D119" s="195">
        <v>212.74754241064559</v>
      </c>
      <c r="E119" s="195">
        <v>199.74382747764056</v>
      </c>
      <c r="F119" s="195">
        <v>187.11605453038638</v>
      </c>
      <c r="G119" s="195">
        <v>174.86422356888306</v>
      </c>
      <c r="H119" s="195">
        <v>162.98833459313053</v>
      </c>
      <c r="I119" s="195">
        <v>151.48838760312887</v>
      </c>
      <c r="J119" s="195">
        <v>140.36438259887802</v>
      </c>
      <c r="K119" s="195">
        <v>129.61631958037805</v>
      </c>
      <c r="L119" s="195">
        <v>119.2441985476289</v>
      </c>
      <c r="M119" s="195">
        <v>109.24801950063059</v>
      </c>
      <c r="N119" s="195">
        <v>99.627782439383139</v>
      </c>
      <c r="O119" s="195">
        <v>90.383487363886545</v>
      </c>
      <c r="P119" s="195">
        <v>81.515134274140763</v>
      </c>
      <c r="Q119" s="195">
        <v>73.022723170145824</v>
      </c>
      <c r="R119" s="195">
        <v>64.90625405190174</v>
      </c>
      <c r="S119" s="195">
        <v>57.165726919408506</v>
      </c>
      <c r="T119" s="195">
        <v>49.801141772666114</v>
      </c>
      <c r="U119" s="195">
        <v>42.812498611674563</v>
      </c>
      <c r="V119" s="195">
        <v>36.199797436433862</v>
      </c>
      <c r="W119" s="195">
        <v>29.963038246944024</v>
      </c>
      <c r="X119" s="195">
        <v>21.516652690531096</v>
      </c>
      <c r="Y119" s="195">
        <v>26.569859764124242</v>
      </c>
      <c r="Z119" s="195">
        <v>27.79205213941384</v>
      </c>
      <c r="AA119" s="195">
        <v>29.576821119999973</v>
      </c>
    </row>
    <row r="120" spans="1:27" x14ac:dyDescent="0.2">
      <c r="A120" s="214" t="s">
        <v>1422</v>
      </c>
      <c r="B120" s="198" t="s">
        <v>1455</v>
      </c>
      <c r="C120" s="198" t="s">
        <v>1455</v>
      </c>
      <c r="D120" s="198" t="s">
        <v>1455</v>
      </c>
      <c r="E120" s="198" t="s">
        <v>1455</v>
      </c>
      <c r="F120" s="198" t="s">
        <v>1455</v>
      </c>
      <c r="G120" s="198" t="s">
        <v>1455</v>
      </c>
      <c r="H120" s="198" t="s">
        <v>1455</v>
      </c>
      <c r="I120" s="198" t="s">
        <v>1455</v>
      </c>
      <c r="J120" s="198" t="s">
        <v>1455</v>
      </c>
      <c r="K120" s="198" t="s">
        <v>1455</v>
      </c>
      <c r="L120" s="198" t="s">
        <v>1455</v>
      </c>
      <c r="M120" s="198" t="s">
        <v>1455</v>
      </c>
      <c r="N120" s="198" t="s">
        <v>1455</v>
      </c>
      <c r="O120" s="198" t="s">
        <v>1455</v>
      </c>
      <c r="P120" s="198" t="s">
        <v>1455</v>
      </c>
      <c r="Q120" s="198" t="s">
        <v>1455</v>
      </c>
      <c r="R120" s="198" t="s">
        <v>1455</v>
      </c>
      <c r="S120" s="198" t="s">
        <v>1455</v>
      </c>
      <c r="T120" s="198" t="s">
        <v>1455</v>
      </c>
      <c r="U120" s="198" t="s">
        <v>1455</v>
      </c>
      <c r="V120" s="198" t="s">
        <v>1455</v>
      </c>
      <c r="W120" s="198">
        <v>19.515764729472004</v>
      </c>
      <c r="X120" s="198">
        <v>10.035607359888573</v>
      </c>
      <c r="Y120" s="198">
        <v>11.931292745799675</v>
      </c>
      <c r="Z120" s="198">
        <v>12.085167591214089</v>
      </c>
      <c r="AA120" s="198">
        <v>14.630387200000008</v>
      </c>
    </row>
    <row r="121" spans="1:27" x14ac:dyDescent="0.2">
      <c r="A121" s="214" t="s">
        <v>1423</v>
      </c>
      <c r="B121" s="198" t="s">
        <v>1455</v>
      </c>
      <c r="C121" s="198" t="s">
        <v>1455</v>
      </c>
      <c r="D121" s="198" t="s">
        <v>1455</v>
      </c>
      <c r="E121" s="198" t="s">
        <v>1455</v>
      </c>
      <c r="F121" s="198" t="s">
        <v>1455</v>
      </c>
      <c r="G121" s="198" t="s">
        <v>1455</v>
      </c>
      <c r="H121" s="198" t="s">
        <v>1455</v>
      </c>
      <c r="I121" s="198" t="s">
        <v>1455</v>
      </c>
      <c r="J121" s="198" t="s">
        <v>1455</v>
      </c>
      <c r="K121" s="198" t="s">
        <v>1455</v>
      </c>
      <c r="L121" s="198" t="s">
        <v>1455</v>
      </c>
      <c r="M121" s="198" t="s">
        <v>1455</v>
      </c>
      <c r="N121" s="198" t="s">
        <v>1455</v>
      </c>
      <c r="O121" s="198" t="s">
        <v>1455</v>
      </c>
      <c r="P121" s="198" t="s">
        <v>1455</v>
      </c>
      <c r="Q121" s="198" t="s">
        <v>1455</v>
      </c>
      <c r="R121" s="198" t="s">
        <v>1455</v>
      </c>
      <c r="S121" s="198" t="s">
        <v>1455</v>
      </c>
      <c r="T121" s="198" t="s">
        <v>1455</v>
      </c>
      <c r="U121" s="198" t="s">
        <v>1455</v>
      </c>
      <c r="V121" s="198" t="s">
        <v>1455</v>
      </c>
      <c r="W121" s="198">
        <v>9.9503183184063975</v>
      </c>
      <c r="X121" s="198">
        <v>10.848351309053974</v>
      </c>
      <c r="Y121" s="198">
        <v>13.924231139315195</v>
      </c>
      <c r="Z121" s="198">
        <v>14.888672492052493</v>
      </c>
      <c r="AA121" s="198">
        <v>14.140459520000014</v>
      </c>
    </row>
    <row r="122" spans="1:27" x14ac:dyDescent="0.2">
      <c r="A122" s="214" t="s">
        <v>1421</v>
      </c>
      <c r="B122" s="198" t="s">
        <v>1455</v>
      </c>
      <c r="C122" s="198" t="s">
        <v>1455</v>
      </c>
      <c r="D122" s="198" t="s">
        <v>1455</v>
      </c>
      <c r="E122" s="198" t="s">
        <v>1455</v>
      </c>
      <c r="F122" s="198" t="s">
        <v>1455</v>
      </c>
      <c r="G122" s="198" t="s">
        <v>1455</v>
      </c>
      <c r="H122" s="198" t="s">
        <v>1455</v>
      </c>
      <c r="I122" s="198" t="s">
        <v>1455</v>
      </c>
      <c r="J122" s="198" t="s">
        <v>1455</v>
      </c>
      <c r="K122" s="198" t="s">
        <v>1455</v>
      </c>
      <c r="L122" s="198" t="s">
        <v>1455</v>
      </c>
      <c r="M122" s="198" t="s">
        <v>1455</v>
      </c>
      <c r="N122" s="198" t="s">
        <v>1455</v>
      </c>
      <c r="O122" s="198" t="s">
        <v>1455</v>
      </c>
      <c r="P122" s="198" t="s">
        <v>1455</v>
      </c>
      <c r="Q122" s="198" t="s">
        <v>1455</v>
      </c>
      <c r="R122" s="198" t="s">
        <v>1455</v>
      </c>
      <c r="S122" s="198" t="s">
        <v>1455</v>
      </c>
      <c r="T122" s="198" t="s">
        <v>1455</v>
      </c>
      <c r="U122" s="198" t="s">
        <v>1455</v>
      </c>
      <c r="V122" s="198" t="s">
        <v>1455</v>
      </c>
      <c r="W122" s="198">
        <v>0.49695519906559976</v>
      </c>
      <c r="X122" s="198">
        <v>0.6326940215885235</v>
      </c>
      <c r="Y122" s="198">
        <v>0.71433587900928064</v>
      </c>
      <c r="Z122" s="198">
        <v>0.81821205614720249</v>
      </c>
      <c r="AA122" s="198">
        <v>0.80597439999999987</v>
      </c>
    </row>
    <row r="123" spans="1:27" x14ac:dyDescent="0.2">
      <c r="A123" s="214" t="s">
        <v>1490</v>
      </c>
      <c r="B123" s="198">
        <v>44.44080369372</v>
      </c>
      <c r="C123" s="198">
        <v>46.105849972980003</v>
      </c>
      <c r="D123" s="198">
        <v>47.464752658679998</v>
      </c>
      <c r="E123" s="198">
        <v>46.881957306086228</v>
      </c>
      <c r="F123" s="198">
        <v>46.239861052188878</v>
      </c>
      <c r="G123" s="198">
        <v>45.538463896987928</v>
      </c>
      <c r="H123" s="198">
        <v>44.777765840483411</v>
      </c>
      <c r="I123" s="198">
        <v>43.957766882675301</v>
      </c>
      <c r="J123" s="198">
        <v>43.078467023563618</v>
      </c>
      <c r="K123" s="198">
        <v>42.139866263148349</v>
      </c>
      <c r="L123" s="198">
        <v>41.141964601429486</v>
      </c>
      <c r="M123" s="198">
        <v>40.084762038407042</v>
      </c>
      <c r="N123" s="198">
        <v>38.96825857408102</v>
      </c>
      <c r="O123" s="198">
        <v>37.792454208451403</v>
      </c>
      <c r="P123" s="198">
        <v>36.557348941518214</v>
      </c>
      <c r="Q123" s="198">
        <v>35.262942773281438</v>
      </c>
      <c r="R123" s="198">
        <v>33.909235703741068</v>
      </c>
      <c r="S123" s="198">
        <v>32.496227732897118</v>
      </c>
      <c r="T123" s="198">
        <v>31.023918860749589</v>
      </c>
      <c r="U123" s="198">
        <v>29.492309087298477</v>
      </c>
      <c r="V123" s="198">
        <v>27.901398412543774</v>
      </c>
      <c r="W123" s="198">
        <v>26.251186836485477</v>
      </c>
      <c r="X123" s="198">
        <v>25.994231094098783</v>
      </c>
      <c r="Y123" s="198">
        <v>30.077610380699298</v>
      </c>
      <c r="Z123" s="198">
        <v>29.364460735408002</v>
      </c>
      <c r="AA123" s="198">
        <v>22.461364046153847</v>
      </c>
    </row>
    <row r="124" spans="1:27" x14ac:dyDescent="0.2">
      <c r="A124" s="214" t="s">
        <v>1422</v>
      </c>
      <c r="B124" s="198" t="s">
        <v>1455</v>
      </c>
      <c r="C124" s="198" t="s">
        <v>1455</v>
      </c>
      <c r="D124" s="198" t="s">
        <v>1455</v>
      </c>
      <c r="E124" s="198" t="s">
        <v>1455</v>
      </c>
      <c r="F124" s="198" t="s">
        <v>1455</v>
      </c>
      <c r="G124" s="198" t="s">
        <v>1455</v>
      </c>
      <c r="H124" s="198" t="s">
        <v>1455</v>
      </c>
      <c r="I124" s="198" t="s">
        <v>1455</v>
      </c>
      <c r="J124" s="198" t="s">
        <v>1455</v>
      </c>
      <c r="K124" s="198" t="s">
        <v>1455</v>
      </c>
      <c r="L124" s="198" t="s">
        <v>1455</v>
      </c>
      <c r="M124" s="198" t="s">
        <v>1455</v>
      </c>
      <c r="N124" s="198" t="s">
        <v>1455</v>
      </c>
      <c r="O124" s="198" t="s">
        <v>1455</v>
      </c>
      <c r="P124" s="198" t="s">
        <v>1455</v>
      </c>
      <c r="Q124" s="198" t="s">
        <v>1455</v>
      </c>
      <c r="R124" s="198" t="s">
        <v>1455</v>
      </c>
      <c r="S124" s="198" t="s">
        <v>1455</v>
      </c>
      <c r="T124" s="198" t="s">
        <v>1455</v>
      </c>
      <c r="U124" s="198" t="s">
        <v>1455</v>
      </c>
      <c r="V124" s="198" t="s">
        <v>1455</v>
      </c>
      <c r="W124" s="198">
        <v>22.686955806609181</v>
      </c>
      <c r="X124" s="198">
        <v>21.731578627285923</v>
      </c>
      <c r="Y124" s="198">
        <v>24.951792493275612</v>
      </c>
      <c r="Z124" s="198">
        <v>23.88201516809362</v>
      </c>
      <c r="AA124" s="198">
        <v>16.20822678461538</v>
      </c>
    </row>
    <row r="125" spans="1:27" x14ac:dyDescent="0.2">
      <c r="A125" s="214" t="s">
        <v>1423</v>
      </c>
      <c r="B125" s="198" t="s">
        <v>1455</v>
      </c>
      <c r="C125" s="198" t="s">
        <v>1455</v>
      </c>
      <c r="D125" s="198" t="s">
        <v>1455</v>
      </c>
      <c r="E125" s="198" t="s">
        <v>1455</v>
      </c>
      <c r="F125" s="198" t="s">
        <v>1455</v>
      </c>
      <c r="G125" s="198" t="s">
        <v>1455</v>
      </c>
      <c r="H125" s="198" t="s">
        <v>1455</v>
      </c>
      <c r="I125" s="198" t="s">
        <v>1455</v>
      </c>
      <c r="J125" s="198" t="s">
        <v>1455</v>
      </c>
      <c r="K125" s="198" t="s">
        <v>1455</v>
      </c>
      <c r="L125" s="198" t="s">
        <v>1455</v>
      </c>
      <c r="M125" s="198" t="s">
        <v>1455</v>
      </c>
      <c r="N125" s="198" t="s">
        <v>1455</v>
      </c>
      <c r="O125" s="198" t="s">
        <v>1455</v>
      </c>
      <c r="P125" s="198" t="s">
        <v>1455</v>
      </c>
      <c r="Q125" s="198" t="s">
        <v>1455</v>
      </c>
      <c r="R125" s="198" t="s">
        <v>1455</v>
      </c>
      <c r="S125" s="198" t="s">
        <v>1455</v>
      </c>
      <c r="T125" s="198" t="s">
        <v>1455</v>
      </c>
      <c r="U125" s="198" t="s">
        <v>1455</v>
      </c>
      <c r="V125" s="198" t="s">
        <v>1455</v>
      </c>
      <c r="W125" s="198">
        <v>3.2123395442611913</v>
      </c>
      <c r="X125" s="198">
        <v>3.8328584644835506</v>
      </c>
      <c r="Y125" s="198">
        <v>4.5277089392069021</v>
      </c>
      <c r="Z125" s="198">
        <v>5.0201251732305181</v>
      </c>
      <c r="AA125" s="198">
        <v>5.8440083692307701</v>
      </c>
    </row>
    <row r="126" spans="1:27" x14ac:dyDescent="0.2">
      <c r="A126" s="208" t="s">
        <v>1421</v>
      </c>
      <c r="B126" s="197" t="s">
        <v>1455</v>
      </c>
      <c r="C126" s="197" t="s">
        <v>1455</v>
      </c>
      <c r="D126" s="197" t="s">
        <v>1455</v>
      </c>
      <c r="E126" s="197" t="s">
        <v>1455</v>
      </c>
      <c r="F126" s="197" t="s">
        <v>1455</v>
      </c>
      <c r="G126" s="197" t="s">
        <v>1455</v>
      </c>
      <c r="H126" s="197" t="s">
        <v>1455</v>
      </c>
      <c r="I126" s="197" t="s">
        <v>1455</v>
      </c>
      <c r="J126" s="197" t="s">
        <v>1455</v>
      </c>
      <c r="K126" s="197" t="s">
        <v>1455</v>
      </c>
      <c r="L126" s="197" t="s">
        <v>1455</v>
      </c>
      <c r="M126" s="197" t="s">
        <v>1455</v>
      </c>
      <c r="N126" s="197" t="s">
        <v>1455</v>
      </c>
      <c r="O126" s="197" t="s">
        <v>1455</v>
      </c>
      <c r="P126" s="197" t="s">
        <v>1455</v>
      </c>
      <c r="Q126" s="197" t="s">
        <v>1455</v>
      </c>
      <c r="R126" s="197" t="s">
        <v>1455</v>
      </c>
      <c r="S126" s="197" t="s">
        <v>1455</v>
      </c>
      <c r="T126" s="197" t="s">
        <v>1455</v>
      </c>
      <c r="U126" s="197" t="s">
        <v>1455</v>
      </c>
      <c r="V126" s="197" t="s">
        <v>1455</v>
      </c>
      <c r="W126" s="197">
        <v>0.35189148561510697</v>
      </c>
      <c r="X126" s="197">
        <v>0.42979400232930465</v>
      </c>
      <c r="Y126" s="197">
        <v>0.59810894821678429</v>
      </c>
      <c r="Z126" s="197">
        <v>0.46232039408385184</v>
      </c>
      <c r="AA126" s="197">
        <v>0.40912889230769245</v>
      </c>
    </row>
    <row r="127" spans="1:27" x14ac:dyDescent="0.2">
      <c r="A127" s="209" t="s">
        <v>1491</v>
      </c>
      <c r="B127" s="192"/>
      <c r="C127" s="192"/>
      <c r="D127" s="192"/>
      <c r="E127" s="192"/>
      <c r="F127" s="192"/>
      <c r="G127" s="192"/>
      <c r="H127" s="192"/>
      <c r="I127" s="192"/>
      <c r="J127" s="192"/>
      <c r="K127" s="192"/>
      <c r="L127" s="192"/>
      <c r="M127" s="192"/>
      <c r="N127" s="192"/>
      <c r="O127" s="192"/>
      <c r="P127" s="192"/>
      <c r="Q127" s="192"/>
      <c r="R127" s="192"/>
      <c r="S127" s="192"/>
      <c r="T127" s="192"/>
      <c r="U127" s="192"/>
      <c r="V127" s="192"/>
      <c r="W127" s="192"/>
      <c r="X127" s="192"/>
      <c r="Y127" s="192"/>
      <c r="Z127" s="192"/>
      <c r="AA127" s="193"/>
    </row>
    <row r="128" spans="1:27" x14ac:dyDescent="0.2">
      <c r="A128" s="219" t="s">
        <v>1492</v>
      </c>
      <c r="B128" s="220">
        <v>177.95134957499999</v>
      </c>
      <c r="C128" s="220">
        <v>179.13210409799999</v>
      </c>
      <c r="D128" s="220">
        <v>177.67277197199999</v>
      </c>
      <c r="E128" s="220">
        <v>178.76696627699997</v>
      </c>
      <c r="F128" s="220">
        <v>183.81549955499997</v>
      </c>
      <c r="G128" s="220">
        <v>181.01265531299995</v>
      </c>
      <c r="H128" s="220">
        <v>173.53007308799997</v>
      </c>
      <c r="I128" s="220">
        <v>179.44177023</v>
      </c>
      <c r="J128" s="220">
        <v>184.52504951099999</v>
      </c>
      <c r="K128" s="220">
        <v>180.47134916099998</v>
      </c>
      <c r="L128" s="220">
        <v>182.23790910299999</v>
      </c>
      <c r="M128" s="220">
        <v>176.774252526</v>
      </c>
      <c r="N128" s="220">
        <v>184.70182742099999</v>
      </c>
      <c r="O128" s="220">
        <v>183.78380144699997</v>
      </c>
      <c r="P128" s="220">
        <v>184.70304657899999</v>
      </c>
      <c r="Q128" s="220">
        <v>183.15898297199996</v>
      </c>
      <c r="R128" s="220">
        <v>183.07120359599998</v>
      </c>
      <c r="S128" s="220">
        <v>183.523511214</v>
      </c>
      <c r="T128" s="220">
        <v>184.81277079899999</v>
      </c>
      <c r="U128" s="220">
        <v>185.66130476699996</v>
      </c>
      <c r="V128" s="220">
        <v>185.80272709499997</v>
      </c>
      <c r="W128" s="220">
        <v>185.95634100299998</v>
      </c>
      <c r="X128" s="220">
        <v>184.91030343900002</v>
      </c>
      <c r="Y128" s="220">
        <v>184.59697983299995</v>
      </c>
      <c r="Z128" s="220">
        <v>183.99166788599999</v>
      </c>
      <c r="AA128" s="220">
        <v>183.63994080299997</v>
      </c>
    </row>
    <row r="129" spans="1:27" x14ac:dyDescent="0.2">
      <c r="A129" s="209" t="s">
        <v>1493</v>
      </c>
      <c r="B129" s="192"/>
      <c r="C129" s="192"/>
      <c r="D129" s="192"/>
      <c r="E129" s="192"/>
      <c r="F129" s="192"/>
      <c r="G129" s="192"/>
      <c r="H129" s="192"/>
      <c r="I129" s="192"/>
      <c r="J129" s="192"/>
      <c r="K129" s="192"/>
      <c r="L129" s="192"/>
      <c r="M129" s="192"/>
      <c r="N129" s="192"/>
      <c r="O129" s="192"/>
      <c r="P129" s="192"/>
      <c r="Q129" s="192"/>
      <c r="R129" s="192"/>
      <c r="S129" s="192"/>
      <c r="T129" s="192"/>
      <c r="U129" s="192"/>
      <c r="V129" s="192"/>
      <c r="W129" s="192"/>
      <c r="X129" s="192"/>
      <c r="Y129" s="192"/>
      <c r="Z129" s="192"/>
      <c r="AA129" s="193"/>
    </row>
    <row r="130" spans="1:27" ht="11.25" customHeight="1" x14ac:dyDescent="0.2">
      <c r="A130" s="215" t="s">
        <v>1494</v>
      </c>
      <c r="B130" s="195">
        <v>145.48375913079406</v>
      </c>
      <c r="C130" s="195">
        <v>146.44908255782616</v>
      </c>
      <c r="D130" s="195">
        <v>145.25600858554176</v>
      </c>
      <c r="E130" s="195">
        <v>144.15904053013432</v>
      </c>
      <c r="F130" s="195">
        <v>143.06207247472682</v>
      </c>
      <c r="G130" s="195">
        <v>141.96510441931937</v>
      </c>
      <c r="H130" s="195">
        <v>140.8681363639119</v>
      </c>
      <c r="I130" s="195">
        <v>139.77116830850446</v>
      </c>
      <c r="J130" s="195">
        <v>138.67420025309696</v>
      </c>
      <c r="K130" s="195">
        <v>137.57723219768951</v>
      </c>
      <c r="L130" s="195">
        <v>136.48026414228204</v>
      </c>
      <c r="M130" s="195">
        <v>135.38329608687459</v>
      </c>
      <c r="N130" s="195">
        <v>134.28632803146712</v>
      </c>
      <c r="O130" s="195">
        <v>133.18935997605965</v>
      </c>
      <c r="P130" s="195">
        <v>132.09239192065218</v>
      </c>
      <c r="Q130" s="195">
        <v>130.99542386524473</v>
      </c>
      <c r="R130" s="195">
        <v>129.89845580983726</v>
      </c>
      <c r="S130" s="195">
        <v>128.80148775442979</v>
      </c>
      <c r="T130" s="195">
        <v>127.70451969902231</v>
      </c>
      <c r="U130" s="195">
        <v>126.60755164361485</v>
      </c>
      <c r="V130" s="195">
        <v>125.51058358820738</v>
      </c>
      <c r="W130" s="195">
        <v>124.41361553280001</v>
      </c>
      <c r="X130" s="195">
        <v>133.23553758</v>
      </c>
      <c r="Y130" s="195">
        <v>143.91788780160002</v>
      </c>
      <c r="Z130" s="195">
        <v>154.26106248960002</v>
      </c>
      <c r="AA130" s="195">
        <v>153.96554321279999</v>
      </c>
    </row>
    <row r="131" spans="1:27" x14ac:dyDescent="0.2">
      <c r="A131" s="208" t="s">
        <v>1495</v>
      </c>
      <c r="B131" s="197">
        <v>30.342200661273939</v>
      </c>
      <c r="C131" s="197">
        <v>31.477686347520379</v>
      </c>
      <c r="D131" s="197">
        <v>32.406375239999996</v>
      </c>
      <c r="E131" s="197">
        <v>32.126419806230764</v>
      </c>
      <c r="F131" s="197">
        <v>31.846464372461533</v>
      </c>
      <c r="G131" s="197">
        <v>31.566508938692301</v>
      </c>
      <c r="H131" s="197">
        <v>31.28655350492307</v>
      </c>
      <c r="I131" s="197">
        <v>31.006598071153835</v>
      </c>
      <c r="J131" s="197">
        <v>30.726642637384604</v>
      </c>
      <c r="K131" s="197">
        <v>30.446687203615372</v>
      </c>
      <c r="L131" s="197">
        <v>30.166731769846141</v>
      </c>
      <c r="M131" s="197">
        <v>29.88677633607691</v>
      </c>
      <c r="N131" s="197">
        <v>29.606820902307675</v>
      </c>
      <c r="O131" s="197">
        <v>29.326865468538443</v>
      </c>
      <c r="P131" s="197">
        <v>29.046910034769212</v>
      </c>
      <c r="Q131" s="197">
        <v>28.766954600999998</v>
      </c>
      <c r="R131" s="197">
        <v>28.991112688799998</v>
      </c>
      <c r="S131" s="197">
        <v>28.766954600999998</v>
      </c>
      <c r="T131" s="197">
        <v>29.364709501799997</v>
      </c>
      <c r="U131" s="197">
        <v>29.4394288644</v>
      </c>
      <c r="V131" s="197">
        <v>29.514148226999996</v>
      </c>
      <c r="W131" s="197">
        <v>29.738306314800003</v>
      </c>
      <c r="X131" s="197">
        <v>29.738306314800003</v>
      </c>
      <c r="Y131" s="197">
        <v>29.887745039999999</v>
      </c>
      <c r="Z131" s="197">
        <v>29.887745039999999</v>
      </c>
      <c r="AA131" s="197">
        <v>29.2899901392</v>
      </c>
    </row>
    <row r="132" spans="1:27" x14ac:dyDescent="0.2">
      <c r="A132" s="221" t="s">
        <v>1496</v>
      </c>
      <c r="B132" s="222"/>
      <c r="C132" s="222"/>
      <c r="D132" s="222"/>
      <c r="E132" s="222"/>
      <c r="F132" s="222"/>
      <c r="G132" s="222"/>
      <c r="H132" s="222"/>
      <c r="I132" s="222"/>
      <c r="J132" s="222"/>
      <c r="K132" s="222"/>
      <c r="L132" s="222"/>
      <c r="M132" s="222"/>
      <c r="N132" s="222"/>
      <c r="O132" s="222"/>
      <c r="P132" s="222"/>
      <c r="Q132" s="222"/>
      <c r="R132" s="222"/>
      <c r="S132" s="222"/>
      <c r="T132" s="222"/>
      <c r="U132" s="222"/>
      <c r="V132" s="222"/>
      <c r="W132" s="222"/>
      <c r="X132" s="222"/>
      <c r="Y132" s="222"/>
      <c r="Z132" s="222"/>
      <c r="AA132" s="223"/>
    </row>
    <row r="133" spans="1:27" x14ac:dyDescent="0.2">
      <c r="A133" s="215" t="s">
        <v>1497</v>
      </c>
      <c r="B133" s="195">
        <v>9.2397590858029091</v>
      </c>
      <c r="C133" s="195">
        <v>9.3461433166194539</v>
      </c>
      <c r="D133" s="195">
        <v>9.4525275474360004</v>
      </c>
      <c r="E133" s="195">
        <v>9.5589117782525452</v>
      </c>
      <c r="F133" s="195">
        <v>9.66529600906909</v>
      </c>
      <c r="G133" s="195">
        <v>9.7716802398856384</v>
      </c>
      <c r="H133" s="195">
        <v>9.8780644707021796</v>
      </c>
      <c r="I133" s="195">
        <v>9.9844487015187298</v>
      </c>
      <c r="J133" s="195">
        <v>10.090832932335271</v>
      </c>
      <c r="K133" s="195">
        <v>10.197217163151819</v>
      </c>
      <c r="L133" s="195">
        <v>10.303601393968364</v>
      </c>
      <c r="M133" s="195">
        <v>10.409985624784911</v>
      </c>
      <c r="N133" s="195">
        <v>10.516369855601457</v>
      </c>
      <c r="O133" s="195">
        <v>10.622754086418</v>
      </c>
      <c r="P133" s="195">
        <v>10.622754086418</v>
      </c>
      <c r="Q133" s="195">
        <v>10.622754086418</v>
      </c>
      <c r="R133" s="195">
        <v>10.622754086418</v>
      </c>
      <c r="S133" s="195">
        <v>10.622754086418</v>
      </c>
      <c r="T133" s="195">
        <v>10.622754086418</v>
      </c>
      <c r="U133" s="195">
        <v>10.622754086418</v>
      </c>
      <c r="V133" s="195">
        <v>10.622754086418</v>
      </c>
      <c r="W133" s="195">
        <v>10.622754086418</v>
      </c>
      <c r="X133" s="195">
        <v>10.622754086418</v>
      </c>
      <c r="Y133" s="195">
        <v>10.622754086418</v>
      </c>
      <c r="Z133" s="195">
        <v>10.622754086418</v>
      </c>
      <c r="AA133" s="195">
        <v>10.622754086418</v>
      </c>
    </row>
    <row r="134" spans="1:27" x14ac:dyDescent="0.2">
      <c r="A134" s="214" t="s">
        <v>1498</v>
      </c>
      <c r="B134" s="198">
        <v>34.497564073576363</v>
      </c>
      <c r="C134" s="198">
        <v>34.932098297438195</v>
      </c>
      <c r="D134" s="198">
        <v>35.366632521300012</v>
      </c>
      <c r="E134" s="198">
        <v>35.801166745161815</v>
      </c>
      <c r="F134" s="198">
        <v>36.23570096902364</v>
      </c>
      <c r="G134" s="198">
        <v>36.670235192885464</v>
      </c>
      <c r="H134" s="198">
        <v>37.104769416747274</v>
      </c>
      <c r="I134" s="198">
        <v>37.539303640609099</v>
      </c>
      <c r="J134" s="198">
        <v>37.973837864470909</v>
      </c>
      <c r="K134" s="198">
        <v>38.408372088332726</v>
      </c>
      <c r="L134" s="198">
        <v>38.84290631219455</v>
      </c>
      <c r="M134" s="198">
        <v>39.277440536056368</v>
      </c>
      <c r="N134" s="198">
        <v>39.711974759918178</v>
      </c>
      <c r="O134" s="198">
        <v>40.146508983780009</v>
      </c>
      <c r="P134" s="198">
        <v>40.146508983780009</v>
      </c>
      <c r="Q134" s="198">
        <v>40.146508983780009</v>
      </c>
      <c r="R134" s="198">
        <v>40.146508983780009</v>
      </c>
      <c r="S134" s="198">
        <v>40.146508983780009</v>
      </c>
      <c r="T134" s="198">
        <v>40.146508983780009</v>
      </c>
      <c r="U134" s="198">
        <v>40.146508983780009</v>
      </c>
      <c r="V134" s="198">
        <v>40.146508983780009</v>
      </c>
      <c r="W134" s="198">
        <v>40.146508983780009</v>
      </c>
      <c r="X134" s="198">
        <v>40.146508983780009</v>
      </c>
      <c r="Y134" s="198">
        <v>40.146508983780009</v>
      </c>
      <c r="Z134" s="198">
        <v>40.146508983780009</v>
      </c>
      <c r="AA134" s="198">
        <v>40.146508983780009</v>
      </c>
    </row>
    <row r="135" spans="1:27" x14ac:dyDescent="0.2">
      <c r="A135" s="208" t="s">
        <v>1499</v>
      </c>
      <c r="B135" s="197">
        <v>11.784735798909546</v>
      </c>
      <c r="C135" s="197">
        <v>11.937137256642274</v>
      </c>
      <c r="D135" s="197">
        <v>12.089538714375003</v>
      </c>
      <c r="E135" s="197">
        <v>12.241940172107727</v>
      </c>
      <c r="F135" s="197">
        <v>12.394341629840456</v>
      </c>
      <c r="G135" s="197">
        <v>12.546743087573182</v>
      </c>
      <c r="H135" s="197">
        <v>12.699144545305911</v>
      </c>
      <c r="I135" s="197">
        <v>12.851546003038637</v>
      </c>
      <c r="J135" s="197">
        <v>13.003947460771366</v>
      </c>
      <c r="K135" s="197">
        <v>13.156348918504092</v>
      </c>
      <c r="L135" s="197">
        <v>13.308750376236818</v>
      </c>
      <c r="M135" s="197">
        <v>13.461151833969549</v>
      </c>
      <c r="N135" s="197">
        <v>13.613553291702274</v>
      </c>
      <c r="O135" s="197">
        <v>13.765954749435002</v>
      </c>
      <c r="P135" s="197">
        <v>13.765954749435002</v>
      </c>
      <c r="Q135" s="197">
        <v>13.765954749435002</v>
      </c>
      <c r="R135" s="197">
        <v>13.765954749435002</v>
      </c>
      <c r="S135" s="197">
        <v>13.765954749435002</v>
      </c>
      <c r="T135" s="197">
        <v>13.765954749435002</v>
      </c>
      <c r="U135" s="197">
        <v>13.765954749435002</v>
      </c>
      <c r="V135" s="197">
        <v>13.765954749435002</v>
      </c>
      <c r="W135" s="197">
        <v>13.765954749435002</v>
      </c>
      <c r="X135" s="197">
        <v>13.765954749435002</v>
      </c>
      <c r="Y135" s="197">
        <v>13.765954749435002</v>
      </c>
      <c r="Z135" s="197">
        <v>13.765954749435002</v>
      </c>
      <c r="AA135" s="197">
        <v>13.765954749435002</v>
      </c>
    </row>
    <row r="136" spans="1:27" x14ac:dyDescent="0.2">
      <c r="A136" s="209" t="s">
        <v>1500</v>
      </c>
      <c r="B136" s="192"/>
      <c r="C136" s="192"/>
      <c r="D136" s="192"/>
      <c r="E136" s="192"/>
      <c r="F136" s="192"/>
      <c r="G136" s="192"/>
      <c r="H136" s="192"/>
      <c r="I136" s="192"/>
      <c r="J136" s="192"/>
      <c r="K136" s="192"/>
      <c r="L136" s="192"/>
      <c r="M136" s="192"/>
      <c r="N136" s="192"/>
      <c r="O136" s="192"/>
      <c r="P136" s="192"/>
      <c r="Q136" s="192"/>
      <c r="R136" s="192"/>
      <c r="S136" s="192"/>
      <c r="T136" s="192"/>
      <c r="U136" s="192"/>
      <c r="V136" s="192"/>
      <c r="W136" s="192"/>
      <c r="X136" s="192"/>
      <c r="Y136" s="192"/>
      <c r="Z136" s="192"/>
      <c r="AA136" s="193"/>
    </row>
    <row r="137" spans="1:27" x14ac:dyDescent="0.2">
      <c r="A137" s="215" t="s">
        <v>1501</v>
      </c>
      <c r="B137" s="195">
        <v>2.5930788732692731</v>
      </c>
      <c r="C137" s="195">
        <v>2.599589168442856</v>
      </c>
      <c r="D137" s="195">
        <v>2.6060994636164381</v>
      </c>
      <c r="E137" s="195">
        <v>2.6126097587900214</v>
      </c>
      <c r="F137" s="195">
        <v>2.6191200539636039</v>
      </c>
      <c r="G137" s="195">
        <v>2.6256303491371873</v>
      </c>
      <c r="H137" s="195">
        <v>2.6321406443107707</v>
      </c>
      <c r="I137" s="195">
        <v>2.6386509394843527</v>
      </c>
      <c r="J137" s="195">
        <v>2.6451612346579365</v>
      </c>
      <c r="K137" s="195">
        <v>2.6516715298315194</v>
      </c>
      <c r="L137" s="195">
        <v>2.6581818250051028</v>
      </c>
      <c r="M137" s="195">
        <v>2.6646921201786848</v>
      </c>
      <c r="N137" s="195">
        <v>2.6712024153522669</v>
      </c>
      <c r="O137" s="195">
        <v>2.6777127105258507</v>
      </c>
      <c r="P137" s="195">
        <v>2.6777127105258507</v>
      </c>
      <c r="Q137" s="195">
        <v>2.6777127105258507</v>
      </c>
      <c r="R137" s="195">
        <v>2.6777127105258507</v>
      </c>
      <c r="S137" s="195">
        <v>2.6777127105258507</v>
      </c>
      <c r="T137" s="195">
        <v>2.6777127105258507</v>
      </c>
      <c r="U137" s="195">
        <v>2.6777127105258507</v>
      </c>
      <c r="V137" s="195">
        <v>2.6777127105258507</v>
      </c>
      <c r="W137" s="195">
        <v>2.6777127105258507</v>
      </c>
      <c r="X137" s="195">
        <v>2.6777127105258507</v>
      </c>
      <c r="Y137" s="195">
        <v>2.6777127105258507</v>
      </c>
      <c r="Z137" s="195">
        <v>2.6777127105258507</v>
      </c>
      <c r="AA137" s="195">
        <v>2.6777127105258507</v>
      </c>
    </row>
    <row r="138" spans="1:27" x14ac:dyDescent="0.2">
      <c r="A138" s="214" t="s">
        <v>1502</v>
      </c>
      <c r="B138" s="217">
        <v>1.2032355138940267E-2</v>
      </c>
      <c r="C138" s="217">
        <v>1.2062564086456437E-2</v>
      </c>
      <c r="D138" s="217">
        <v>1.2092773033972604E-2</v>
      </c>
      <c r="E138" s="217">
        <v>1.2122981981488774E-2</v>
      </c>
      <c r="F138" s="217">
        <v>1.2153190929004942E-2</v>
      </c>
      <c r="G138" s="217">
        <v>1.218339987652111E-2</v>
      </c>
      <c r="H138" s="217">
        <v>1.2213608824037282E-2</v>
      </c>
      <c r="I138" s="217">
        <v>1.224381777155345E-2</v>
      </c>
      <c r="J138" s="217">
        <v>1.227402671906962E-2</v>
      </c>
      <c r="K138" s="217">
        <v>1.230423566658579E-2</v>
      </c>
      <c r="L138" s="217">
        <v>1.233444461410196E-2</v>
      </c>
      <c r="M138" s="217">
        <v>1.2364653561618128E-2</v>
      </c>
      <c r="N138" s="217">
        <v>1.2394862509134293E-2</v>
      </c>
      <c r="O138" s="217">
        <v>1.2425071456650465E-2</v>
      </c>
      <c r="P138" s="217">
        <v>1.2425071456650465E-2</v>
      </c>
      <c r="Q138" s="217">
        <v>1.2425071456650465E-2</v>
      </c>
      <c r="R138" s="217">
        <v>1.2425071456650465E-2</v>
      </c>
      <c r="S138" s="217">
        <v>1.2425071456650465E-2</v>
      </c>
      <c r="T138" s="217">
        <v>1.2425071456650465E-2</v>
      </c>
      <c r="U138" s="217">
        <v>1.2425071456650465E-2</v>
      </c>
      <c r="V138" s="217">
        <v>1.2425071456650465E-2</v>
      </c>
      <c r="W138" s="217">
        <v>1.2425071456650465E-2</v>
      </c>
      <c r="X138" s="217">
        <v>1.2425071456650465E-2</v>
      </c>
      <c r="Y138" s="217">
        <v>1.2425071456650465E-2</v>
      </c>
      <c r="Z138" s="217">
        <v>1.2425071456650465E-2</v>
      </c>
      <c r="AA138" s="217">
        <v>1.2425071456650465E-2</v>
      </c>
    </row>
    <row r="139" spans="1:27" x14ac:dyDescent="0.2">
      <c r="A139" s="208" t="s">
        <v>1503</v>
      </c>
      <c r="B139" s="197">
        <v>5.1306786837818183</v>
      </c>
      <c r="C139" s="197">
        <v>5.1897520102909089</v>
      </c>
      <c r="D139" s="197">
        <v>5.2488253367999995</v>
      </c>
      <c r="E139" s="197">
        <v>5.3078986633090901</v>
      </c>
      <c r="F139" s="197">
        <v>5.3669719898181807</v>
      </c>
      <c r="G139" s="197">
        <v>5.426045316327273</v>
      </c>
      <c r="H139" s="197">
        <v>5.4851186428363636</v>
      </c>
      <c r="I139" s="197">
        <v>5.5441919693454551</v>
      </c>
      <c r="J139" s="197">
        <v>5.6032652958545448</v>
      </c>
      <c r="K139" s="197">
        <v>5.6623386223636363</v>
      </c>
      <c r="L139" s="197">
        <v>5.721411948872726</v>
      </c>
      <c r="M139" s="197">
        <v>5.7804852753818183</v>
      </c>
      <c r="N139" s="197">
        <v>5.8395586018909089</v>
      </c>
      <c r="O139" s="197">
        <v>5.8986319284000004</v>
      </c>
      <c r="P139" s="197">
        <v>5.8986319284000004</v>
      </c>
      <c r="Q139" s="197">
        <v>5.8986319284000004</v>
      </c>
      <c r="R139" s="197">
        <v>5.8986319284000004</v>
      </c>
      <c r="S139" s="197">
        <v>5.8986319284000004</v>
      </c>
      <c r="T139" s="197">
        <v>5.8986319284000004</v>
      </c>
      <c r="U139" s="197">
        <v>5.8986319284000004</v>
      </c>
      <c r="V139" s="197">
        <v>5.8986319284000004</v>
      </c>
      <c r="W139" s="197">
        <v>5.8986319284000004</v>
      </c>
      <c r="X139" s="197">
        <v>5.8986319284000004</v>
      </c>
      <c r="Y139" s="197">
        <v>5.8986319284000004</v>
      </c>
      <c r="Z139" s="197">
        <v>5.8986319284000004</v>
      </c>
      <c r="AA139" s="197">
        <v>5.8986319284000004</v>
      </c>
    </row>
    <row r="140" spans="1:27" x14ac:dyDescent="0.2">
      <c r="A140" s="221" t="s">
        <v>1504</v>
      </c>
      <c r="B140" s="222"/>
      <c r="C140" s="222"/>
      <c r="D140" s="222"/>
      <c r="E140" s="222"/>
      <c r="F140" s="222"/>
      <c r="G140" s="222"/>
      <c r="H140" s="222"/>
      <c r="I140" s="222"/>
      <c r="J140" s="222"/>
      <c r="K140" s="222"/>
      <c r="L140" s="222"/>
      <c r="M140" s="222"/>
      <c r="N140" s="222"/>
      <c r="O140" s="222"/>
      <c r="P140" s="222"/>
      <c r="Q140" s="222"/>
      <c r="R140" s="222"/>
      <c r="S140" s="222"/>
      <c r="T140" s="222"/>
      <c r="U140" s="222"/>
      <c r="V140" s="222"/>
      <c r="W140" s="222"/>
      <c r="X140" s="222"/>
      <c r="Y140" s="222"/>
      <c r="Z140" s="222"/>
      <c r="AA140" s="223"/>
    </row>
    <row r="141" spans="1:27" x14ac:dyDescent="0.2">
      <c r="A141" s="215" t="s">
        <v>1497</v>
      </c>
      <c r="B141" s="195">
        <v>0.21166888302</v>
      </c>
      <c r="C141" s="195">
        <v>0.21166888302</v>
      </c>
      <c r="D141" s="195">
        <v>0.21166888302</v>
      </c>
      <c r="E141" s="195">
        <v>0.21166888302</v>
      </c>
      <c r="F141" s="195">
        <v>0.21166888302</v>
      </c>
      <c r="G141" s="195">
        <v>0.21166888302</v>
      </c>
      <c r="H141" s="195">
        <v>0.21166888302</v>
      </c>
      <c r="I141" s="195">
        <v>0.21166888302</v>
      </c>
      <c r="J141" s="195">
        <v>0.21166888302</v>
      </c>
      <c r="K141" s="195">
        <v>0.21166888302</v>
      </c>
      <c r="L141" s="195">
        <v>0.21166888302</v>
      </c>
      <c r="M141" s="195">
        <v>0.31750332452999991</v>
      </c>
      <c r="N141" s="195">
        <v>0.31750332452999991</v>
      </c>
      <c r="O141" s="195">
        <v>0.42333776604000001</v>
      </c>
      <c r="P141" s="195">
        <v>0.42333776604000001</v>
      </c>
      <c r="Q141" s="195">
        <v>0.42333776604000001</v>
      </c>
      <c r="R141" s="195">
        <v>0.42333776604000001</v>
      </c>
      <c r="S141" s="195">
        <v>0.42333776604000001</v>
      </c>
      <c r="T141" s="195">
        <v>1.0583444151000001</v>
      </c>
      <c r="U141" s="195">
        <v>1.16417885661</v>
      </c>
      <c r="V141" s="195">
        <v>1.16417885661</v>
      </c>
      <c r="W141" s="195">
        <v>1.16417885661</v>
      </c>
      <c r="X141" s="195">
        <v>1.16417885661</v>
      </c>
      <c r="Y141" s="195">
        <v>1.16417885661</v>
      </c>
      <c r="Z141" s="195">
        <v>1.16417885661</v>
      </c>
      <c r="AA141" s="195">
        <v>1.16417885661</v>
      </c>
    </row>
    <row r="142" spans="1:27" x14ac:dyDescent="0.2">
      <c r="A142" s="214" t="s">
        <v>1498</v>
      </c>
      <c r="B142" s="198">
        <v>1.0094149051200001</v>
      </c>
      <c r="C142" s="198">
        <v>1.0094149051200001</v>
      </c>
      <c r="D142" s="198">
        <v>1.0094149051200001</v>
      </c>
      <c r="E142" s="198">
        <v>1.0094149051200001</v>
      </c>
      <c r="F142" s="198">
        <v>1.0094149051200001</v>
      </c>
      <c r="G142" s="198">
        <v>1.0094149051200001</v>
      </c>
      <c r="H142" s="198">
        <v>1.0094149051200001</v>
      </c>
      <c r="I142" s="198">
        <v>1.0094149051200001</v>
      </c>
      <c r="J142" s="198">
        <v>1.0094149051200001</v>
      </c>
      <c r="K142" s="198">
        <v>1.0094149051200001</v>
      </c>
      <c r="L142" s="198">
        <v>1.0094149051200001</v>
      </c>
      <c r="M142" s="198">
        <v>1.51412235768</v>
      </c>
      <c r="N142" s="198">
        <v>1.51412235768</v>
      </c>
      <c r="O142" s="198">
        <v>2.0188298102400002</v>
      </c>
      <c r="P142" s="198">
        <v>2.0188298102400002</v>
      </c>
      <c r="Q142" s="198">
        <v>2.0188298102400002</v>
      </c>
      <c r="R142" s="198">
        <v>2.0188298102400002</v>
      </c>
      <c r="S142" s="198">
        <v>2.0188298102400002</v>
      </c>
      <c r="T142" s="198">
        <v>5.0470745256000002</v>
      </c>
      <c r="U142" s="198">
        <v>5.5517819781600011</v>
      </c>
      <c r="V142" s="198">
        <v>5.5517819781600011</v>
      </c>
      <c r="W142" s="198">
        <v>5.5517819781600011</v>
      </c>
      <c r="X142" s="198">
        <v>5.5517819781600011</v>
      </c>
      <c r="Y142" s="198">
        <v>5.5517819781600011</v>
      </c>
      <c r="Z142" s="198">
        <v>5.5517819781600011</v>
      </c>
      <c r="AA142" s="198">
        <v>5.5517819781600011</v>
      </c>
    </row>
    <row r="143" spans="1:27" x14ac:dyDescent="0.2">
      <c r="A143" s="208" t="s">
        <v>1499</v>
      </c>
      <c r="B143" s="197">
        <v>0.25791015924000005</v>
      </c>
      <c r="C143" s="197">
        <v>0.25791015924000005</v>
      </c>
      <c r="D143" s="197">
        <v>0.25791015924000005</v>
      </c>
      <c r="E143" s="197">
        <v>0.25791015924000005</v>
      </c>
      <c r="F143" s="197">
        <v>0.25791015924000005</v>
      </c>
      <c r="G143" s="197">
        <v>0.25791015924000005</v>
      </c>
      <c r="H143" s="197">
        <v>0.25791015924000005</v>
      </c>
      <c r="I143" s="197">
        <v>0.25791015924000005</v>
      </c>
      <c r="J143" s="197">
        <v>0.25791015924000005</v>
      </c>
      <c r="K143" s="197">
        <v>0.25791015924000005</v>
      </c>
      <c r="L143" s="197">
        <v>0.25791015924000005</v>
      </c>
      <c r="M143" s="197">
        <v>0.38686523886000002</v>
      </c>
      <c r="N143" s="197">
        <v>0.38686523886000002</v>
      </c>
      <c r="O143" s="197">
        <v>0.5158203184800001</v>
      </c>
      <c r="P143" s="197">
        <v>0.5158203184800001</v>
      </c>
      <c r="Q143" s="197">
        <v>0.5158203184800001</v>
      </c>
      <c r="R143" s="197">
        <v>0.5158203184800001</v>
      </c>
      <c r="S143" s="197">
        <v>0.5158203184800001</v>
      </c>
      <c r="T143" s="197">
        <v>1.2895507962000001</v>
      </c>
      <c r="U143" s="197">
        <v>1.4185058758200002</v>
      </c>
      <c r="V143" s="197">
        <v>1.4185058758200002</v>
      </c>
      <c r="W143" s="197">
        <v>1.4185058758200002</v>
      </c>
      <c r="X143" s="197">
        <v>1.4185058758200002</v>
      </c>
      <c r="Y143" s="197">
        <v>1.4185058758200002</v>
      </c>
      <c r="Z143" s="197">
        <v>1.4185058758200002</v>
      </c>
      <c r="AA143" s="197">
        <v>1.4185058758200002</v>
      </c>
    </row>
    <row r="144" spans="1:27" x14ac:dyDescent="0.2">
      <c r="A144" s="209" t="s">
        <v>1500</v>
      </c>
      <c r="B144" s="192"/>
      <c r="C144" s="192"/>
      <c r="D144" s="192"/>
      <c r="E144" s="192"/>
      <c r="F144" s="192"/>
      <c r="G144" s="192"/>
      <c r="H144" s="192"/>
      <c r="I144" s="192"/>
      <c r="J144" s="192"/>
      <c r="K144" s="192"/>
      <c r="L144" s="192"/>
      <c r="M144" s="192"/>
      <c r="N144" s="192"/>
      <c r="O144" s="192"/>
      <c r="P144" s="192"/>
      <c r="Q144" s="192"/>
      <c r="R144" s="192"/>
      <c r="S144" s="192"/>
      <c r="T144" s="192"/>
      <c r="U144" s="192"/>
      <c r="V144" s="192"/>
      <c r="W144" s="192"/>
      <c r="X144" s="192"/>
      <c r="Y144" s="192"/>
      <c r="Z144" s="192"/>
      <c r="AA144" s="193"/>
    </row>
    <row r="145" spans="1:28" x14ac:dyDescent="0.2">
      <c r="A145" s="215" t="s">
        <v>1501</v>
      </c>
      <c r="B145" s="195">
        <v>1.735358238601644</v>
      </c>
      <c r="C145" s="195">
        <v>1.3472243527758907</v>
      </c>
      <c r="D145" s="195">
        <v>0.96129523777315096</v>
      </c>
      <c r="E145" s="195">
        <v>1.6880969973698634</v>
      </c>
      <c r="F145" s="195">
        <v>1.1056794603879454</v>
      </c>
      <c r="G145" s="195">
        <v>0.48645921043726031</v>
      </c>
      <c r="H145" s="195">
        <v>0.90774003538849346</v>
      </c>
      <c r="I145" s="195">
        <v>1.6144727272372603</v>
      </c>
      <c r="J145" s="195">
        <v>1.7591019243879453</v>
      </c>
      <c r="K145" s="195">
        <v>3.2285157232438366</v>
      </c>
      <c r="L145" s="195">
        <v>4.4082753997019184</v>
      </c>
      <c r="M145" s="195">
        <v>4.6968400540799999</v>
      </c>
      <c r="N145" s="195">
        <v>4.5197799972164381</v>
      </c>
      <c r="O145" s="195">
        <v>9.8304130210980833</v>
      </c>
      <c r="P145" s="195">
        <v>12.572168026783563</v>
      </c>
      <c r="Q145" s="195">
        <v>12.18105675813699</v>
      </c>
      <c r="R145" s="195">
        <v>11.281755236883285</v>
      </c>
      <c r="S145" s="195">
        <v>14.810801868335343</v>
      </c>
      <c r="T145" s="195">
        <v>6.9129358963989054</v>
      </c>
      <c r="U145" s="195">
        <v>8.8022360497709595</v>
      </c>
      <c r="V145" s="195">
        <v>8.4075066956712341</v>
      </c>
      <c r="W145" s="195">
        <v>6.8609447622049329</v>
      </c>
      <c r="X145" s="195">
        <v>3.5765900037172611</v>
      </c>
      <c r="Y145" s="195">
        <v>2.1107000693391784</v>
      </c>
      <c r="Z145" s="195">
        <v>1.4024598418849317</v>
      </c>
      <c r="AA145" s="195">
        <v>2.0099213141128769</v>
      </c>
    </row>
    <row r="146" spans="1:28" x14ac:dyDescent="0.2">
      <c r="A146" s="214" t="s">
        <v>1502</v>
      </c>
      <c r="B146" s="217">
        <v>9.4201365601972627E-3</v>
      </c>
      <c r="C146" s="217">
        <v>7.1155916131068518E-3</v>
      </c>
      <c r="D146" s="217">
        <v>4.8241374927780831E-3</v>
      </c>
      <c r="E146" s="217">
        <v>9.139522940383565E-3</v>
      </c>
      <c r="F146" s="217">
        <v>5.6814188145534262E-3</v>
      </c>
      <c r="G146" s="217">
        <v>2.0047985804712335E-3</v>
      </c>
      <c r="H146" s="217">
        <v>4.5061534786191796E-3</v>
      </c>
      <c r="I146" s="217">
        <v>8.7023788364712345E-3</v>
      </c>
      <c r="J146" s="217">
        <v>9.561114694553426E-3</v>
      </c>
      <c r="K146" s="217">
        <v>1.8285759125260276E-2</v>
      </c>
      <c r="L146" s="217">
        <v>2.5290582204230142E-2</v>
      </c>
      <c r="M146" s="217">
        <v>2.6643300969600006E-2</v>
      </c>
      <c r="N146" s="217">
        <v>2.5592006881972603E-2</v>
      </c>
      <c r="O146" s="198">
        <v>5.6673098123769881E-2</v>
      </c>
      <c r="P146" s="198">
        <v>7.295226847002742E-2</v>
      </c>
      <c r="Q146" s="198">
        <v>7.0630045312438383E-2</v>
      </c>
      <c r="R146" s="198">
        <v>6.5290442529994525E-2</v>
      </c>
      <c r="S146" s="198">
        <v>8.6244156904241115E-2</v>
      </c>
      <c r="T146" s="217">
        <v>3.9350577695868499E-2</v>
      </c>
      <c r="U146" s="198">
        <v>5.056829735651508E-2</v>
      </c>
      <c r="V146" s="217">
        <v>4.8224591816547958E-2</v>
      </c>
      <c r="W146" s="217">
        <v>3.904188033659179E-2</v>
      </c>
      <c r="X146" s="217">
        <v>1.9541023958071238E-2</v>
      </c>
      <c r="Y146" s="217">
        <v>1.0837302472701373E-2</v>
      </c>
      <c r="Z146" s="217">
        <v>6.6321261221917822E-3</v>
      </c>
      <c r="AA146" s="217">
        <v>1.0238928613545209E-2</v>
      </c>
    </row>
    <row r="147" spans="1:28" x14ac:dyDescent="0.2">
      <c r="A147" s="208" t="s">
        <v>1503</v>
      </c>
      <c r="B147" s="197">
        <v>0.11753607599999998</v>
      </c>
      <c r="C147" s="197">
        <v>0.11753607599999998</v>
      </c>
      <c r="D147" s="197">
        <v>0.11753607599999998</v>
      </c>
      <c r="E147" s="197">
        <v>0.11753607599999998</v>
      </c>
      <c r="F147" s="197">
        <v>0.11753607599999998</v>
      </c>
      <c r="G147" s="197">
        <v>0.11753607599999998</v>
      </c>
      <c r="H147" s="197">
        <v>0.11753607599999998</v>
      </c>
      <c r="I147" s="197">
        <v>0.11753607599999998</v>
      </c>
      <c r="J147" s="197">
        <v>0.11753607599999998</v>
      </c>
      <c r="K147" s="197">
        <v>0.11753607599999998</v>
      </c>
      <c r="L147" s="197">
        <v>0.11753607599999998</v>
      </c>
      <c r="M147" s="197">
        <v>0.17630411399999993</v>
      </c>
      <c r="N147" s="197">
        <v>0.17630411399999993</v>
      </c>
      <c r="O147" s="197">
        <v>0.23507215199999995</v>
      </c>
      <c r="P147" s="197">
        <v>0.23507215199999995</v>
      </c>
      <c r="Q147" s="197">
        <v>0.23507215199999995</v>
      </c>
      <c r="R147" s="197">
        <v>0.23507215199999995</v>
      </c>
      <c r="S147" s="197">
        <v>0.23507215199999995</v>
      </c>
      <c r="T147" s="197">
        <v>0.58768038</v>
      </c>
      <c r="U147" s="197">
        <v>0.64644841799999997</v>
      </c>
      <c r="V147" s="197">
        <v>0.64644841799999997</v>
      </c>
      <c r="W147" s="197">
        <v>0.64644841799999997</v>
      </c>
      <c r="X147" s="197">
        <v>0.64644841799999997</v>
      </c>
      <c r="Y147" s="197">
        <v>0.64644841799999997</v>
      </c>
      <c r="Z147" s="197">
        <v>0.64644841799999997</v>
      </c>
      <c r="AA147" s="197">
        <v>0.64644841799999997</v>
      </c>
    </row>
    <row r="148" spans="1:28" ht="12.75" x14ac:dyDescent="0.2">
      <c r="A148" s="224" t="s">
        <v>1505</v>
      </c>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c r="AA148" s="226"/>
    </row>
    <row r="149" spans="1:28" x14ac:dyDescent="0.2">
      <c r="A149" s="215" t="s">
        <v>1292</v>
      </c>
      <c r="B149" s="166">
        <v>1740.7274215391083</v>
      </c>
      <c r="C149" s="166">
        <v>1714.7743343017632</v>
      </c>
      <c r="D149" s="166">
        <v>1670.7703432682997</v>
      </c>
      <c r="E149" s="166">
        <v>1652.037296019819</v>
      </c>
      <c r="F149" s="166">
        <v>1665.0074239609266</v>
      </c>
      <c r="G149" s="166">
        <v>1536.4233296591485</v>
      </c>
      <c r="H149" s="166">
        <v>1448.4137379966496</v>
      </c>
      <c r="I149" s="166">
        <v>1406.2012237843503</v>
      </c>
      <c r="J149" s="166">
        <v>1356.5420273183856</v>
      </c>
      <c r="K149" s="166">
        <v>1275.6878639030886</v>
      </c>
      <c r="L149" s="166">
        <v>1218.7970792069452</v>
      </c>
      <c r="M149" s="166">
        <v>1169.0181994220302</v>
      </c>
      <c r="N149" s="166">
        <v>1110.669644414724</v>
      </c>
      <c r="O149" s="166">
        <v>1023.4756296508797</v>
      </c>
      <c r="P149" s="166">
        <v>981.75285305822376</v>
      </c>
      <c r="Q149" s="166">
        <v>931.91499265874893</v>
      </c>
      <c r="R149" s="166">
        <v>881.0654006967967</v>
      </c>
      <c r="S149" s="166">
        <v>726.80721563101315</v>
      </c>
      <c r="T149" s="166">
        <v>681.68879076735527</v>
      </c>
      <c r="U149" s="166">
        <v>620.18200230291905</v>
      </c>
      <c r="V149" s="166">
        <v>554.1264257420645</v>
      </c>
      <c r="W149" s="166">
        <v>502.09060863393393</v>
      </c>
      <c r="X149" s="166">
        <v>495.95452912848748</v>
      </c>
      <c r="Y149" s="166">
        <v>489.85811070889861</v>
      </c>
      <c r="Z149" s="166">
        <v>487.2511163064018</v>
      </c>
      <c r="AA149" s="166">
        <v>480.27188462354746</v>
      </c>
      <c r="AB149" s="241"/>
    </row>
    <row r="150" spans="1:28" x14ac:dyDescent="0.2">
      <c r="A150" s="214" t="s">
        <v>1391</v>
      </c>
      <c r="B150" s="184">
        <v>0</v>
      </c>
      <c r="C150" s="184">
        <v>0</v>
      </c>
      <c r="D150" s="184">
        <v>0</v>
      </c>
      <c r="E150" s="184">
        <v>20.53499274</v>
      </c>
      <c r="F150" s="184">
        <v>25.193813400000003</v>
      </c>
      <c r="G150" s="184">
        <v>19.693041840000003</v>
      </c>
      <c r="H150" s="184">
        <v>23.925349800000003</v>
      </c>
      <c r="I150" s="184">
        <v>30.296923740000004</v>
      </c>
      <c r="J150" s="184">
        <v>25.982182980000005</v>
      </c>
      <c r="K150" s="184">
        <v>32.920771320000007</v>
      </c>
      <c r="L150" s="184">
        <v>29.867637600000005</v>
      </c>
      <c r="M150" s="184">
        <v>36.935325720000009</v>
      </c>
      <c r="N150" s="184">
        <v>155.51174988000002</v>
      </c>
      <c r="O150" s="184">
        <v>123.22798380000002</v>
      </c>
      <c r="P150" s="184">
        <v>110.53520082000001</v>
      </c>
      <c r="Q150" s="184">
        <v>48.298841280000005</v>
      </c>
      <c r="R150" s="184">
        <v>62.733209760000015</v>
      </c>
      <c r="S150" s="184">
        <v>56.257805160000011</v>
      </c>
      <c r="T150" s="184">
        <v>50.311068300000009</v>
      </c>
      <c r="U150" s="184">
        <v>63.89210322000001</v>
      </c>
      <c r="V150" s="184">
        <v>54.53919684000001</v>
      </c>
      <c r="W150" s="184">
        <v>58.000238100000004</v>
      </c>
      <c r="X150" s="184">
        <v>45.142108020000009</v>
      </c>
      <c r="Y150" s="184">
        <v>40.471846920000004</v>
      </c>
      <c r="Z150" s="184">
        <v>40.844219760000001</v>
      </c>
      <c r="AA150" s="184">
        <v>41.216592600000006</v>
      </c>
    </row>
    <row r="151" spans="1:28" s="187" customFormat="1" x14ac:dyDescent="0.2">
      <c r="A151" s="239" t="s">
        <v>1393</v>
      </c>
      <c r="B151" s="186">
        <v>1740.7274215391083</v>
      </c>
      <c r="C151" s="186">
        <v>1714.7743343017632</v>
      </c>
      <c r="D151" s="186">
        <v>1670.7703432682997</v>
      </c>
      <c r="E151" s="186">
        <v>1631.5023032798192</v>
      </c>
      <c r="F151" s="186">
        <v>1639.8136105609267</v>
      </c>
      <c r="G151" s="186">
        <v>1516.7302878191485</v>
      </c>
      <c r="H151" s="186">
        <v>1424.4883881966498</v>
      </c>
      <c r="I151" s="186">
        <v>1375.9043000443503</v>
      </c>
      <c r="J151" s="186">
        <v>1330.5598443383856</v>
      </c>
      <c r="K151" s="186">
        <v>1242.7670925830885</v>
      </c>
      <c r="L151" s="186">
        <v>1188.9294416069451</v>
      </c>
      <c r="M151" s="186">
        <v>1132.0828737020302</v>
      </c>
      <c r="N151" s="186">
        <v>955.15789453472382</v>
      </c>
      <c r="O151" s="186">
        <v>900.24764585087962</v>
      </c>
      <c r="P151" s="186">
        <v>871.21765223822365</v>
      </c>
      <c r="Q151" s="186">
        <v>883.61615137874878</v>
      </c>
      <c r="R151" s="186">
        <v>818.33219093679668</v>
      </c>
      <c r="S151" s="186">
        <v>670.54941047101318</v>
      </c>
      <c r="T151" s="186">
        <v>631.37772246735517</v>
      </c>
      <c r="U151" s="186">
        <v>556.28989908291896</v>
      </c>
      <c r="V151" s="186">
        <v>499.58722890206451</v>
      </c>
      <c r="W151" s="186">
        <v>444.09037053393394</v>
      </c>
      <c r="X151" s="186">
        <v>450.81242110848746</v>
      </c>
      <c r="Y151" s="186">
        <v>449.38626378889865</v>
      </c>
      <c r="Z151" s="186">
        <v>446.40689654640175</v>
      </c>
      <c r="AA151" s="186">
        <v>439.05529202354745</v>
      </c>
    </row>
    <row r="152" spans="1:28" x14ac:dyDescent="0.2">
      <c r="A152" s="188" t="s">
        <v>1394</v>
      </c>
      <c r="B152" s="189"/>
      <c r="C152" s="189"/>
      <c r="D152" s="189"/>
      <c r="E152" s="189"/>
      <c r="F152" s="189"/>
      <c r="G152" s="189"/>
      <c r="H152" s="189"/>
      <c r="I152" s="189"/>
      <c r="J152" s="189"/>
      <c r="K152" s="189"/>
      <c r="L152" s="189"/>
      <c r="M152" s="189"/>
      <c r="N152" s="189"/>
      <c r="O152" s="189"/>
      <c r="P152" s="189"/>
      <c r="Q152" s="189"/>
      <c r="R152" s="189"/>
      <c r="S152" s="189"/>
      <c r="T152" s="189"/>
      <c r="U152" s="189"/>
      <c r="V152" s="189"/>
      <c r="W152" s="189"/>
      <c r="X152" s="189"/>
      <c r="Y152" s="189"/>
      <c r="Z152" s="189"/>
      <c r="AA152" s="190"/>
    </row>
    <row r="153" spans="1:28" x14ac:dyDescent="0.2">
      <c r="A153" s="209" t="s">
        <v>1406</v>
      </c>
      <c r="B153" s="192"/>
      <c r="C153" s="192"/>
      <c r="D153" s="192"/>
      <c r="E153" s="192"/>
      <c r="F153" s="192"/>
      <c r="G153" s="192"/>
      <c r="H153" s="192"/>
      <c r="I153" s="192"/>
      <c r="J153" s="192"/>
      <c r="K153" s="192"/>
      <c r="L153" s="192"/>
      <c r="M153" s="192"/>
      <c r="N153" s="192"/>
      <c r="O153" s="192"/>
      <c r="P153" s="192"/>
      <c r="Q153" s="192"/>
      <c r="R153" s="192"/>
      <c r="S153" s="192"/>
      <c r="T153" s="192"/>
      <c r="U153" s="192"/>
      <c r="V153" s="192"/>
      <c r="W153" s="192"/>
      <c r="X153" s="192"/>
      <c r="Y153" s="192"/>
      <c r="Z153" s="192"/>
      <c r="AA153" s="193"/>
    </row>
    <row r="154" spans="1:28" x14ac:dyDescent="0.2">
      <c r="A154" s="215" t="s">
        <v>1506</v>
      </c>
      <c r="B154" s="195">
        <v>267.98942570399993</v>
      </c>
      <c r="C154" s="195">
        <v>258.17865519599997</v>
      </c>
      <c r="D154" s="195">
        <v>243.27860495399995</v>
      </c>
      <c r="E154" s="195">
        <v>239.3195370585029</v>
      </c>
      <c r="F154" s="195">
        <v>246.27113440841873</v>
      </c>
      <c r="G154" s="195">
        <v>205.24333279728967</v>
      </c>
      <c r="H154" s="195">
        <v>199.62895510007647</v>
      </c>
      <c r="I154" s="195">
        <v>179.80031901648431</v>
      </c>
      <c r="J154" s="195">
        <v>167.07874597561479</v>
      </c>
      <c r="K154" s="195">
        <v>152.72856997470842</v>
      </c>
      <c r="L154" s="195">
        <v>140.91333941887876</v>
      </c>
      <c r="M154" s="195">
        <v>131.42503007169657</v>
      </c>
      <c r="N154" s="195">
        <v>117.11469423270613</v>
      </c>
      <c r="O154" s="195">
        <v>107.07199921776288</v>
      </c>
      <c r="P154" s="195">
        <v>98.453772423052683</v>
      </c>
      <c r="Q154" s="195">
        <v>88.94806074514338</v>
      </c>
      <c r="R154" s="195">
        <v>79.829168166111629</v>
      </c>
      <c r="S154" s="195">
        <v>70.970121500618973</v>
      </c>
      <c r="T154" s="195">
        <v>62.598330080689763</v>
      </c>
      <c r="U154" s="195">
        <v>54.124991616401417</v>
      </c>
      <c r="V154" s="195">
        <v>46.295363961344599</v>
      </c>
      <c r="W154" s="195">
        <v>38.964061977988393</v>
      </c>
      <c r="X154" s="195">
        <v>37.502432280694173</v>
      </c>
      <c r="Y154" s="195">
        <v>35.764215491037852</v>
      </c>
      <c r="Z154" s="195">
        <v>33.976236170119734</v>
      </c>
      <c r="AA154" s="195">
        <v>32.137337049770942</v>
      </c>
    </row>
    <row r="155" spans="1:28" x14ac:dyDescent="0.2">
      <c r="A155" s="214" t="s">
        <v>1507</v>
      </c>
      <c r="B155" s="198">
        <v>231.20083652345792</v>
      </c>
      <c r="C155" s="198">
        <v>218.20201033583177</v>
      </c>
      <c r="D155" s="198">
        <v>211.4171536302251</v>
      </c>
      <c r="E155" s="198">
        <v>204.22207723728249</v>
      </c>
      <c r="F155" s="198">
        <v>197.40888436685691</v>
      </c>
      <c r="G155" s="198">
        <v>180.88883706064598</v>
      </c>
      <c r="H155" s="198">
        <v>164.16320873694107</v>
      </c>
      <c r="I155" s="198">
        <v>156.93144710732165</v>
      </c>
      <c r="J155" s="198">
        <v>149.37153260730796</v>
      </c>
      <c r="K155" s="198">
        <v>140.1322806148504</v>
      </c>
      <c r="L155" s="198">
        <v>131.76281127472026</v>
      </c>
      <c r="M155" s="198">
        <v>123.96661435653918</v>
      </c>
      <c r="N155" s="198">
        <v>113.94504064057516</v>
      </c>
      <c r="O155" s="198">
        <v>103.0845052065026</v>
      </c>
      <c r="P155" s="198">
        <v>100.50293757343429</v>
      </c>
      <c r="Q155" s="198">
        <v>91.261858362514147</v>
      </c>
      <c r="R155" s="198">
        <v>86.247970288675461</v>
      </c>
      <c r="S155" s="198">
        <v>80.074915166736247</v>
      </c>
      <c r="T155" s="198">
        <v>74.689570446447746</v>
      </c>
      <c r="U155" s="198">
        <v>67.355136987754165</v>
      </c>
      <c r="V155" s="198">
        <v>62.566163285672843</v>
      </c>
      <c r="W155" s="198">
        <v>55.969735486845998</v>
      </c>
      <c r="X155" s="198">
        <v>54.868962615511471</v>
      </c>
      <c r="Y155" s="198">
        <v>52.21263747060091</v>
      </c>
      <c r="Z155" s="198">
        <v>50.404717081765867</v>
      </c>
      <c r="AA155" s="198">
        <v>48.116177551925617</v>
      </c>
    </row>
    <row r="156" spans="1:28" x14ac:dyDescent="0.2">
      <c r="A156" s="214" t="s">
        <v>1508</v>
      </c>
      <c r="B156" s="198">
        <v>27.498669960607312</v>
      </c>
      <c r="C156" s="198">
        <v>27.982382586230599</v>
      </c>
      <c r="D156" s="198">
        <v>27.709426664505699</v>
      </c>
      <c r="E156" s="198">
        <v>29.40875417034859</v>
      </c>
      <c r="F156" s="198">
        <v>32.103754950656388</v>
      </c>
      <c r="G156" s="198">
        <v>32.72283435511941</v>
      </c>
      <c r="H156" s="198">
        <v>32.463864705436315</v>
      </c>
      <c r="I156" s="198">
        <v>35.566663350239374</v>
      </c>
      <c r="J156" s="198">
        <v>34.416677808570526</v>
      </c>
      <c r="K156" s="198">
        <v>33.506161992553459</v>
      </c>
      <c r="L156" s="198">
        <v>35.332124417070467</v>
      </c>
      <c r="M156" s="198">
        <v>36.560958172474059</v>
      </c>
      <c r="N156" s="198">
        <v>37.949642643759454</v>
      </c>
      <c r="O156" s="198">
        <v>39.129988232155824</v>
      </c>
      <c r="P156" s="198">
        <v>41.348655089129139</v>
      </c>
      <c r="Q156" s="198">
        <v>41.589670554121398</v>
      </c>
      <c r="R156" s="198">
        <v>42.663764778538457</v>
      </c>
      <c r="S156" s="198">
        <v>43.4791793839563</v>
      </c>
      <c r="T156" s="198">
        <v>44.281683059772654</v>
      </c>
      <c r="U156" s="198">
        <v>45.310552408155075</v>
      </c>
      <c r="V156" s="198">
        <v>46.317325521094929</v>
      </c>
      <c r="W156" s="198">
        <v>47.296966611055176</v>
      </c>
      <c r="X156" s="198">
        <v>47.183286631658106</v>
      </c>
      <c r="Y156" s="198">
        <v>47.102211037841307</v>
      </c>
      <c r="Z156" s="198">
        <v>47.071251383877843</v>
      </c>
      <c r="AA156" s="198">
        <v>46.898941559787474</v>
      </c>
    </row>
    <row r="157" spans="1:28" x14ac:dyDescent="0.2">
      <c r="A157" s="214" t="s">
        <v>1509</v>
      </c>
      <c r="B157" s="198">
        <v>59.433187107600006</v>
      </c>
      <c r="C157" s="198">
        <v>48.800963154599998</v>
      </c>
      <c r="D157" s="198">
        <v>51.015397447800005</v>
      </c>
      <c r="E157" s="198">
        <v>53.525146097536926</v>
      </c>
      <c r="F157" s="198">
        <v>57.999133371624943</v>
      </c>
      <c r="G157" s="198">
        <v>58.466952989146812</v>
      </c>
      <c r="H157" s="198">
        <v>54.974623282951214</v>
      </c>
      <c r="I157" s="198">
        <v>61.796476124223823</v>
      </c>
      <c r="J157" s="198">
        <v>55.96864487427866</v>
      </c>
      <c r="K157" s="198">
        <v>54.465296189176165</v>
      </c>
      <c r="L157" s="198">
        <v>55.121064406111515</v>
      </c>
      <c r="M157" s="198">
        <v>56.858784182250119</v>
      </c>
      <c r="N157" s="198">
        <v>56.228334036968945</v>
      </c>
      <c r="O157" s="198">
        <v>49.092869225724257</v>
      </c>
      <c r="P157" s="198">
        <v>48.06241290456699</v>
      </c>
      <c r="Q157" s="198">
        <v>44.830427099584725</v>
      </c>
      <c r="R157" s="198">
        <v>41.670239256316897</v>
      </c>
      <c r="S157" s="198">
        <v>37.94839245180443</v>
      </c>
      <c r="T157" s="198">
        <v>33.34602762513429</v>
      </c>
      <c r="U157" s="198">
        <v>28.753709825105879</v>
      </c>
      <c r="V157" s="198">
        <v>23.823633301988558</v>
      </c>
      <c r="W157" s="198">
        <v>18.745762176710244</v>
      </c>
      <c r="X157" s="198">
        <v>19.097526839839762</v>
      </c>
      <c r="Y157" s="198">
        <v>19.476754186198686</v>
      </c>
      <c r="Z157" s="198">
        <v>19.913070450741415</v>
      </c>
      <c r="AA157" s="198">
        <v>20.383368901044889</v>
      </c>
    </row>
    <row r="158" spans="1:28" x14ac:dyDescent="0.2">
      <c r="A158" s="214" t="s">
        <v>1510</v>
      </c>
      <c r="B158" s="198">
        <v>250.04977167897454</v>
      </c>
      <c r="C158" s="198">
        <v>235.90729171306839</v>
      </c>
      <c r="D158" s="198">
        <v>233.83637499446198</v>
      </c>
      <c r="E158" s="198">
        <v>220.43815338418574</v>
      </c>
      <c r="F158" s="198">
        <v>201.31599505206327</v>
      </c>
      <c r="G158" s="198">
        <v>183.76235194271209</v>
      </c>
      <c r="H158" s="198">
        <v>166.97552774900353</v>
      </c>
      <c r="I158" s="198">
        <v>157.06094885494883</v>
      </c>
      <c r="J158" s="198">
        <v>147.43829030654592</v>
      </c>
      <c r="K158" s="198">
        <v>149.68022385369636</v>
      </c>
      <c r="L158" s="198">
        <v>142.25179997750061</v>
      </c>
      <c r="M158" s="198">
        <v>131.35033869604919</v>
      </c>
      <c r="N158" s="198">
        <v>120.0119561163294</v>
      </c>
      <c r="O158" s="198">
        <v>107.35571554958679</v>
      </c>
      <c r="P158" s="198">
        <v>102.0490521552029</v>
      </c>
      <c r="Q158" s="198">
        <v>111.55794759654864</v>
      </c>
      <c r="R158" s="198">
        <v>109.17905057813321</v>
      </c>
      <c r="S158" s="198">
        <v>100.0593148437147</v>
      </c>
      <c r="T158" s="198">
        <v>94.071994065945802</v>
      </c>
      <c r="U158" s="198">
        <v>85.678062790036876</v>
      </c>
      <c r="V158" s="198">
        <v>65.294811177800838</v>
      </c>
      <c r="W158" s="198">
        <v>60.016642812341694</v>
      </c>
      <c r="X158" s="198">
        <v>56.74541069123233</v>
      </c>
      <c r="Y158" s="198">
        <v>53.151589681797105</v>
      </c>
      <c r="Z158" s="198">
        <v>49.727494351166705</v>
      </c>
      <c r="AA158" s="198">
        <v>47.769130049054105</v>
      </c>
    </row>
    <row r="159" spans="1:28" x14ac:dyDescent="0.2">
      <c r="A159" s="214" t="s">
        <v>1511</v>
      </c>
      <c r="B159" s="198">
        <v>67.24369107426115</v>
      </c>
      <c r="C159" s="198">
        <v>79.122458103727041</v>
      </c>
      <c r="D159" s="198">
        <v>67.10943539576013</v>
      </c>
      <c r="E159" s="198">
        <v>65.255419570115848</v>
      </c>
      <c r="F159" s="198">
        <v>68.389001159517335</v>
      </c>
      <c r="G159" s="198">
        <v>64.416408949180678</v>
      </c>
      <c r="H159" s="198">
        <v>54.969690219052069</v>
      </c>
      <c r="I159" s="198">
        <v>58.497385076647703</v>
      </c>
      <c r="J159" s="198">
        <v>50.535882453981422</v>
      </c>
      <c r="K159" s="198">
        <v>48.049728406890075</v>
      </c>
      <c r="L159" s="198">
        <v>44.878014267817761</v>
      </c>
      <c r="M159" s="198">
        <v>43.034865939608345</v>
      </c>
      <c r="N159" s="198">
        <v>40.746680252544181</v>
      </c>
      <c r="O159" s="198">
        <v>37.644229590782629</v>
      </c>
      <c r="P159" s="198">
        <v>37.854244843841705</v>
      </c>
      <c r="Q159" s="198">
        <v>32.392008150379965</v>
      </c>
      <c r="R159" s="198">
        <v>29.634169217229278</v>
      </c>
      <c r="S159" s="198">
        <v>27.431625549777419</v>
      </c>
      <c r="T159" s="198">
        <v>25.507105563599154</v>
      </c>
      <c r="U159" s="198">
        <v>23.465312693025698</v>
      </c>
      <c r="V159" s="198">
        <v>21.546815065773075</v>
      </c>
      <c r="W159" s="198">
        <v>19.787537035641432</v>
      </c>
      <c r="X159" s="198">
        <v>19.37049044370297</v>
      </c>
      <c r="Y159" s="198">
        <v>19.114525798820981</v>
      </c>
      <c r="Z159" s="198">
        <v>18.901794215451268</v>
      </c>
      <c r="AA159" s="198">
        <v>18.56120141609545</v>
      </c>
    </row>
    <row r="160" spans="1:28" x14ac:dyDescent="0.2">
      <c r="A160" s="214" t="s">
        <v>1512</v>
      </c>
      <c r="B160" s="198">
        <v>3.3810459097592229</v>
      </c>
      <c r="C160" s="198">
        <v>3.4937292035571432</v>
      </c>
      <c r="D160" s="198">
        <v>3.7056875560117102</v>
      </c>
      <c r="E160" s="198">
        <v>4.1526048527286914</v>
      </c>
      <c r="F160" s="198">
        <v>4.7190017393344759</v>
      </c>
      <c r="G160" s="198">
        <v>5.0091824778616321</v>
      </c>
      <c r="H160" s="198">
        <v>5.152339175345424</v>
      </c>
      <c r="I160" s="198">
        <v>5.9263347799547077</v>
      </c>
      <c r="J160" s="198">
        <v>5.885646656648432</v>
      </c>
      <c r="K160" s="198">
        <v>6.0472738750540511</v>
      </c>
      <c r="L160" s="198">
        <v>6.8174616886886872</v>
      </c>
      <c r="M160" s="198">
        <v>7.1572136385120526</v>
      </c>
      <c r="N160" s="198">
        <v>7.7125496846122683</v>
      </c>
      <c r="O160" s="198">
        <v>7.984576454320691</v>
      </c>
      <c r="P160" s="198">
        <v>8.6476890672090683</v>
      </c>
      <c r="Q160" s="198">
        <v>9.1166863206245505</v>
      </c>
      <c r="R160" s="198">
        <v>9.6231267466284027</v>
      </c>
      <c r="S160" s="198">
        <v>10.090392556935175</v>
      </c>
      <c r="T160" s="198">
        <v>10.49432249097984</v>
      </c>
      <c r="U160" s="198">
        <v>10.857658144911182</v>
      </c>
      <c r="V160" s="198">
        <v>11.235890343902993</v>
      </c>
      <c r="W160" s="198">
        <v>11.651074215390809</v>
      </c>
      <c r="X160" s="198">
        <v>11.881764662894097</v>
      </c>
      <c r="Y160" s="198">
        <v>12.140478436130952</v>
      </c>
      <c r="Z160" s="198">
        <v>12.298209876970743</v>
      </c>
      <c r="AA160" s="198">
        <v>12.496932088731516</v>
      </c>
    </row>
    <row r="161" spans="1:27" x14ac:dyDescent="0.2">
      <c r="A161" s="208" t="s">
        <v>1513</v>
      </c>
      <c r="B161" s="197">
        <v>7.7790683708349677</v>
      </c>
      <c r="C161" s="197">
        <v>8.0148781665232836</v>
      </c>
      <c r="D161" s="197">
        <v>7.6839136982888796</v>
      </c>
      <c r="E161" s="197">
        <v>7.8797924278495461</v>
      </c>
      <c r="F161" s="197">
        <v>7.7286059268645264</v>
      </c>
      <c r="G161" s="197">
        <v>7.0799269332165355</v>
      </c>
      <c r="H161" s="197">
        <v>7.4436023508621805</v>
      </c>
      <c r="I161" s="197">
        <v>7.6920497999618469</v>
      </c>
      <c r="J161" s="197">
        <v>7.1712266316406339</v>
      </c>
      <c r="K161" s="197">
        <v>7.1442809993089123</v>
      </c>
      <c r="L161" s="197">
        <v>7.0246298520689612</v>
      </c>
      <c r="M161" s="197">
        <v>6.828187816251587</v>
      </c>
      <c r="N161" s="197">
        <v>6.6839716179039135</v>
      </c>
      <c r="O161" s="197">
        <v>6.6929453314890273</v>
      </c>
      <c r="P161" s="197">
        <v>6.9687596680341271</v>
      </c>
      <c r="Q161" s="197">
        <v>6.1082530302877345</v>
      </c>
      <c r="R161" s="197">
        <v>6.1093551512247712</v>
      </c>
      <c r="S161" s="197">
        <v>6.0201813216303339</v>
      </c>
      <c r="T161" s="197">
        <v>5.6175985857496666</v>
      </c>
      <c r="U161" s="197">
        <v>5.3229796168610868</v>
      </c>
      <c r="V161" s="197">
        <v>5.282103175885223</v>
      </c>
      <c r="W161" s="197">
        <v>5.1756970731508138</v>
      </c>
      <c r="X161" s="197">
        <v>4.9438108279983473</v>
      </c>
      <c r="Y161" s="197">
        <v>4.7665848830076127</v>
      </c>
      <c r="Z161" s="197">
        <v>4.5828392803848992</v>
      </c>
      <c r="AA161" s="197">
        <v>4.3859417012468827</v>
      </c>
    </row>
    <row r="162" spans="1:27" x14ac:dyDescent="0.2">
      <c r="A162" s="209" t="s">
        <v>1514</v>
      </c>
      <c r="B162" s="192"/>
      <c r="C162" s="192"/>
      <c r="D162" s="192"/>
      <c r="E162" s="192"/>
      <c r="F162" s="192"/>
      <c r="G162" s="192"/>
      <c r="H162" s="192"/>
      <c r="I162" s="192"/>
      <c r="J162" s="192"/>
      <c r="K162" s="192"/>
      <c r="L162" s="192"/>
      <c r="M162" s="192"/>
      <c r="N162" s="192"/>
      <c r="O162" s="192"/>
      <c r="P162" s="192"/>
      <c r="Q162" s="192"/>
      <c r="R162" s="192"/>
      <c r="S162" s="192"/>
      <c r="T162" s="192"/>
      <c r="U162" s="192"/>
      <c r="V162" s="192"/>
      <c r="W162" s="192"/>
      <c r="X162" s="192"/>
      <c r="Y162" s="192"/>
      <c r="Z162" s="192"/>
      <c r="AA162" s="193"/>
    </row>
    <row r="163" spans="1:27" x14ac:dyDescent="0.2">
      <c r="A163" s="242" t="s">
        <v>1515</v>
      </c>
      <c r="B163" s="195">
        <v>140.5910787638617</v>
      </c>
      <c r="C163" s="195">
        <v>141.83415045182019</v>
      </c>
      <c r="D163" s="195">
        <v>139.63018692749804</v>
      </c>
      <c r="E163" s="195">
        <v>139.4205636112716</v>
      </c>
      <c r="F163" s="195">
        <v>142.59584969562684</v>
      </c>
      <c r="G163" s="195">
        <v>131.86331982575959</v>
      </c>
      <c r="H163" s="195">
        <v>123.90028321212088</v>
      </c>
      <c r="I163" s="195">
        <v>119.07875862676926</v>
      </c>
      <c r="J163" s="195">
        <v>116.74546266944128</v>
      </c>
      <c r="K163" s="195">
        <v>105.46780013934172</v>
      </c>
      <c r="L163" s="195">
        <v>98.916034050848893</v>
      </c>
      <c r="M163" s="195">
        <v>93.523993802803048</v>
      </c>
      <c r="N163" s="195">
        <v>88.206412197897563</v>
      </c>
      <c r="O163" s="195">
        <v>78.623173971868951</v>
      </c>
      <c r="P163" s="195">
        <v>72.287493221452394</v>
      </c>
      <c r="Q163" s="195">
        <v>64.938010072620528</v>
      </c>
      <c r="R163" s="195">
        <v>57.936833854172448</v>
      </c>
      <c r="S163" s="195">
        <v>31.616407739454399</v>
      </c>
      <c r="T163" s="195">
        <v>26.738050524581421</v>
      </c>
      <c r="U163" s="195">
        <v>20.242805619283576</v>
      </c>
      <c r="V163" s="195">
        <v>14.374198950311136</v>
      </c>
      <c r="W163" s="195">
        <v>8.510821862578366</v>
      </c>
      <c r="X163" s="195">
        <v>8.2005149723048678</v>
      </c>
      <c r="Y163" s="195">
        <v>8.3979945399403935</v>
      </c>
      <c r="Z163" s="195">
        <v>8.9388749163181966</v>
      </c>
      <c r="AA163" s="195">
        <v>8.6264437173673851</v>
      </c>
    </row>
    <row r="164" spans="1:27" x14ac:dyDescent="0.2">
      <c r="A164" s="214" t="s">
        <v>1516</v>
      </c>
      <c r="B164" s="198">
        <v>272.79889607629059</v>
      </c>
      <c r="C164" s="198">
        <v>275.21091671942355</v>
      </c>
      <c r="D164" s="198">
        <v>270.93440912225697</v>
      </c>
      <c r="E164" s="198">
        <v>270.39414619102979</v>
      </c>
      <c r="F164" s="198">
        <v>276.40097507286157</v>
      </c>
      <c r="G164" s="198">
        <v>255.44153254107192</v>
      </c>
      <c r="H164" s="198">
        <v>239.85135698655625</v>
      </c>
      <c r="I164" s="198">
        <v>230.3391535991355</v>
      </c>
      <c r="J164" s="198">
        <v>225.62653144644648</v>
      </c>
      <c r="K164" s="198">
        <v>203.62415309814864</v>
      </c>
      <c r="L164" s="198">
        <v>190.74973657253778</v>
      </c>
      <c r="M164" s="198">
        <v>180.10172229076935</v>
      </c>
      <c r="N164" s="198">
        <v>169.58057087367172</v>
      </c>
      <c r="O164" s="198">
        <v>150.85294140111057</v>
      </c>
      <c r="P164" s="198">
        <v>138.35170350615797</v>
      </c>
      <c r="Q164" s="198">
        <v>123.89218225512418</v>
      </c>
      <c r="R164" s="198">
        <v>110.07519031038144</v>
      </c>
      <c r="S164" s="198">
        <v>59.725481530428326</v>
      </c>
      <c r="T164" s="198">
        <v>50.089226714649122</v>
      </c>
      <c r="U164" s="198">
        <v>37.418000488303569</v>
      </c>
      <c r="V164" s="198">
        <v>25.920043161973023</v>
      </c>
      <c r="W164" s="198">
        <v>14.429006583501007</v>
      </c>
      <c r="X164" s="198">
        <v>13.902921061449486</v>
      </c>
      <c r="Y164" s="198">
        <v>14.237722332998684</v>
      </c>
      <c r="Z164" s="198">
        <v>15.154715619623234</v>
      </c>
      <c r="AA164" s="198">
        <v>14.625028604744672</v>
      </c>
    </row>
    <row r="165" spans="1:27" x14ac:dyDescent="0.2">
      <c r="A165" s="214" t="s">
        <v>1517</v>
      </c>
      <c r="B165" s="198">
        <v>6.5737268520827765</v>
      </c>
      <c r="C165" s="198">
        <v>6.631850125664891</v>
      </c>
      <c r="D165" s="198">
        <v>6.5287976821653846</v>
      </c>
      <c r="E165" s="198">
        <v>6.8542656998820775</v>
      </c>
      <c r="F165" s="198">
        <v>7.3904593165919454</v>
      </c>
      <c r="G165" s="198">
        <v>7.2259928053211278</v>
      </c>
      <c r="H165" s="198">
        <v>7.2025181189944254</v>
      </c>
      <c r="I165" s="198">
        <v>7.370449185114011</v>
      </c>
      <c r="J165" s="198">
        <v>7.7263057990607829</v>
      </c>
      <c r="K165" s="198">
        <v>7.4991258884403207</v>
      </c>
      <c r="L165" s="198">
        <v>7.5984644398314103</v>
      </c>
      <c r="M165" s="198">
        <v>7.8120353351183347</v>
      </c>
      <c r="N165" s="198">
        <v>8.0733193664179534</v>
      </c>
      <c r="O165" s="198">
        <v>7.9581703598523479</v>
      </c>
      <c r="P165" s="198">
        <v>8.1833915330729567</v>
      </c>
      <c r="Q165" s="198">
        <v>8.3389369073961603</v>
      </c>
      <c r="R165" s="198">
        <v>8.5944262817914421</v>
      </c>
      <c r="S165" s="198">
        <v>5.5515148859874861</v>
      </c>
      <c r="T165" s="198">
        <v>5.7513788272449773</v>
      </c>
      <c r="U165" s="198">
        <v>5.61852808982088</v>
      </c>
      <c r="V165" s="198">
        <v>5.6220551005489545</v>
      </c>
      <c r="W165" s="198">
        <v>5.6339288520732502</v>
      </c>
      <c r="X165" s="198">
        <v>5.4285142669324253</v>
      </c>
      <c r="Y165" s="198">
        <v>5.5592402827933283</v>
      </c>
      <c r="Z165" s="198">
        <v>5.917288143176104</v>
      </c>
      <c r="AA165" s="198">
        <v>5.7104673244022601</v>
      </c>
    </row>
    <row r="166" spans="1:27" x14ac:dyDescent="0.2">
      <c r="A166" s="214" t="s">
        <v>1518</v>
      </c>
      <c r="B166" s="198">
        <v>138.40671406817523</v>
      </c>
      <c r="C166" s="198">
        <v>139.63047214154838</v>
      </c>
      <c r="D166" s="198">
        <v>137.46075161582499</v>
      </c>
      <c r="E166" s="198">
        <v>136.95949780664469</v>
      </c>
      <c r="F166" s="198">
        <v>139.74442529094853</v>
      </c>
      <c r="G166" s="198">
        <v>128.88191830298243</v>
      </c>
      <c r="H166" s="198">
        <v>120.7357631785887</v>
      </c>
      <c r="I166" s="198">
        <v>115.64315652594122</v>
      </c>
      <c r="J166" s="198">
        <v>112.9371591336573</v>
      </c>
      <c r="K166" s="198">
        <v>101.57072988710109</v>
      </c>
      <c r="L166" s="198">
        <v>94.763937436818708</v>
      </c>
      <c r="M166" s="198">
        <v>89.046073564576389</v>
      </c>
      <c r="N166" s="198">
        <v>83.362607410197043</v>
      </c>
      <c r="O166" s="198">
        <v>73.635423861228745</v>
      </c>
      <c r="P166" s="198">
        <v>66.939525676984573</v>
      </c>
      <c r="Q166" s="198">
        <v>59.265166530516439</v>
      </c>
      <c r="R166" s="198">
        <v>51.860121053170843</v>
      </c>
      <c r="S166" s="198">
        <v>27.542585469158311</v>
      </c>
      <c r="T166" s="198">
        <v>22.363605235592591</v>
      </c>
      <c r="U166" s="198">
        <v>15.819003129554357</v>
      </c>
      <c r="V166" s="198">
        <v>9.7971227830195105</v>
      </c>
      <c r="W166" s="198">
        <v>3.7732644342342994</v>
      </c>
      <c r="X166" s="198">
        <v>3.6356901821030112</v>
      </c>
      <c r="Y166" s="198">
        <v>3.7232425526118398</v>
      </c>
      <c r="Z166" s="198">
        <v>3.963041331192235</v>
      </c>
      <c r="AA166" s="198">
        <v>3.8245252689151275</v>
      </c>
    </row>
    <row r="167" spans="1:27" x14ac:dyDescent="0.2">
      <c r="A167" s="214" t="s">
        <v>1519</v>
      </c>
      <c r="B167" s="198">
        <v>0.65270183894420686</v>
      </c>
      <c r="C167" s="198">
        <v>0.65847286783027703</v>
      </c>
      <c r="D167" s="198">
        <v>0.64824084558577033</v>
      </c>
      <c r="E167" s="198">
        <v>0.6530035014135116</v>
      </c>
      <c r="F167" s="198">
        <v>0.67437818986868614</v>
      </c>
      <c r="G167" s="198">
        <v>0.63032348281972761</v>
      </c>
      <c r="H167" s="198">
        <v>0.59932298433231423</v>
      </c>
      <c r="I167" s="198">
        <v>0.58366870894433576</v>
      </c>
      <c r="J167" s="198">
        <v>0.58079079969033998</v>
      </c>
      <c r="K167" s="198">
        <v>0.53356844666525094</v>
      </c>
      <c r="L167" s="198">
        <v>0.51009202657504271</v>
      </c>
      <c r="M167" s="198">
        <v>0.49302629204369014</v>
      </c>
      <c r="N167" s="198">
        <v>0.47706295725045367</v>
      </c>
      <c r="O167" s="198">
        <v>0.43826826794389162</v>
      </c>
      <c r="P167" s="198">
        <v>0.41777580033304035</v>
      </c>
      <c r="Q167" s="198">
        <v>0.39219565521092398</v>
      </c>
      <c r="R167" s="198">
        <v>0.36966377734836975</v>
      </c>
      <c r="S167" s="198">
        <v>0.216465890039229</v>
      </c>
      <c r="T167" s="198">
        <v>0.20113954130971945</v>
      </c>
      <c r="U167" s="198">
        <v>0.17390797978819394</v>
      </c>
      <c r="V167" s="198">
        <v>0.15141752003831324</v>
      </c>
      <c r="W167" s="198">
        <v>9.4135622599906016E-2</v>
      </c>
      <c r="X167" s="198">
        <v>9.1721729543013858E-2</v>
      </c>
      <c r="Y167" s="198">
        <v>7.5365772367280176E-2</v>
      </c>
      <c r="Z167" s="198">
        <v>7.6558312264060235E-2</v>
      </c>
      <c r="AA167" s="198">
        <v>0.21906293183999997</v>
      </c>
    </row>
    <row r="168" spans="1:27" x14ac:dyDescent="0.2">
      <c r="A168" s="214" t="s">
        <v>1520</v>
      </c>
      <c r="B168" s="198">
        <v>104.74095077429851</v>
      </c>
      <c r="C168" s="198">
        <v>105.66704446119648</v>
      </c>
      <c r="D168" s="198">
        <v>104.02508227526641</v>
      </c>
      <c r="E168" s="198">
        <v>103.5835476033519</v>
      </c>
      <c r="F168" s="198">
        <v>105.61913799298306</v>
      </c>
      <c r="G168" s="198">
        <v>97.336211596611506</v>
      </c>
      <c r="H168" s="198">
        <v>91.106784229894416</v>
      </c>
      <c r="I168" s="198">
        <v>87.179907229275372</v>
      </c>
      <c r="J168" s="198">
        <v>85.045844586187116</v>
      </c>
      <c r="K168" s="198">
        <v>76.388475397057789</v>
      </c>
      <c r="L168" s="198">
        <v>71.162083703868205</v>
      </c>
      <c r="M168" s="198">
        <v>66.748618509520611</v>
      </c>
      <c r="N168" s="198">
        <v>62.352977615246978</v>
      </c>
      <c r="O168" s="198">
        <v>54.930041153980888</v>
      </c>
      <c r="P168" s="198">
        <v>49.766088790000097</v>
      </c>
      <c r="Q168" s="198">
        <v>43.8658066812622</v>
      </c>
      <c r="R168" s="198">
        <v>38.153809322597048</v>
      </c>
      <c r="S168" s="198">
        <v>20.087455432840169</v>
      </c>
      <c r="T168" s="198">
        <v>16.088796423224622</v>
      </c>
      <c r="U168" s="198">
        <v>11.104390408355734</v>
      </c>
      <c r="V168" s="198">
        <v>6.495693579192114</v>
      </c>
      <c r="W168" s="198">
        <v>1.8839966143156339</v>
      </c>
      <c r="X168" s="198">
        <v>1.8153055830481817</v>
      </c>
      <c r="Y168" s="198">
        <v>1.8590206134916851</v>
      </c>
      <c r="Z168" s="198">
        <v>1.9787525047589793</v>
      </c>
      <c r="AA168" s="198">
        <v>1.9095912262674126</v>
      </c>
    </row>
    <row r="169" spans="1:27" x14ac:dyDescent="0.2">
      <c r="A169" s="214" t="s">
        <v>1521</v>
      </c>
      <c r="B169" s="198">
        <v>0.20914457159441247</v>
      </c>
      <c r="C169" s="198">
        <v>0.21099377637984479</v>
      </c>
      <c r="D169" s="198">
        <v>0.20771514013096676</v>
      </c>
      <c r="E169" s="198">
        <v>0.22572155513375958</v>
      </c>
      <c r="F169" s="198">
        <v>0.2516293827179657</v>
      </c>
      <c r="G169" s="198">
        <v>0.25409619452193594</v>
      </c>
      <c r="H169" s="198">
        <v>0.26131106667032555</v>
      </c>
      <c r="I169" s="198">
        <v>0.27563149814891802</v>
      </c>
      <c r="J169" s="198">
        <v>0.29756446751374716</v>
      </c>
      <c r="K169" s="198">
        <v>0.2971865015425289</v>
      </c>
      <c r="L169" s="198">
        <v>0.30960558194706039</v>
      </c>
      <c r="M169" s="198">
        <v>0.3270284598162152</v>
      </c>
      <c r="N169" s="198">
        <v>0.34697880304836104</v>
      </c>
      <c r="O169" s="198">
        <v>0.35091376940570124</v>
      </c>
      <c r="P169" s="198">
        <v>0.36998016003224288</v>
      </c>
      <c r="Q169" s="198">
        <v>0.38632148957629903</v>
      </c>
      <c r="R169" s="198">
        <v>0.40775181523784543</v>
      </c>
      <c r="S169" s="198">
        <v>0.26958197326550926</v>
      </c>
      <c r="T169" s="198">
        <v>0.28570778059200397</v>
      </c>
      <c r="U169" s="198">
        <v>0.28538032971481986</v>
      </c>
      <c r="V169" s="198">
        <v>0.29183550863037011</v>
      </c>
      <c r="W169" s="198">
        <v>0.21784951984236064</v>
      </c>
      <c r="X169" s="198">
        <v>0.21226326642552407</v>
      </c>
      <c r="Y169" s="198">
        <v>0.1744121605541602</v>
      </c>
      <c r="Z169" s="198">
        <v>0.1771719473036521</v>
      </c>
      <c r="AA169" s="198">
        <v>0.61042027679999999</v>
      </c>
    </row>
    <row r="170" spans="1:27" x14ac:dyDescent="0.2">
      <c r="A170" s="214" t="s">
        <v>1522</v>
      </c>
      <c r="B170" s="198">
        <v>8.071274477532894</v>
      </c>
      <c r="C170" s="198">
        <v>8.1426386983424859</v>
      </c>
      <c r="D170" s="198">
        <v>8.0161100828735563</v>
      </c>
      <c r="E170" s="198">
        <v>8.3859095401741222</v>
      </c>
      <c r="F170" s="198">
        <v>9.009775203421194</v>
      </c>
      <c r="G170" s="198">
        <v>8.7778429883596765</v>
      </c>
      <c r="H170" s="198">
        <v>8.7179993783289653</v>
      </c>
      <c r="I170" s="198">
        <v>8.8892068735091776</v>
      </c>
      <c r="J170" s="198">
        <v>9.2847857033966434</v>
      </c>
      <c r="K170" s="198">
        <v>8.9791635189167653</v>
      </c>
      <c r="L170" s="198">
        <v>9.0650579706816732</v>
      </c>
      <c r="M170" s="198">
        <v>9.2858719535291598</v>
      </c>
      <c r="N170" s="198">
        <v>9.5613353506711647</v>
      </c>
      <c r="O170" s="198">
        <v>9.3903486704683115</v>
      </c>
      <c r="P170" s="198">
        <v>9.620507537110683</v>
      </c>
      <c r="Q170" s="198">
        <v>9.7670984245406718</v>
      </c>
      <c r="R170" s="198">
        <v>10.02896233835857</v>
      </c>
      <c r="S170" s="198">
        <v>6.4539978718972515</v>
      </c>
      <c r="T170" s="198">
        <v>6.6613369791735275</v>
      </c>
      <c r="U170" s="198">
        <v>6.4830292624755135</v>
      </c>
      <c r="V170" s="198">
        <v>6.4626457066690346</v>
      </c>
      <c r="W170" s="198">
        <v>6.4517898820679314</v>
      </c>
      <c r="X170" s="198">
        <v>6.216555860333159</v>
      </c>
      <c r="Y170" s="198">
        <v>6.3662589908837095</v>
      </c>
      <c r="Z170" s="198">
        <v>6.776283615540371</v>
      </c>
      <c r="AA170" s="198">
        <v>6.5394392213348835</v>
      </c>
    </row>
    <row r="171" spans="1:27" x14ac:dyDescent="0.2">
      <c r="A171" s="214" t="s">
        <v>1523</v>
      </c>
      <c r="B171" s="198">
        <v>0.59531506510177734</v>
      </c>
      <c r="C171" s="198">
        <v>0.60057869426907418</v>
      </c>
      <c r="D171" s="198">
        <v>0.59124629067348389</v>
      </c>
      <c r="E171" s="198">
        <v>0.70135572961742576</v>
      </c>
      <c r="F171" s="198">
        <v>0.84316423293340259</v>
      </c>
      <c r="G171" s="198">
        <v>0.90940876235529056</v>
      </c>
      <c r="H171" s="198">
        <v>0.99118647284752559</v>
      </c>
      <c r="I171" s="198">
        <v>1.101004220934471</v>
      </c>
      <c r="J171" s="198">
        <v>1.2450564107143507</v>
      </c>
      <c r="K171" s="198">
        <v>1.2966688965651545</v>
      </c>
      <c r="L171" s="198">
        <v>1.403235518937463</v>
      </c>
      <c r="M171" s="198">
        <v>1.5345789732353394</v>
      </c>
      <c r="N171" s="198">
        <v>1.6808813916906062</v>
      </c>
      <c r="O171" s="198">
        <v>1.7505288572415931</v>
      </c>
      <c r="P171" s="198">
        <v>1.8963411873469145</v>
      </c>
      <c r="Q171" s="198">
        <v>2.0304869356770188</v>
      </c>
      <c r="R171" s="198">
        <v>2.1938040242781014</v>
      </c>
      <c r="S171" s="198">
        <v>1.4823830090851036</v>
      </c>
      <c r="T171" s="198">
        <v>1.6034118339218131</v>
      </c>
      <c r="U171" s="198">
        <v>1.6324723637725376</v>
      </c>
      <c r="V171" s="198">
        <v>1.6996362738124058</v>
      </c>
      <c r="W171" s="198">
        <v>1.2903670981350761</v>
      </c>
      <c r="X171" s="198">
        <v>1.2572785808129048</v>
      </c>
      <c r="Y171" s="198">
        <v>1.033078767658494</v>
      </c>
      <c r="Z171" s="198">
        <v>1.0494255469490359</v>
      </c>
      <c r="AA171" s="198">
        <v>0.41221084031999994</v>
      </c>
    </row>
    <row r="172" spans="1:27" x14ac:dyDescent="0.2">
      <c r="A172" s="208" t="s">
        <v>1524</v>
      </c>
      <c r="B172" s="197">
        <v>0.43767750262003818</v>
      </c>
      <c r="C172" s="197">
        <v>0.44154733928924228</v>
      </c>
      <c r="D172" s="197">
        <v>0.43468612690171116</v>
      </c>
      <c r="E172" s="197">
        <v>0.4563557265644661</v>
      </c>
      <c r="F172" s="197">
        <v>0.49205539714144286</v>
      </c>
      <c r="G172" s="197">
        <v>0.48110524762392287</v>
      </c>
      <c r="H172" s="197">
        <v>0.47954230740485909</v>
      </c>
      <c r="I172" s="197">
        <v>0.49072312633533433</v>
      </c>
      <c r="J172" s="197">
        <v>0.51441599304361563</v>
      </c>
      <c r="K172" s="197">
        <v>0.49929039714297291</v>
      </c>
      <c r="L172" s="197">
        <v>0.50590433928949963</v>
      </c>
      <c r="M172" s="197">
        <v>0.52012384949806434</v>
      </c>
      <c r="N172" s="197">
        <v>0.53752009136617307</v>
      </c>
      <c r="O172" s="197">
        <v>0.52985349207526322</v>
      </c>
      <c r="P172" s="197">
        <v>0.54484867560667505</v>
      </c>
      <c r="Q172" s="197">
        <v>0.55520485749706017</v>
      </c>
      <c r="R172" s="197">
        <v>0.572215292193758</v>
      </c>
      <c r="S172" s="197">
        <v>0.3696188213672334</v>
      </c>
      <c r="T172" s="197">
        <v>0.38292572514369033</v>
      </c>
      <c r="U172" s="197">
        <v>0.37408054792757484</v>
      </c>
      <c r="V172" s="197">
        <v>0.37431537564127704</v>
      </c>
      <c r="W172" s="197">
        <v>0.3751059277939327</v>
      </c>
      <c r="X172" s="197">
        <v>0.36142946318730207</v>
      </c>
      <c r="Y172" s="197">
        <v>0.37013317683967878</v>
      </c>
      <c r="Z172" s="197">
        <v>0.39397193632527117</v>
      </c>
      <c r="AA172" s="197">
        <v>0.38020184494672715</v>
      </c>
    </row>
    <row r="173" spans="1:27" x14ac:dyDescent="0.2">
      <c r="A173" s="209" t="s">
        <v>1525</v>
      </c>
      <c r="B173" s="192"/>
      <c r="C173" s="192"/>
      <c r="D173" s="192"/>
      <c r="E173" s="192"/>
      <c r="F173" s="192"/>
      <c r="G173" s="192"/>
      <c r="H173" s="192"/>
      <c r="I173" s="192"/>
      <c r="J173" s="192"/>
      <c r="K173" s="192"/>
      <c r="L173" s="192"/>
      <c r="M173" s="192"/>
      <c r="N173" s="192"/>
      <c r="O173" s="192"/>
      <c r="P173" s="192"/>
      <c r="Q173" s="192"/>
      <c r="R173" s="192"/>
      <c r="S173" s="192"/>
      <c r="T173" s="192"/>
      <c r="U173" s="192"/>
      <c r="V173" s="192"/>
      <c r="W173" s="192"/>
      <c r="X173" s="192"/>
      <c r="Y173" s="192"/>
      <c r="Z173" s="192"/>
      <c r="AA173" s="193"/>
    </row>
    <row r="174" spans="1:27" x14ac:dyDescent="0.2">
      <c r="A174" s="215" t="s">
        <v>1526</v>
      </c>
      <c r="B174" s="195">
        <v>58.39131628033811</v>
      </c>
      <c r="C174" s="195">
        <v>59.808438542552068</v>
      </c>
      <c r="D174" s="195">
        <v>60.648786090888414</v>
      </c>
      <c r="E174" s="195">
        <v>61.240934600747408</v>
      </c>
      <c r="F174" s="195">
        <v>62.302526700365881</v>
      </c>
      <c r="G174" s="195">
        <v>63.482635619359108</v>
      </c>
      <c r="H174" s="195">
        <v>64.669903946171274</v>
      </c>
      <c r="I174" s="195">
        <v>65.792724126858431</v>
      </c>
      <c r="J174" s="195">
        <v>67.133207956246167</v>
      </c>
      <c r="K174" s="195">
        <v>68.309292568216506</v>
      </c>
      <c r="L174" s="195">
        <v>69.51185283883008</v>
      </c>
      <c r="M174" s="195">
        <v>70.728002194358979</v>
      </c>
      <c r="N174" s="195">
        <v>71.791893823538842</v>
      </c>
      <c r="O174" s="195">
        <v>72.714156895298302</v>
      </c>
      <c r="P174" s="195">
        <v>73.548505558864548</v>
      </c>
      <c r="Q174" s="195">
        <v>75.004745524343164</v>
      </c>
      <c r="R174" s="195">
        <v>75.647886453265855</v>
      </c>
      <c r="S174" s="195">
        <v>76.640262342316873</v>
      </c>
      <c r="T174" s="195">
        <v>76.941306276845509</v>
      </c>
      <c r="U174" s="195">
        <v>77.159011290900992</v>
      </c>
      <c r="V174" s="195">
        <v>77.398809112163406</v>
      </c>
      <c r="W174" s="195">
        <v>77.882688198237872</v>
      </c>
      <c r="X174" s="195">
        <v>78.390499182094331</v>
      </c>
      <c r="Y174" s="195">
        <v>78.906229055384685</v>
      </c>
      <c r="Z174" s="195">
        <v>79.4241063832294</v>
      </c>
      <c r="AA174" s="195">
        <v>79.4241063832294</v>
      </c>
    </row>
    <row r="175" spans="1:27" x14ac:dyDescent="0.2">
      <c r="A175" s="208" t="s">
        <v>1527</v>
      </c>
      <c r="B175" s="197">
        <v>43.361656427642721</v>
      </c>
      <c r="C175" s="197">
        <v>44.521569915213924</v>
      </c>
      <c r="D175" s="197">
        <v>44.964801710640799</v>
      </c>
      <c r="E175" s="197">
        <v>45.502678007911044</v>
      </c>
      <c r="F175" s="197">
        <v>46.108848640770404</v>
      </c>
      <c r="G175" s="197">
        <v>47.170379738119365</v>
      </c>
      <c r="H175" s="197">
        <v>47.95278596759232</v>
      </c>
      <c r="I175" s="197">
        <v>48.634055060980479</v>
      </c>
      <c r="J175" s="197">
        <v>51.305321416412163</v>
      </c>
      <c r="K175" s="197">
        <v>50.992195392006401</v>
      </c>
      <c r="L175" s="197">
        <v>50.919666729738083</v>
      </c>
      <c r="M175" s="197">
        <v>50.748376047959049</v>
      </c>
      <c r="N175" s="197">
        <v>51.301534857611678</v>
      </c>
      <c r="O175" s="197">
        <v>52.152215954505124</v>
      </c>
      <c r="P175" s="197">
        <v>52.067685166270238</v>
      </c>
      <c r="Q175" s="197">
        <v>52.605434920444331</v>
      </c>
      <c r="R175" s="197">
        <v>53.218273401062881</v>
      </c>
      <c r="S175" s="197">
        <v>53.606322672479685</v>
      </c>
      <c r="T175" s="197">
        <v>55.186213228037282</v>
      </c>
      <c r="U175" s="197">
        <v>53.829057989889925</v>
      </c>
      <c r="V175" s="197">
        <v>53.482037883881915</v>
      </c>
      <c r="W175" s="197">
        <v>53.626219140829768</v>
      </c>
      <c r="X175" s="197">
        <v>53.982983065242088</v>
      </c>
      <c r="Y175" s="197">
        <v>54.168329764779209</v>
      </c>
      <c r="Z175" s="197">
        <v>54.619124943722724</v>
      </c>
      <c r="AA175" s="197">
        <v>54.619124943722724</v>
      </c>
    </row>
    <row r="176" spans="1:27" x14ac:dyDescent="0.2">
      <c r="A176" s="188" t="s">
        <v>1528</v>
      </c>
      <c r="B176" s="189"/>
      <c r="C176" s="189"/>
      <c r="D176" s="189"/>
      <c r="E176" s="189"/>
      <c r="F176" s="189"/>
      <c r="G176" s="189"/>
      <c r="H176" s="189"/>
      <c r="I176" s="189"/>
      <c r="J176" s="189"/>
      <c r="K176" s="189"/>
      <c r="L176" s="189"/>
      <c r="M176" s="189"/>
      <c r="N176" s="189"/>
      <c r="O176" s="189"/>
      <c r="P176" s="189"/>
      <c r="Q176" s="189"/>
      <c r="R176" s="189"/>
      <c r="S176" s="189"/>
      <c r="T176" s="189"/>
      <c r="U176" s="189"/>
      <c r="V176" s="189"/>
      <c r="W176" s="189"/>
      <c r="X176" s="189"/>
      <c r="Y176" s="189"/>
      <c r="Z176" s="189"/>
      <c r="AA176" s="190"/>
    </row>
    <row r="177" spans="1:27" x14ac:dyDescent="0.2">
      <c r="A177" s="209" t="s">
        <v>1529</v>
      </c>
      <c r="B177" s="192"/>
      <c r="C177" s="192"/>
      <c r="D177" s="192"/>
      <c r="E177" s="192"/>
      <c r="F177" s="192"/>
      <c r="G177" s="192"/>
      <c r="H177" s="192"/>
      <c r="I177" s="192"/>
      <c r="J177" s="192"/>
      <c r="K177" s="192"/>
      <c r="L177" s="192"/>
      <c r="M177" s="192"/>
      <c r="N177" s="192"/>
      <c r="O177" s="192"/>
      <c r="P177" s="192"/>
      <c r="Q177" s="192"/>
      <c r="R177" s="192"/>
      <c r="S177" s="192"/>
      <c r="T177" s="192"/>
      <c r="U177" s="192"/>
      <c r="V177" s="192"/>
      <c r="W177" s="192"/>
      <c r="X177" s="192"/>
      <c r="Y177" s="192"/>
      <c r="Z177" s="192"/>
      <c r="AA177" s="193"/>
    </row>
    <row r="178" spans="1:27" x14ac:dyDescent="0.2">
      <c r="A178" s="215" t="s">
        <v>1530</v>
      </c>
      <c r="B178" s="195">
        <v>0.90922319100000004</v>
      </c>
      <c r="C178" s="195">
        <v>0.85551186600000007</v>
      </c>
      <c r="D178" s="195">
        <v>0.85603477499999991</v>
      </c>
      <c r="E178" s="195">
        <v>0.8944093620000001</v>
      </c>
      <c r="F178" s="195">
        <v>0.96334860600000016</v>
      </c>
      <c r="G178" s="195">
        <v>0.96464287800000004</v>
      </c>
      <c r="H178" s="195">
        <v>0.93909737700000007</v>
      </c>
      <c r="I178" s="195">
        <v>1.0292736600000001</v>
      </c>
      <c r="J178" s="195">
        <v>0.98208280800000003</v>
      </c>
      <c r="K178" s="195">
        <v>0.96772544100000002</v>
      </c>
      <c r="L178" s="195">
        <v>1.009691055</v>
      </c>
      <c r="M178" s="195">
        <v>1.0584689310000002</v>
      </c>
      <c r="N178" s="195">
        <v>1.091680875</v>
      </c>
      <c r="O178" s="195">
        <v>1.0638097290000001</v>
      </c>
      <c r="P178" s="195">
        <v>1.1153706749999999</v>
      </c>
      <c r="Q178" s="195">
        <v>1.1195452800000001</v>
      </c>
      <c r="R178" s="195">
        <v>1.141397676</v>
      </c>
      <c r="S178" s="195">
        <v>1.156655448</v>
      </c>
      <c r="T178" s="195">
        <v>1.1629014660000001</v>
      </c>
      <c r="U178" s="195">
        <v>1.1730765240000001</v>
      </c>
      <c r="V178" s="195">
        <v>1.1827739340000001</v>
      </c>
      <c r="W178" s="195">
        <v>1.191557457</v>
      </c>
      <c r="X178" s="195">
        <v>1.1997217709999999</v>
      </c>
      <c r="Y178" s="195">
        <v>1.207158057</v>
      </c>
      <c r="Z178" s="195">
        <v>1.2179061</v>
      </c>
      <c r="AA178" s="195">
        <v>1.2278018879999999</v>
      </c>
    </row>
    <row r="179" spans="1:27" x14ac:dyDescent="0.2">
      <c r="A179" s="208" t="s">
        <v>1531</v>
      </c>
      <c r="B179" s="197">
        <v>3.0390242497950677</v>
      </c>
      <c r="C179" s="197">
        <v>3.0658945536376367</v>
      </c>
      <c r="D179" s="197">
        <v>3.0182535606602046</v>
      </c>
      <c r="E179" s="197">
        <v>3.1687169462905906</v>
      </c>
      <c r="F179" s="197">
        <v>3.4165984662308864</v>
      </c>
      <c r="G179" s="197">
        <v>3.3405658400999645</v>
      </c>
      <c r="H179" s="197">
        <v>3.329713527156573</v>
      </c>
      <c r="I179" s="197">
        <v>3.4073478118956269</v>
      </c>
      <c r="J179" s="197">
        <v>3.5718598008431992</v>
      </c>
      <c r="K179" s="197">
        <v>3.4668348624822269</v>
      </c>
      <c r="L179" s="197">
        <v>3.5127589286033176</v>
      </c>
      <c r="M179" s="197">
        <v>3.611492439202677</v>
      </c>
      <c r="N179" s="197">
        <v>3.7322836623658628</v>
      </c>
      <c r="O179" s="197">
        <v>3.6790504460843225</v>
      </c>
      <c r="P179" s="197">
        <v>3.7831698630278283</v>
      </c>
      <c r="Q179" s="197">
        <v>3.8550782606762484</v>
      </c>
      <c r="R179" s="197">
        <v>3.9731906224800002</v>
      </c>
      <c r="S179" s="197">
        <v>3.9795890641199994</v>
      </c>
      <c r="T179" s="197">
        <v>4.07675422332</v>
      </c>
      <c r="U179" s="197">
        <v>4.0993422742799996</v>
      </c>
      <c r="V179" s="197">
        <v>4.13014005432</v>
      </c>
      <c r="W179" s="197">
        <v>4.1669531945999996</v>
      </c>
      <c r="X179" s="197">
        <v>4.1996899558799994</v>
      </c>
      <c r="Y179" s="197">
        <v>4.2229282629599991</v>
      </c>
      <c r="Z179" s="197">
        <v>4.2613503451199994</v>
      </c>
      <c r="AA179" s="197">
        <v>4.3039195289999999</v>
      </c>
    </row>
    <row r="180" spans="1:27" x14ac:dyDescent="0.2">
      <c r="A180" s="209" t="s">
        <v>1445</v>
      </c>
      <c r="B180" s="192"/>
      <c r="C180" s="192"/>
      <c r="D180" s="192"/>
      <c r="E180" s="192"/>
      <c r="F180" s="192"/>
      <c r="G180" s="192"/>
      <c r="H180" s="192"/>
      <c r="I180" s="192"/>
      <c r="J180" s="192"/>
      <c r="K180" s="192"/>
      <c r="L180" s="192"/>
      <c r="M180" s="192"/>
      <c r="N180" s="192"/>
      <c r="O180" s="192"/>
      <c r="P180" s="192"/>
      <c r="Q180" s="192"/>
      <c r="R180" s="192"/>
      <c r="S180" s="192"/>
      <c r="T180" s="192"/>
      <c r="U180" s="192"/>
      <c r="V180" s="192"/>
      <c r="W180" s="192"/>
      <c r="X180" s="192"/>
      <c r="Y180" s="192"/>
      <c r="Z180" s="192"/>
      <c r="AA180" s="193"/>
    </row>
    <row r="181" spans="1:27" x14ac:dyDescent="0.2">
      <c r="A181" s="215" t="s">
        <v>1532</v>
      </c>
      <c r="B181" s="195">
        <v>47.373025070334876</v>
      </c>
      <c r="C181" s="195">
        <v>47.791885689057288</v>
      </c>
      <c r="D181" s="195">
        <v>47.049246680879662</v>
      </c>
      <c r="E181" s="195">
        <v>49.394705339235692</v>
      </c>
      <c r="F181" s="195">
        <v>53.258740797128539</v>
      </c>
      <c r="G181" s="195">
        <v>52.073526330970047</v>
      </c>
      <c r="H181" s="195">
        <v>51.904357923323047</v>
      </c>
      <c r="I181" s="195">
        <v>53.114539420725954</v>
      </c>
      <c r="J181" s="195">
        <v>55.678991013144</v>
      </c>
      <c r="K181" s="195">
        <v>54.041837562222952</v>
      </c>
      <c r="L181" s="195">
        <v>54.757712710581131</v>
      </c>
      <c r="M181" s="195">
        <v>56.296793905218195</v>
      </c>
      <c r="N181" s="195">
        <v>58.179715913350215</v>
      </c>
      <c r="O181" s="195">
        <v>57.349904012490924</v>
      </c>
      <c r="P181" s="195">
        <v>58.972941982492621</v>
      </c>
      <c r="Q181" s="195">
        <v>60.093867004659174</v>
      </c>
      <c r="R181" s="195">
        <v>61.9350302916</v>
      </c>
      <c r="S181" s="195">
        <v>62.0347707054</v>
      </c>
      <c r="T181" s="195">
        <v>63.549404069399998</v>
      </c>
      <c r="U181" s="195">
        <v>63.901511922600001</v>
      </c>
      <c r="V181" s="195">
        <v>64.381594964399994</v>
      </c>
      <c r="W181" s="195">
        <v>64.955446856999998</v>
      </c>
      <c r="X181" s="195">
        <v>65.465755194599993</v>
      </c>
      <c r="Y181" s="195">
        <v>65.827999393200002</v>
      </c>
      <c r="Z181" s="195">
        <v>66.426931850399995</v>
      </c>
      <c r="AA181" s="195">
        <v>67.090510305000009</v>
      </c>
    </row>
    <row r="182" spans="1:27" x14ac:dyDescent="0.2">
      <c r="B182" s="244"/>
      <c r="C182" s="244"/>
      <c r="D182" s="244"/>
      <c r="E182" s="244"/>
      <c r="F182" s="244"/>
      <c r="G182" s="244"/>
      <c r="H182" s="244"/>
      <c r="I182" s="244"/>
      <c r="J182" s="244"/>
      <c r="K182" s="244"/>
      <c r="L182" s="244"/>
      <c r="M182" s="244"/>
      <c r="N182" s="244"/>
      <c r="O182" s="244"/>
      <c r="P182" s="244"/>
      <c r="Q182" s="244"/>
      <c r="R182" s="244"/>
      <c r="S182" s="244"/>
      <c r="T182" s="244"/>
      <c r="U182" s="244"/>
      <c r="V182" s="244"/>
      <c r="W182" s="244"/>
      <c r="X182" s="244"/>
      <c r="Y182" s="244"/>
      <c r="Z182" s="244"/>
      <c r="AA182" s="244"/>
    </row>
    <row r="183" spans="1:27" x14ac:dyDescent="0.2">
      <c r="B183" s="244"/>
      <c r="C183" s="244"/>
      <c r="D183" s="244"/>
      <c r="E183" s="244"/>
      <c r="F183" s="244"/>
      <c r="G183" s="244"/>
      <c r="H183" s="244"/>
      <c r="I183" s="244"/>
      <c r="J183" s="244"/>
      <c r="K183" s="244"/>
      <c r="L183" s="244"/>
      <c r="M183" s="244"/>
      <c r="N183" s="244"/>
      <c r="O183" s="244"/>
      <c r="P183" s="244"/>
      <c r="Q183" s="244"/>
      <c r="R183" s="244"/>
      <c r="S183" s="244"/>
      <c r="T183" s="244"/>
      <c r="U183" s="244"/>
      <c r="V183" s="244"/>
      <c r="W183" s="244"/>
      <c r="X183" s="244"/>
      <c r="Y183" s="244"/>
      <c r="Z183" s="244"/>
      <c r="AA183" s="244"/>
    </row>
    <row r="184" spans="1:27" x14ac:dyDescent="0.2">
      <c r="A184" s="180"/>
      <c r="B184" s="244"/>
      <c r="C184" s="244"/>
      <c r="D184" s="244"/>
      <c r="E184" s="244"/>
      <c r="F184" s="244"/>
      <c r="G184" s="244"/>
      <c r="H184" s="244"/>
      <c r="I184" s="244"/>
      <c r="J184" s="244"/>
      <c r="K184" s="244"/>
      <c r="L184" s="244"/>
      <c r="M184" s="244"/>
      <c r="N184" s="244"/>
      <c r="O184" s="244"/>
      <c r="P184" s="244"/>
      <c r="Q184" s="244"/>
      <c r="R184" s="244"/>
      <c r="S184" s="244"/>
      <c r="T184" s="244"/>
      <c r="U184" s="244"/>
      <c r="V184" s="244"/>
      <c r="W184" s="244"/>
      <c r="X184" s="244"/>
      <c r="Y184" s="244"/>
      <c r="Z184" s="244"/>
      <c r="AA184" s="244"/>
    </row>
    <row r="185" spans="1:27" x14ac:dyDescent="0.2">
      <c r="B185" s="244"/>
      <c r="C185" s="244"/>
      <c r="D185" s="244"/>
      <c r="E185" s="244"/>
      <c r="F185" s="244"/>
      <c r="G185" s="244"/>
      <c r="H185" s="244"/>
      <c r="I185" s="244"/>
      <c r="J185" s="244"/>
      <c r="K185" s="244"/>
      <c r="L185" s="244"/>
      <c r="M185" s="244"/>
      <c r="N185" s="244"/>
      <c r="O185" s="244"/>
      <c r="P185" s="244"/>
      <c r="Q185" s="244"/>
      <c r="R185" s="244"/>
      <c r="S185" s="244"/>
      <c r="T185" s="244"/>
      <c r="U185" s="244"/>
      <c r="V185" s="244"/>
      <c r="W185" s="244"/>
      <c r="X185" s="244"/>
      <c r="Y185" s="244"/>
      <c r="Z185" s="244"/>
      <c r="AA185" s="244"/>
    </row>
  </sheetData>
  <pageMargins left="0.7" right="0.7" top="0.75" bottom="0.75" header="0.3" footer="0.3"/>
  <pageSetup orientation="portrait" verticalDpi="597"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5" tint="0.79998168889431442"/>
  </sheetPr>
  <dimension ref="A1:AD171"/>
  <sheetViews>
    <sheetView workbookViewId="0">
      <pane xSplit="1" ySplit="6" topLeftCell="F115" activePane="bottomRight" state="frozen"/>
      <selection activeCell="E37" sqref="E37"/>
      <selection pane="topRight" activeCell="E37" sqref="E37"/>
      <selection pane="bottomLeft" activeCell="E37" sqref="E37"/>
      <selection pane="bottomRight" activeCell="E37" sqref="E37"/>
    </sheetView>
  </sheetViews>
  <sheetFormatPr defaultColWidth="9.140625" defaultRowHeight="12" x14ac:dyDescent="0.2"/>
  <cols>
    <col min="1" max="1" width="26.5703125" style="325" customWidth="1"/>
    <col min="2" max="2" width="15.5703125" style="325" customWidth="1"/>
    <col min="3" max="28" width="10" style="180" customWidth="1"/>
    <col min="29" max="16384" width="9.140625" style="180"/>
  </cols>
  <sheetData>
    <row r="1" spans="1:28" s="167" customFormat="1" ht="15.75" x14ac:dyDescent="0.25">
      <c r="A1" s="167" t="s">
        <v>1592</v>
      </c>
      <c r="B1" s="168"/>
      <c r="C1" s="168"/>
      <c r="D1" s="168"/>
      <c r="E1" s="168"/>
      <c r="F1" s="168"/>
      <c r="G1" s="168"/>
      <c r="H1" s="168"/>
      <c r="I1" s="168"/>
      <c r="J1" s="168"/>
      <c r="K1" s="168"/>
      <c r="L1" s="168"/>
      <c r="M1" s="168"/>
      <c r="N1" s="168"/>
      <c r="O1" s="168"/>
      <c r="P1" s="168"/>
      <c r="Q1" s="168"/>
      <c r="R1" s="168"/>
      <c r="S1" s="168"/>
      <c r="T1" s="168"/>
      <c r="U1" s="168"/>
      <c r="V1" s="168"/>
      <c r="W1" s="168"/>
      <c r="X1" s="168"/>
    </row>
    <row r="2" spans="1:28" s="229" customFormat="1" x14ac:dyDescent="0.2">
      <c r="A2" s="213"/>
      <c r="B2" s="257"/>
    </row>
    <row r="3" spans="1:28" s="229" customFormat="1" ht="12.75" x14ac:dyDescent="0.2">
      <c r="A3" s="172" t="s">
        <v>1386</v>
      </c>
      <c r="B3" s="257"/>
    </row>
    <row r="4" spans="1:28" s="213" customFormat="1" x14ac:dyDescent="0.2">
      <c r="A4" s="173" t="s">
        <v>1387</v>
      </c>
      <c r="B4" s="258"/>
    </row>
    <row r="5" spans="1:28" s="213" customFormat="1" x14ac:dyDescent="0.2">
      <c r="A5" s="173"/>
      <c r="B5" s="258"/>
    </row>
    <row r="6" spans="1:28" s="262" customFormat="1" x14ac:dyDescent="0.2">
      <c r="A6" s="174" t="s">
        <v>1389</v>
      </c>
      <c r="B6" s="259" t="s">
        <v>1593</v>
      </c>
      <c r="C6" s="260">
        <v>1990</v>
      </c>
      <c r="D6" s="260">
        <v>1991</v>
      </c>
      <c r="E6" s="260">
        <v>1992</v>
      </c>
      <c r="F6" s="260">
        <v>1993</v>
      </c>
      <c r="G6" s="260">
        <v>1994</v>
      </c>
      <c r="H6" s="260">
        <v>1995</v>
      </c>
      <c r="I6" s="260">
        <v>1996</v>
      </c>
      <c r="J6" s="260">
        <v>1997</v>
      </c>
      <c r="K6" s="260">
        <v>1998</v>
      </c>
      <c r="L6" s="260">
        <v>1999</v>
      </c>
      <c r="M6" s="260">
        <v>2000</v>
      </c>
      <c r="N6" s="260">
        <v>2001</v>
      </c>
      <c r="O6" s="260">
        <v>2002</v>
      </c>
      <c r="P6" s="261">
        <v>2003</v>
      </c>
      <c r="Q6" s="261">
        <v>2004</v>
      </c>
      <c r="R6" s="261">
        <v>2005</v>
      </c>
      <c r="S6" s="261">
        <v>2006</v>
      </c>
      <c r="T6" s="261">
        <v>2007</v>
      </c>
      <c r="U6" s="261">
        <v>2008</v>
      </c>
      <c r="V6" s="261">
        <v>2009</v>
      </c>
      <c r="W6" s="261">
        <v>2010</v>
      </c>
      <c r="X6" s="261">
        <v>2011</v>
      </c>
      <c r="Y6" s="261">
        <v>2012</v>
      </c>
      <c r="Z6" s="261">
        <v>2013</v>
      </c>
      <c r="AA6" s="261">
        <v>2014</v>
      </c>
      <c r="AB6" s="261">
        <v>2015</v>
      </c>
    </row>
    <row r="7" spans="1:28" ht="12.75" x14ac:dyDescent="0.2">
      <c r="A7" s="177" t="s">
        <v>1390</v>
      </c>
      <c r="B7" s="263"/>
      <c r="C7" s="264"/>
      <c r="D7" s="264"/>
      <c r="E7" s="264"/>
      <c r="F7" s="264"/>
      <c r="G7" s="264"/>
      <c r="H7" s="264"/>
      <c r="I7" s="264"/>
      <c r="J7" s="264"/>
      <c r="K7" s="264"/>
      <c r="L7" s="264"/>
      <c r="M7" s="264"/>
      <c r="N7" s="264"/>
      <c r="O7" s="264"/>
      <c r="P7" s="264"/>
      <c r="Q7" s="264"/>
      <c r="R7" s="264"/>
      <c r="S7" s="264"/>
      <c r="T7" s="264"/>
      <c r="U7" s="264"/>
      <c r="V7" s="264"/>
      <c r="W7" s="264"/>
      <c r="X7" s="264"/>
      <c r="Y7" s="264"/>
      <c r="Z7" s="264"/>
      <c r="AA7" s="264"/>
      <c r="AB7" s="265"/>
    </row>
    <row r="8" spans="1:28" x14ac:dyDescent="0.2">
      <c r="A8" s="266" t="s">
        <v>1395</v>
      </c>
      <c r="B8" s="267"/>
      <c r="C8" s="268"/>
      <c r="D8" s="268"/>
      <c r="E8" s="268"/>
      <c r="F8" s="268"/>
      <c r="G8" s="268"/>
      <c r="H8" s="268"/>
      <c r="I8" s="268"/>
      <c r="J8" s="268"/>
      <c r="K8" s="268"/>
      <c r="L8" s="268"/>
      <c r="M8" s="268"/>
      <c r="N8" s="268"/>
      <c r="O8" s="268"/>
      <c r="P8" s="268"/>
      <c r="Q8" s="268"/>
      <c r="R8" s="268"/>
      <c r="S8" s="268"/>
      <c r="T8" s="268"/>
      <c r="U8" s="268"/>
      <c r="V8" s="268"/>
      <c r="W8" s="268"/>
      <c r="X8" s="268"/>
      <c r="Y8" s="268"/>
      <c r="Z8" s="268"/>
      <c r="AA8" s="268"/>
      <c r="AB8" s="269"/>
    </row>
    <row r="9" spans="1:28" x14ac:dyDescent="0.2">
      <c r="A9" s="270" t="s">
        <v>1594</v>
      </c>
      <c r="B9" s="270" t="s">
        <v>1595</v>
      </c>
      <c r="C9" s="271">
        <v>202628</v>
      </c>
      <c r="D9" s="271">
        <v>224224</v>
      </c>
      <c r="E9" s="271">
        <v>221428</v>
      </c>
      <c r="F9" s="271">
        <v>227636</v>
      </c>
      <c r="G9" s="271">
        <v>234780</v>
      </c>
      <c r="H9" s="271">
        <v>236844</v>
      </c>
      <c r="I9" s="271">
        <v>248609</v>
      </c>
      <c r="J9" s="271">
        <v>253629</v>
      </c>
      <c r="K9" s="271">
        <v>263740</v>
      </c>
      <c r="L9" s="271">
        <v>268926</v>
      </c>
      <c r="M9" s="271">
        <v>274433</v>
      </c>
      <c r="N9" s="271">
        <v>299848</v>
      </c>
      <c r="O9" s="271">
        <v>308191</v>
      </c>
      <c r="P9" s="271">
        <v>324189</v>
      </c>
      <c r="Q9" s="271">
        <v>338266</v>
      </c>
      <c r="R9" s="271">
        <v>355234</v>
      </c>
      <c r="S9" s="271">
        <v>377874</v>
      </c>
      <c r="T9" s="271">
        <v>391831</v>
      </c>
      <c r="U9" s="271">
        <v>420495</v>
      </c>
      <c r="V9" s="271">
        <v>426905</v>
      </c>
      <c r="W9" s="271">
        <v>434654</v>
      </c>
      <c r="X9" s="271">
        <v>440371</v>
      </c>
      <c r="Y9" s="271">
        <v>438672</v>
      </c>
      <c r="Z9" s="271">
        <v>431926</v>
      </c>
      <c r="AA9" s="271">
        <v>433941</v>
      </c>
      <c r="AB9" s="271">
        <v>421893</v>
      </c>
    </row>
    <row r="10" spans="1:28" ht="24" x14ac:dyDescent="0.2">
      <c r="A10" s="272" t="s">
        <v>1396</v>
      </c>
      <c r="B10" s="272" t="s">
        <v>1595</v>
      </c>
      <c r="C10" s="273">
        <v>140930</v>
      </c>
      <c r="D10" s="273">
        <v>146354</v>
      </c>
      <c r="E10" s="273">
        <v>145226</v>
      </c>
      <c r="F10" s="273">
        <v>145867</v>
      </c>
      <c r="G10" s="273">
        <v>147367</v>
      </c>
      <c r="H10" s="273">
        <v>147210</v>
      </c>
      <c r="I10" s="273">
        <v>150343</v>
      </c>
      <c r="J10" s="273">
        <v>150453</v>
      </c>
      <c r="K10" s="273">
        <v>155596</v>
      </c>
      <c r="L10" s="273">
        <v>156457</v>
      </c>
      <c r="M10" s="273">
        <v>152966</v>
      </c>
      <c r="N10" s="273">
        <v>165198</v>
      </c>
      <c r="O10" s="273">
        <v>166337</v>
      </c>
      <c r="P10" s="273">
        <v>171410</v>
      </c>
      <c r="Q10" s="273">
        <v>176954</v>
      </c>
      <c r="R10" s="273">
        <v>177013</v>
      </c>
      <c r="S10" s="273">
        <v>183569</v>
      </c>
      <c r="T10" s="273">
        <v>185986</v>
      </c>
      <c r="U10" s="273">
        <v>194134</v>
      </c>
      <c r="V10" s="273">
        <v>193147</v>
      </c>
      <c r="W10" s="273">
        <v>192347</v>
      </c>
      <c r="X10" s="273">
        <v>192230</v>
      </c>
      <c r="Y10" s="273">
        <v>188651</v>
      </c>
      <c r="Z10" s="273">
        <v>184392</v>
      </c>
      <c r="AA10" s="273">
        <v>183025</v>
      </c>
      <c r="AB10" s="273">
        <v>179658</v>
      </c>
    </row>
    <row r="11" spans="1:28" ht="24" x14ac:dyDescent="0.2">
      <c r="A11" s="274" t="s">
        <v>1397</v>
      </c>
      <c r="B11" s="274" t="s">
        <v>1595</v>
      </c>
      <c r="C11" s="275">
        <v>61698</v>
      </c>
      <c r="D11" s="275">
        <v>77870</v>
      </c>
      <c r="E11" s="275">
        <v>76202</v>
      </c>
      <c r="F11" s="275">
        <v>81769</v>
      </c>
      <c r="G11" s="275">
        <v>87413</v>
      </c>
      <c r="H11" s="275">
        <v>89634</v>
      </c>
      <c r="I11" s="275">
        <v>98266</v>
      </c>
      <c r="J11" s="275">
        <v>103176</v>
      </c>
      <c r="K11" s="275">
        <v>108144</v>
      </c>
      <c r="L11" s="275">
        <v>112469</v>
      </c>
      <c r="M11" s="275">
        <v>121467</v>
      </c>
      <c r="N11" s="275">
        <v>134650</v>
      </c>
      <c r="O11" s="275">
        <v>141854</v>
      </c>
      <c r="P11" s="275">
        <v>152779</v>
      </c>
      <c r="Q11" s="275">
        <v>161312</v>
      </c>
      <c r="R11" s="275">
        <v>178221</v>
      </c>
      <c r="S11" s="275">
        <v>194305</v>
      </c>
      <c r="T11" s="275">
        <v>205845</v>
      </c>
      <c r="U11" s="275">
        <v>226361</v>
      </c>
      <c r="V11" s="275">
        <v>233758</v>
      </c>
      <c r="W11" s="275">
        <v>242307</v>
      </c>
      <c r="X11" s="275">
        <v>248141</v>
      </c>
      <c r="Y11" s="275">
        <v>250021</v>
      </c>
      <c r="Z11" s="275">
        <v>247534</v>
      </c>
      <c r="AA11" s="275">
        <v>250916</v>
      </c>
      <c r="AB11" s="275">
        <v>242235</v>
      </c>
    </row>
    <row r="12" spans="1:28" x14ac:dyDescent="0.2">
      <c r="A12" s="221" t="s">
        <v>1398</v>
      </c>
      <c r="B12" s="276"/>
      <c r="C12" s="277"/>
      <c r="D12" s="277"/>
      <c r="E12" s="277"/>
      <c r="F12" s="277"/>
      <c r="G12" s="277"/>
      <c r="H12" s="277"/>
      <c r="I12" s="277"/>
      <c r="J12" s="277"/>
      <c r="K12" s="277"/>
      <c r="L12" s="277"/>
      <c r="M12" s="277"/>
      <c r="N12" s="277"/>
      <c r="O12" s="277"/>
      <c r="P12" s="277"/>
      <c r="Q12" s="277"/>
      <c r="R12" s="277"/>
      <c r="S12" s="277"/>
      <c r="T12" s="277"/>
      <c r="U12" s="277"/>
      <c r="V12" s="277"/>
      <c r="W12" s="277"/>
      <c r="X12" s="277"/>
      <c r="Y12" s="277"/>
      <c r="Z12" s="277"/>
      <c r="AA12" s="277"/>
      <c r="AB12" s="278"/>
    </row>
    <row r="13" spans="1:28" x14ac:dyDescent="0.2">
      <c r="A13" s="270" t="s">
        <v>1399</v>
      </c>
      <c r="B13" s="270" t="s">
        <v>1596</v>
      </c>
      <c r="C13" s="271">
        <v>48572.908000000003</v>
      </c>
      <c r="D13" s="271">
        <v>49455.762999999999</v>
      </c>
      <c r="E13" s="271">
        <v>49670.604000000007</v>
      </c>
      <c r="F13" s="271">
        <v>51993.263932821021</v>
      </c>
      <c r="G13" s="271">
        <v>53947.695855553764</v>
      </c>
      <c r="H13" s="271">
        <v>53954.915138205964</v>
      </c>
      <c r="I13" s="271">
        <v>57757.501270314446</v>
      </c>
      <c r="J13" s="271">
        <v>58588.422079576238</v>
      </c>
      <c r="K13" s="271">
        <v>61373.416598037089</v>
      </c>
      <c r="L13" s="271">
        <v>61364.132665667457</v>
      </c>
      <c r="M13" s="271">
        <v>60926.460946233652</v>
      </c>
      <c r="N13" s="271">
        <v>67028.339983951708</v>
      </c>
      <c r="O13" s="271">
        <v>67914.642370336151</v>
      </c>
      <c r="P13" s="271">
        <v>71261.845734365066</v>
      </c>
      <c r="Q13" s="271">
        <v>72290.231137830226</v>
      </c>
      <c r="R13" s="271">
        <v>75388.732329446124</v>
      </c>
      <c r="S13" s="271">
        <v>79351.234317694601</v>
      </c>
      <c r="T13" s="271">
        <v>79734.222668486036</v>
      </c>
      <c r="U13" s="271">
        <v>85702.735056238831</v>
      </c>
      <c r="V13" s="271">
        <v>86546.708834411053</v>
      </c>
      <c r="W13" s="271">
        <v>89889.475134822205</v>
      </c>
      <c r="X13" s="271">
        <v>90901.279446410437</v>
      </c>
      <c r="Y13" s="271">
        <v>90550.572261379042</v>
      </c>
      <c r="Z13" s="271">
        <v>89158.06450962997</v>
      </c>
      <c r="AA13" s="271">
        <v>89574.000341200459</v>
      </c>
      <c r="AB13" s="271">
        <v>87087.054982013869</v>
      </c>
    </row>
    <row r="14" spans="1:28" x14ac:dyDescent="0.2">
      <c r="A14" s="272" t="s">
        <v>1400</v>
      </c>
      <c r="B14" s="272" t="s">
        <v>1597</v>
      </c>
      <c r="C14" s="273">
        <v>119215.545</v>
      </c>
      <c r="D14" s="273">
        <v>134084.19699999999</v>
      </c>
      <c r="E14" s="273">
        <v>131871.48499999999</v>
      </c>
      <c r="F14" s="273">
        <v>136189.52634560855</v>
      </c>
      <c r="G14" s="273">
        <v>141433.54340869741</v>
      </c>
      <c r="H14" s="273">
        <v>143438.96237594224</v>
      </c>
      <c r="I14" s="273">
        <v>151926.17073747111</v>
      </c>
      <c r="J14" s="273">
        <v>155719.24734985578</v>
      </c>
      <c r="K14" s="273">
        <v>163649.66670798423</v>
      </c>
      <c r="L14" s="273">
        <v>167928.51152241835</v>
      </c>
      <c r="M14" s="273">
        <v>172718.45713709251</v>
      </c>
      <c r="N14" s="273">
        <v>191550.34820034693</v>
      </c>
      <c r="O14" s="273">
        <v>198299.77184277828</v>
      </c>
      <c r="P14" s="273">
        <v>210482.0630485728</v>
      </c>
      <c r="Q14" s="273">
        <v>222398.44135103939</v>
      </c>
      <c r="R14" s="273">
        <v>235386.50042970272</v>
      </c>
      <c r="S14" s="273">
        <v>253014.6823572056</v>
      </c>
      <c r="T14" s="273">
        <v>264859.05385097477</v>
      </c>
      <c r="U14" s="273">
        <v>286844.40258006193</v>
      </c>
      <c r="V14" s="273">
        <v>292189.54157627746</v>
      </c>
      <c r="W14" s="273">
        <v>297312.09341735445</v>
      </c>
      <c r="X14" s="273">
        <v>301705.87272898608</v>
      </c>
      <c r="Y14" s="273">
        <v>300541.85811910819</v>
      </c>
      <c r="Z14" s="273">
        <v>295920.05555393081</v>
      </c>
      <c r="AA14" s="273">
        <v>297300.56728960114</v>
      </c>
      <c r="AB14" s="273">
        <v>289046.27181001962</v>
      </c>
    </row>
    <row r="15" spans="1:28" x14ac:dyDescent="0.2">
      <c r="A15" s="272" t="s">
        <v>1401</v>
      </c>
      <c r="B15" s="272" t="s">
        <v>1598</v>
      </c>
      <c r="C15" s="273">
        <v>28250.121534253849</v>
      </c>
      <c r="D15" s="273">
        <v>31261.006627398649</v>
      </c>
      <c r="E15" s="273">
        <v>30871.192091353423</v>
      </c>
      <c r="F15" s="273">
        <v>30424.758859623686</v>
      </c>
      <c r="G15" s="273">
        <v>29746.867785202463</v>
      </c>
      <c r="H15" s="273">
        <v>29550.775573768071</v>
      </c>
      <c r="I15" s="273">
        <v>28416.05484338235</v>
      </c>
      <c r="J15" s="273">
        <v>27958.763248462608</v>
      </c>
      <c r="K15" s="273">
        <v>26984.35254969513</v>
      </c>
      <c r="L15" s="273">
        <v>26495.25012116697</v>
      </c>
      <c r="M15" s="273">
        <v>26162.980059127342</v>
      </c>
      <c r="N15" s="273">
        <v>23997.94689311432</v>
      </c>
      <c r="O15" s="273">
        <v>23490.363327382034</v>
      </c>
      <c r="P15" s="273">
        <v>22146.179589890806</v>
      </c>
      <c r="Q15" s="273">
        <v>20830.284328879334</v>
      </c>
      <c r="R15" s="273">
        <v>19485.75822554174</v>
      </c>
      <c r="S15" s="273">
        <v>17495.556201890435</v>
      </c>
      <c r="T15" s="273">
        <v>16215.493045044364</v>
      </c>
      <c r="U15" s="273">
        <v>13507.088421852748</v>
      </c>
      <c r="V15" s="273">
        <v>12918.713356739583</v>
      </c>
      <c r="W15" s="273">
        <v>12260.959940484658</v>
      </c>
      <c r="X15" s="273">
        <v>11727.027770466339</v>
      </c>
      <c r="Y15" s="273">
        <v>11681.783600931964</v>
      </c>
      <c r="Z15" s="273">
        <v>11502.138416894944</v>
      </c>
      <c r="AA15" s="273">
        <v>11555.797629144367</v>
      </c>
      <c r="AB15" s="273">
        <v>11234.960810692248</v>
      </c>
    </row>
    <row r="16" spans="1:28" x14ac:dyDescent="0.2">
      <c r="A16" s="272" t="s">
        <v>1402</v>
      </c>
      <c r="B16" s="272" t="s">
        <v>1599</v>
      </c>
      <c r="C16" s="273">
        <v>182647.0333652831</v>
      </c>
      <c r="D16" s="273">
        <v>186130.48602537785</v>
      </c>
      <c r="E16" s="273">
        <v>186105.10972878413</v>
      </c>
      <c r="F16" s="273">
        <v>195364.31891960453</v>
      </c>
      <c r="G16" s="273">
        <v>203109.38179288458</v>
      </c>
      <c r="H16" s="273">
        <v>204179.58753033174</v>
      </c>
      <c r="I16" s="273">
        <v>219345.06878150164</v>
      </c>
      <c r="J16" s="273">
        <v>224290.97859967154</v>
      </c>
      <c r="K16" s="273">
        <v>233741.58212396177</v>
      </c>
      <c r="L16" s="273">
        <v>235427.55452264586</v>
      </c>
      <c r="M16" s="273">
        <v>236024.15420777234</v>
      </c>
      <c r="N16" s="273">
        <v>263586.58390093438</v>
      </c>
      <c r="O16" s="273">
        <v>268515.07395188988</v>
      </c>
      <c r="P16" s="273">
        <v>283637.7739243384</v>
      </c>
      <c r="Q16" s="273">
        <v>290226.98934120557</v>
      </c>
      <c r="R16" s="273">
        <v>305242.11492496531</v>
      </c>
      <c r="S16" s="273">
        <v>324483.89539417508</v>
      </c>
      <c r="T16" s="273">
        <v>329251.27398382855</v>
      </c>
      <c r="U16" s="273">
        <v>356582.55874786223</v>
      </c>
      <c r="V16" s="273">
        <v>360568.49450765445</v>
      </c>
      <c r="W16" s="273">
        <v>372471.95445508225</v>
      </c>
      <c r="X16" s="273">
        <v>377597.41522793821</v>
      </c>
      <c r="Y16" s="273">
        <v>376140.60265746404</v>
      </c>
      <c r="Z16" s="273">
        <v>370356.2250233154</v>
      </c>
      <c r="AA16" s="273">
        <v>372083.99272755638</v>
      </c>
      <c r="AB16" s="273">
        <v>361753.39952621883</v>
      </c>
    </row>
    <row r="17" spans="1:28" x14ac:dyDescent="0.2">
      <c r="A17" s="274" t="s">
        <v>1403</v>
      </c>
      <c r="B17" s="274" t="s">
        <v>1600</v>
      </c>
      <c r="C17" s="275">
        <v>17574.572</v>
      </c>
      <c r="D17" s="275">
        <v>17808.904999999999</v>
      </c>
      <c r="E17" s="275">
        <v>17749.766</v>
      </c>
      <c r="F17" s="275">
        <v>18932.053818860899</v>
      </c>
      <c r="G17" s="275">
        <v>19616.242600246835</v>
      </c>
      <c r="H17" s="275">
        <v>19837.904261810247</v>
      </c>
      <c r="I17" s="275">
        <v>21349.599409447179</v>
      </c>
      <c r="J17" s="275">
        <v>21434.904078462263</v>
      </c>
      <c r="K17" s="275">
        <v>23104.658113079007</v>
      </c>
      <c r="L17" s="275">
        <v>22670.79795089586</v>
      </c>
      <c r="M17" s="275">
        <v>22432.382741247275</v>
      </c>
      <c r="N17" s="275">
        <v>24630.595720765763</v>
      </c>
      <c r="O17" s="275">
        <v>25256.742654114678</v>
      </c>
      <c r="P17" s="275">
        <v>26649.657548153576</v>
      </c>
      <c r="Q17" s="275">
        <v>27216.696722490793</v>
      </c>
      <c r="R17" s="275">
        <v>28423.04437351623</v>
      </c>
      <c r="S17" s="275">
        <v>29889.480392022902</v>
      </c>
      <c r="T17" s="275">
        <v>29911.892927207369</v>
      </c>
      <c r="U17" s="275">
        <v>32052.166929899286</v>
      </c>
      <c r="V17" s="275">
        <v>32628.006812264764</v>
      </c>
      <c r="W17" s="275">
        <v>34178.257375712972</v>
      </c>
      <c r="X17" s="275">
        <v>34472.7393521091</v>
      </c>
      <c r="Y17" s="275">
        <v>34339.739712806717</v>
      </c>
      <c r="Z17" s="275">
        <v>33811.655212080441</v>
      </c>
      <c r="AA17" s="275">
        <v>33969.39168835726</v>
      </c>
      <c r="AB17" s="275">
        <v>33026.26063814231</v>
      </c>
    </row>
    <row r="18" spans="1:28" x14ac:dyDescent="0.2">
      <c r="A18" s="221" t="s">
        <v>1404</v>
      </c>
      <c r="B18" s="276"/>
      <c r="C18" s="277"/>
      <c r="D18" s="277"/>
      <c r="E18" s="277"/>
      <c r="F18" s="277"/>
      <c r="G18" s="277"/>
      <c r="H18" s="277"/>
      <c r="I18" s="277"/>
      <c r="J18" s="277"/>
      <c r="K18" s="277"/>
      <c r="L18" s="277"/>
      <c r="M18" s="277"/>
      <c r="N18" s="277"/>
      <c r="O18" s="277"/>
      <c r="P18" s="277"/>
      <c r="Q18" s="277"/>
      <c r="R18" s="277"/>
      <c r="S18" s="277"/>
      <c r="T18" s="277"/>
      <c r="U18" s="277"/>
      <c r="V18" s="277"/>
      <c r="W18" s="277"/>
      <c r="X18" s="277"/>
      <c r="Y18" s="277"/>
      <c r="Z18" s="277"/>
      <c r="AA18" s="277"/>
      <c r="AB18" s="278"/>
    </row>
    <row r="19" spans="1:28" ht="24" x14ac:dyDescent="0.2">
      <c r="A19" s="270" t="s">
        <v>1405</v>
      </c>
      <c r="B19" s="270" t="s">
        <v>1601</v>
      </c>
      <c r="C19" s="271">
        <v>2565</v>
      </c>
      <c r="D19" s="271">
        <v>2576</v>
      </c>
      <c r="E19" s="271">
        <v>2615</v>
      </c>
      <c r="F19" s="271">
        <v>2661</v>
      </c>
      <c r="G19" s="271">
        <v>2718</v>
      </c>
      <c r="H19" s="271">
        <v>2732</v>
      </c>
      <c r="I19" s="271">
        <v>2712</v>
      </c>
      <c r="J19" s="271">
        <v>2715</v>
      </c>
      <c r="K19" s="271">
        <v>2754</v>
      </c>
      <c r="L19" s="271">
        <v>3049</v>
      </c>
      <c r="M19" s="271">
        <v>2844</v>
      </c>
      <c r="N19" s="271">
        <v>2894</v>
      </c>
      <c r="O19" s="271">
        <v>2867</v>
      </c>
      <c r="P19" s="271">
        <v>2915</v>
      </c>
      <c r="Q19" s="271">
        <v>2912</v>
      </c>
      <c r="R19" s="271">
        <v>2968</v>
      </c>
      <c r="S19" s="271">
        <v>3122</v>
      </c>
      <c r="T19" s="271">
        <v>3299</v>
      </c>
      <c r="U19" s="271">
        <v>3568</v>
      </c>
      <c r="V19" s="271">
        <v>3656</v>
      </c>
      <c r="W19" s="271">
        <v>3838</v>
      </c>
      <c r="X19" s="271">
        <v>4246</v>
      </c>
      <c r="Y19" s="271">
        <v>4549</v>
      </c>
      <c r="Z19" s="271">
        <v>4638</v>
      </c>
      <c r="AA19" s="271">
        <v>5034</v>
      </c>
      <c r="AB19" s="271">
        <v>5276</v>
      </c>
    </row>
    <row r="20" spans="1:28" x14ac:dyDescent="0.2">
      <c r="A20" s="274" t="s">
        <v>1406</v>
      </c>
      <c r="B20" s="274" t="s">
        <v>1602</v>
      </c>
      <c r="C20" s="275">
        <v>241763</v>
      </c>
      <c r="D20" s="275">
        <v>251564</v>
      </c>
      <c r="E20" s="275">
        <v>250393</v>
      </c>
      <c r="F20" s="275">
        <v>253627</v>
      </c>
      <c r="G20" s="275">
        <v>258743</v>
      </c>
      <c r="H20" s="275">
        <v>260124</v>
      </c>
      <c r="I20" s="275">
        <v>266848</v>
      </c>
      <c r="J20" s="275">
        <v>270367</v>
      </c>
      <c r="K20" s="275">
        <v>278005</v>
      </c>
      <c r="L20" s="275">
        <v>283797</v>
      </c>
      <c r="M20" s="275">
        <v>290738</v>
      </c>
      <c r="N20" s="275">
        <v>308565</v>
      </c>
      <c r="O20" s="275">
        <v>317132</v>
      </c>
      <c r="P20" s="275">
        <v>329420</v>
      </c>
      <c r="Q20" s="275">
        <v>342782</v>
      </c>
      <c r="R20" s="275">
        <v>356633</v>
      </c>
      <c r="S20" s="275">
        <v>374756</v>
      </c>
      <c r="T20" s="275">
        <v>389133</v>
      </c>
      <c r="U20" s="275">
        <v>409885</v>
      </c>
      <c r="V20" s="275">
        <v>415431</v>
      </c>
      <c r="W20" s="275">
        <v>419330</v>
      </c>
      <c r="X20" s="275">
        <v>423560</v>
      </c>
      <c r="Y20" s="275">
        <v>421662</v>
      </c>
      <c r="Z20" s="275">
        <v>415483</v>
      </c>
      <c r="AA20" s="275">
        <v>414360</v>
      </c>
      <c r="AB20" s="275">
        <v>408465</v>
      </c>
    </row>
    <row r="21" spans="1:28" x14ac:dyDescent="0.2">
      <c r="A21" s="221" t="s">
        <v>1408</v>
      </c>
      <c r="B21" s="276"/>
      <c r="C21" s="277"/>
      <c r="D21" s="277"/>
      <c r="E21" s="277"/>
      <c r="F21" s="277"/>
      <c r="G21" s="277"/>
      <c r="H21" s="277"/>
      <c r="I21" s="277"/>
      <c r="J21" s="277"/>
      <c r="K21" s="277"/>
      <c r="L21" s="277"/>
      <c r="M21" s="277"/>
      <c r="N21" s="277"/>
      <c r="O21" s="277"/>
      <c r="P21" s="277"/>
      <c r="Q21" s="277"/>
      <c r="R21" s="277"/>
      <c r="S21" s="277"/>
      <c r="T21" s="277"/>
      <c r="U21" s="277"/>
      <c r="V21" s="277"/>
      <c r="W21" s="277"/>
      <c r="X21" s="277"/>
      <c r="Y21" s="277"/>
      <c r="Z21" s="277"/>
      <c r="AA21" s="277"/>
      <c r="AB21" s="278"/>
    </row>
    <row r="22" spans="1:28" ht="24" x14ac:dyDescent="0.2">
      <c r="A22" s="270" t="s">
        <v>1409</v>
      </c>
      <c r="B22" s="270" t="s">
        <v>1603</v>
      </c>
      <c r="C22" s="271">
        <v>366.03862203515359</v>
      </c>
      <c r="D22" s="271">
        <v>405.05085174413352</v>
      </c>
      <c r="E22" s="271">
        <v>399.99999999999994</v>
      </c>
      <c r="F22" s="271">
        <v>411.21448055349811</v>
      </c>
      <c r="G22" s="271">
        <v>424.11980418013985</v>
      </c>
      <c r="H22" s="271">
        <v>427.84832993117402</v>
      </c>
      <c r="I22" s="271">
        <v>449.10128800332387</v>
      </c>
      <c r="J22" s="271">
        <v>458.16969850244766</v>
      </c>
      <c r="K22" s="271">
        <v>476.43477789620113</v>
      </c>
      <c r="L22" s="271">
        <v>485.80306013692939</v>
      </c>
      <c r="M22" s="271">
        <v>495.75121484184479</v>
      </c>
      <c r="N22" s="271">
        <v>541.66230106400269</v>
      </c>
      <c r="O22" s="271">
        <v>556.7335657640408</v>
      </c>
      <c r="P22" s="271">
        <v>585.63325324710513</v>
      </c>
      <c r="Q22" s="271">
        <v>611.06273822642129</v>
      </c>
      <c r="R22" s="271">
        <v>641.71468829596972</v>
      </c>
      <c r="S22" s="271">
        <v>682.61285835576348</v>
      </c>
      <c r="T22" s="271">
        <v>707.82556858211262</v>
      </c>
      <c r="U22" s="271">
        <v>759.60583124085497</v>
      </c>
      <c r="V22" s="271">
        <v>771.18521596184758</v>
      </c>
      <c r="W22" s="271">
        <v>785.1834456346985</v>
      </c>
      <c r="X22" s="271">
        <v>795.51095615730617</v>
      </c>
      <c r="Y22" s="271">
        <v>792.44178694654693</v>
      </c>
      <c r="Z22" s="271">
        <v>780.25543291724625</v>
      </c>
      <c r="AA22" s="271">
        <v>783.89544231081891</v>
      </c>
      <c r="AB22" s="271">
        <v>762.13125711292162</v>
      </c>
    </row>
    <row r="23" spans="1:28" ht="24" x14ac:dyDescent="0.2">
      <c r="A23" s="272" t="s">
        <v>1410</v>
      </c>
      <c r="B23" s="272" t="s">
        <v>1604</v>
      </c>
      <c r="C23" s="273">
        <v>6130.4549999999999</v>
      </c>
      <c r="D23" s="273">
        <v>6366.3989999999994</v>
      </c>
      <c r="E23" s="273">
        <v>6317.3310000000001</v>
      </c>
      <c r="F23" s="273">
        <v>6345.2144999999991</v>
      </c>
      <c r="G23" s="273">
        <v>6410.4645</v>
      </c>
      <c r="H23" s="273">
        <v>6403.6349999999984</v>
      </c>
      <c r="I23" s="273">
        <v>6539.9205000000002</v>
      </c>
      <c r="J23" s="273">
        <v>6544.7054999999991</v>
      </c>
      <c r="K23" s="273">
        <v>6768.4259999999995</v>
      </c>
      <c r="L23" s="273">
        <v>6805.8795</v>
      </c>
      <c r="M23" s="273">
        <v>6654.0209999999997</v>
      </c>
      <c r="N23" s="273">
        <v>7186.1130000000003</v>
      </c>
      <c r="O23" s="273">
        <v>7235.6594999999998</v>
      </c>
      <c r="P23" s="273">
        <v>7456.3349999999991</v>
      </c>
      <c r="Q23" s="273">
        <v>7697.4990000000007</v>
      </c>
      <c r="R23" s="273">
        <v>7700.0655000000015</v>
      </c>
      <c r="S23" s="273">
        <v>7985.2514999999994</v>
      </c>
      <c r="T23" s="273">
        <v>8090.3909999999987</v>
      </c>
      <c r="U23" s="273">
        <v>8444.8289999999979</v>
      </c>
      <c r="V23" s="273">
        <v>8401.8945000000003</v>
      </c>
      <c r="W23" s="273">
        <v>8367.0944999999992</v>
      </c>
      <c r="X23" s="273">
        <v>8362.005000000001</v>
      </c>
      <c r="Y23" s="273">
        <v>8206.3184999999994</v>
      </c>
      <c r="Z23" s="273">
        <v>8021.0519999999988</v>
      </c>
      <c r="AA23" s="273">
        <v>7961.5874999999996</v>
      </c>
      <c r="AB23" s="273">
        <v>7815.1229999999996</v>
      </c>
    </row>
    <row r="24" spans="1:28" ht="36" x14ac:dyDescent="0.2">
      <c r="A24" s="272" t="s">
        <v>1411</v>
      </c>
      <c r="B24" s="272" t="s">
        <v>1605</v>
      </c>
      <c r="C24" s="273">
        <v>3763.7820000000002</v>
      </c>
      <c r="D24" s="273">
        <v>3749.1299999999997</v>
      </c>
      <c r="E24" s="273">
        <v>2942.1180000000004</v>
      </c>
      <c r="F24" s="273">
        <v>3647.4210000000003</v>
      </c>
      <c r="G24" s="273">
        <v>3673.9169999999995</v>
      </c>
      <c r="H24" s="273">
        <v>3409.5059999999994</v>
      </c>
      <c r="I24" s="273">
        <v>4287.2939999999999</v>
      </c>
      <c r="J24" s="273">
        <v>5734.5839999999998</v>
      </c>
      <c r="K24" s="273">
        <v>5210.4960000000001</v>
      </c>
      <c r="L24" s="273">
        <v>5108.1210000000001</v>
      </c>
      <c r="M24" s="273">
        <v>7240.2029999999995</v>
      </c>
      <c r="N24" s="273">
        <v>8544.2399078894668</v>
      </c>
      <c r="O24" s="273">
        <v>7229.7359024429315</v>
      </c>
      <c r="P24" s="273">
        <v>7996.7420090508604</v>
      </c>
      <c r="Q24" s="273">
        <v>8742.2575628354007</v>
      </c>
      <c r="R24" s="273">
        <v>9957.0536311573887</v>
      </c>
      <c r="S24" s="273">
        <v>10306.023655987185</v>
      </c>
      <c r="T24" s="273">
        <v>9711.3991898277927</v>
      </c>
      <c r="U24" s="273">
        <v>9686.2553637965557</v>
      </c>
      <c r="V24" s="273">
        <v>5689.4956954745703</v>
      </c>
      <c r="W24" s="273">
        <v>5186.0786411694035</v>
      </c>
      <c r="X24" s="273">
        <v>4577.350559520004</v>
      </c>
      <c r="Y24" s="273">
        <v>3274.2731195962297</v>
      </c>
      <c r="Z24" s="273">
        <v>2155.1973819985938</v>
      </c>
      <c r="AA24" s="273">
        <v>2057.1613946894267</v>
      </c>
      <c r="AB24" s="273">
        <v>139.18106015485409</v>
      </c>
    </row>
    <row r="25" spans="1:28" ht="24" x14ac:dyDescent="0.2">
      <c r="A25" s="272" t="s">
        <v>1412</v>
      </c>
      <c r="B25" s="272" t="s">
        <v>1605</v>
      </c>
      <c r="C25" s="273">
        <v>418.19799999999998</v>
      </c>
      <c r="D25" s="273">
        <v>416.57000000000005</v>
      </c>
      <c r="E25" s="273">
        <v>326.90200000000004</v>
      </c>
      <c r="F25" s="273">
        <v>405.26900000000001</v>
      </c>
      <c r="G25" s="273">
        <v>408.21299999999997</v>
      </c>
      <c r="H25" s="273">
        <v>378.834</v>
      </c>
      <c r="I25" s="273">
        <v>476.36600000000004</v>
      </c>
      <c r="J25" s="273">
        <v>637.17600000000004</v>
      </c>
      <c r="K25" s="273">
        <v>578.94400000000007</v>
      </c>
      <c r="L25" s="273">
        <v>567.56900000000007</v>
      </c>
      <c r="M25" s="273">
        <v>804.4670000000001</v>
      </c>
      <c r="N25" s="273">
        <v>997.25</v>
      </c>
      <c r="O25" s="273">
        <v>888.654</v>
      </c>
      <c r="P25" s="273">
        <v>1038.0790000000002</v>
      </c>
      <c r="Q25" s="273">
        <v>1202.3120000000001</v>
      </c>
      <c r="R25" s="273">
        <v>1455.9210000000003</v>
      </c>
      <c r="S25" s="273">
        <v>1608.605</v>
      </c>
      <c r="T25" s="273">
        <v>1625.4450000000002</v>
      </c>
      <c r="U25" s="273">
        <v>1747.6610000000001</v>
      </c>
      <c r="V25" s="273">
        <v>1113.3580000000002</v>
      </c>
      <c r="W25" s="273">
        <v>1108.607</v>
      </c>
      <c r="X25" s="273">
        <v>1374.0265329910089</v>
      </c>
      <c r="Y25" s="273">
        <v>743.27381364673897</v>
      </c>
      <c r="Z25" s="273">
        <v>695.33126544602942</v>
      </c>
      <c r="AA25" s="273">
        <v>559.15397483313677</v>
      </c>
      <c r="AB25" s="273">
        <v>341</v>
      </c>
    </row>
    <row r="26" spans="1:28" ht="36" x14ac:dyDescent="0.2">
      <c r="A26" s="272" t="s">
        <v>1413</v>
      </c>
      <c r="B26" s="272" t="s">
        <v>1605</v>
      </c>
      <c r="C26" s="273">
        <v>0</v>
      </c>
      <c r="D26" s="273">
        <v>0</v>
      </c>
      <c r="E26" s="273">
        <v>0</v>
      </c>
      <c r="F26" s="273">
        <v>0</v>
      </c>
      <c r="G26" s="273">
        <v>0</v>
      </c>
      <c r="H26" s="273">
        <v>0</v>
      </c>
      <c r="I26" s="273">
        <v>0</v>
      </c>
      <c r="J26" s="273">
        <v>0</v>
      </c>
      <c r="K26" s="273">
        <v>0</v>
      </c>
      <c r="L26" s="273">
        <v>0</v>
      </c>
      <c r="M26" s="273">
        <v>0</v>
      </c>
      <c r="N26" s="273">
        <v>315.11059988620138</v>
      </c>
      <c r="O26" s="273">
        <v>561.59297073205789</v>
      </c>
      <c r="P26" s="273">
        <v>984.0351860193573</v>
      </c>
      <c r="Q26" s="273">
        <v>1519.6239882491993</v>
      </c>
      <c r="R26" s="273">
        <v>2300.2062657153083</v>
      </c>
      <c r="S26" s="273">
        <v>3049.7176426970746</v>
      </c>
      <c r="T26" s="273">
        <v>3595.2515850831646</v>
      </c>
      <c r="U26" s="273">
        <v>4417.8010016161925</v>
      </c>
      <c r="V26" s="273">
        <v>3166.1851746431817</v>
      </c>
      <c r="W26" s="273">
        <v>3502.9713392633944</v>
      </c>
      <c r="X26" s="273">
        <v>3943.2667147454008</v>
      </c>
      <c r="Y26" s="273">
        <v>2749.2182517322399</v>
      </c>
      <c r="Z26" s="273">
        <v>3035.2341885349615</v>
      </c>
      <c r="AA26" s="273">
        <v>1803.0676902167845</v>
      </c>
      <c r="AB26" s="273">
        <v>3322.8189398451459</v>
      </c>
    </row>
    <row r="27" spans="1:28" ht="36" x14ac:dyDescent="0.2">
      <c r="A27" s="272" t="s">
        <v>1414</v>
      </c>
      <c r="B27" s="272" t="s">
        <v>1605</v>
      </c>
      <c r="C27" s="273">
        <v>0</v>
      </c>
      <c r="D27" s="273">
        <v>0</v>
      </c>
      <c r="E27" s="273">
        <v>0</v>
      </c>
      <c r="F27" s="273">
        <v>0</v>
      </c>
      <c r="G27" s="273">
        <v>0</v>
      </c>
      <c r="H27" s="273">
        <v>0</v>
      </c>
      <c r="I27" s="273">
        <v>0</v>
      </c>
      <c r="J27" s="273">
        <v>0</v>
      </c>
      <c r="K27" s="273">
        <v>0</v>
      </c>
      <c r="L27" s="273">
        <v>0</v>
      </c>
      <c r="M27" s="273">
        <v>0</v>
      </c>
      <c r="N27" s="273">
        <v>115.89949222433125</v>
      </c>
      <c r="O27" s="273">
        <v>206.5571268250105</v>
      </c>
      <c r="P27" s="273">
        <v>361.93380492978167</v>
      </c>
      <c r="Q27" s="273">
        <v>558.92644891539805</v>
      </c>
      <c r="R27" s="273">
        <v>846.02910312730296</v>
      </c>
      <c r="S27" s="273">
        <v>1121.7037013157408</v>
      </c>
      <c r="T27" s="273">
        <v>1322.3542250890418</v>
      </c>
      <c r="U27" s="273">
        <v>1624.8926345872508</v>
      </c>
      <c r="V27" s="273">
        <v>1164.5411298822494</v>
      </c>
      <c r="W27" s="273">
        <v>1288.4130195672019</v>
      </c>
      <c r="X27" s="273">
        <v>1450.3561927435869</v>
      </c>
      <c r="Y27" s="273">
        <v>2074.2348150247922</v>
      </c>
      <c r="Z27" s="273">
        <v>2188.237164020416</v>
      </c>
      <c r="AA27" s="273">
        <v>3223.6169402606515</v>
      </c>
      <c r="AB27" s="273">
        <v>1847</v>
      </c>
    </row>
    <row r="28" spans="1:28" x14ac:dyDescent="0.2">
      <c r="A28" s="274" t="s">
        <v>1415</v>
      </c>
      <c r="B28" s="274" t="s">
        <v>1595</v>
      </c>
      <c r="C28" s="275">
        <v>15095.999999999998</v>
      </c>
      <c r="D28" s="275">
        <v>13066</v>
      </c>
      <c r="E28" s="275">
        <v>10887</v>
      </c>
      <c r="F28" s="275">
        <v>13047</v>
      </c>
      <c r="G28" s="275">
        <v>12232</v>
      </c>
      <c r="H28" s="275">
        <v>10465</v>
      </c>
      <c r="I28" s="275">
        <v>11498</v>
      </c>
      <c r="J28" s="275">
        <v>14472.999999999996</v>
      </c>
      <c r="K28" s="275">
        <v>14507</v>
      </c>
      <c r="L28" s="275">
        <v>14564</v>
      </c>
      <c r="M28" s="275">
        <v>19862.878843323655</v>
      </c>
      <c r="N28" s="275">
        <v>25350.000000000004</v>
      </c>
      <c r="O28" s="275">
        <v>20041.000000000004</v>
      </c>
      <c r="P28" s="275">
        <v>23582</v>
      </c>
      <c r="Q28" s="275">
        <v>27180</v>
      </c>
      <c r="R28" s="275">
        <v>31969</v>
      </c>
      <c r="S28" s="275">
        <v>36536</v>
      </c>
      <c r="T28" s="275">
        <v>36255</v>
      </c>
      <c r="U28" s="275">
        <v>35824</v>
      </c>
      <c r="V28" s="275">
        <v>20266</v>
      </c>
      <c r="W28" s="275">
        <v>18837</v>
      </c>
      <c r="X28" s="275">
        <v>18837.475916052885</v>
      </c>
      <c r="Y28" s="275">
        <v>18837.475916052885</v>
      </c>
      <c r="Z28" s="275">
        <v>18837.475916052885</v>
      </c>
      <c r="AA28" s="275">
        <v>18837.475916052885</v>
      </c>
      <c r="AB28" s="275">
        <v>18837.475916052885</v>
      </c>
    </row>
    <row r="29" spans="1:28" x14ac:dyDescent="0.2">
      <c r="A29" s="221" t="s">
        <v>1416</v>
      </c>
      <c r="B29" s="276"/>
      <c r="C29" s="277"/>
      <c r="D29" s="277"/>
      <c r="E29" s="277"/>
      <c r="F29" s="277"/>
      <c r="G29" s="277"/>
      <c r="H29" s="277"/>
      <c r="I29" s="277"/>
      <c r="J29" s="277"/>
      <c r="K29" s="277"/>
      <c r="L29" s="277"/>
      <c r="M29" s="277"/>
      <c r="N29" s="277"/>
      <c r="O29" s="277"/>
      <c r="P29" s="277"/>
      <c r="Q29" s="277"/>
      <c r="R29" s="277"/>
      <c r="S29" s="277"/>
      <c r="T29" s="277"/>
      <c r="U29" s="277"/>
      <c r="V29" s="277"/>
      <c r="W29" s="277"/>
      <c r="X29" s="277"/>
      <c r="Y29" s="277"/>
      <c r="Z29" s="277"/>
      <c r="AA29" s="277"/>
      <c r="AB29" s="278"/>
    </row>
    <row r="30" spans="1:28" x14ac:dyDescent="0.2">
      <c r="A30" s="270" t="s">
        <v>1606</v>
      </c>
      <c r="B30" s="270" t="s">
        <v>1595</v>
      </c>
      <c r="C30" s="271">
        <v>1300</v>
      </c>
      <c r="D30" s="271">
        <v>1703.7777777777778</v>
      </c>
      <c r="E30" s="271">
        <v>2229.9444444444443</v>
      </c>
      <c r="F30" s="271">
        <v>2580.7222222222222</v>
      </c>
      <c r="G30" s="271">
        <v>2706</v>
      </c>
      <c r="H30" s="271">
        <v>2731.0555555555557</v>
      </c>
      <c r="I30" s="271">
        <v>2768.3333333333335</v>
      </c>
      <c r="J30" s="271">
        <v>2773.6666666666665</v>
      </c>
      <c r="K30" s="271">
        <v>2837.6666666666665</v>
      </c>
      <c r="L30" s="271">
        <v>2872.5</v>
      </c>
      <c r="M30" s="271">
        <v>2927.5833333333335</v>
      </c>
      <c r="N30" s="271">
        <v>3143.1666666666665</v>
      </c>
      <c r="O30" s="271">
        <v>3357.1666666666665</v>
      </c>
      <c r="P30" s="271">
        <v>3669.0833333333335</v>
      </c>
      <c r="Q30" s="271">
        <v>3963</v>
      </c>
      <c r="R30" s="271">
        <v>4246.166666666667</v>
      </c>
      <c r="S30" s="271">
        <v>4492.916666666667</v>
      </c>
      <c r="T30" s="271">
        <v>4763.916666666667</v>
      </c>
      <c r="U30" s="271">
        <v>5026.1000000000004</v>
      </c>
      <c r="V30" s="271">
        <v>5191.166666666667</v>
      </c>
      <c r="W30" s="271">
        <v>5295.666666666667</v>
      </c>
      <c r="X30" s="271">
        <v>5461.75</v>
      </c>
      <c r="Y30" s="271">
        <v>5517.181818181818</v>
      </c>
      <c r="Z30" s="271">
        <v>5479.75</v>
      </c>
      <c r="AA30" s="271">
        <v>5479.75</v>
      </c>
      <c r="AB30" s="271">
        <v>5479.75</v>
      </c>
    </row>
    <row r="31" spans="1:28" s="279" customFormat="1" ht="24" x14ac:dyDescent="0.2">
      <c r="A31" s="274" t="s">
        <v>1607</v>
      </c>
      <c r="B31" s="274" t="s">
        <v>1608</v>
      </c>
      <c r="C31" s="275">
        <v>24833340</v>
      </c>
      <c r="D31" s="275">
        <v>76253310</v>
      </c>
      <c r="E31" s="275">
        <v>253637580</v>
      </c>
      <c r="F31" s="275">
        <v>258413526</v>
      </c>
      <c r="G31" s="275">
        <v>395441592</v>
      </c>
      <c r="H31" s="275">
        <v>731194212</v>
      </c>
      <c r="I31" s="275">
        <v>850452960</v>
      </c>
      <c r="J31" s="275">
        <v>1895693394</v>
      </c>
      <c r="K31" s="275">
        <v>3032900388</v>
      </c>
      <c r="L31" s="275">
        <v>6429856860</v>
      </c>
      <c r="M31" s="275">
        <v>15783545946</v>
      </c>
      <c r="N31" s="275">
        <v>21506423610</v>
      </c>
      <c r="O31" s="275">
        <v>24318956382</v>
      </c>
      <c r="P31" s="275">
        <v>23791158888</v>
      </c>
      <c r="Q31" s="275">
        <v>22599925656</v>
      </c>
      <c r="R31" s="275">
        <v>23421598326</v>
      </c>
      <c r="S31" s="275">
        <v>28423070466</v>
      </c>
      <c r="T31" s="275">
        <v>27554638356</v>
      </c>
      <c r="U31" s="275">
        <v>28802976384</v>
      </c>
      <c r="V31" s="275">
        <v>23883321966</v>
      </c>
      <c r="W31" s="275">
        <v>22368432828</v>
      </c>
      <c r="X31" s="275">
        <v>20596530150</v>
      </c>
      <c r="Y31" s="275">
        <v>20596530150</v>
      </c>
      <c r="Z31" s="275">
        <v>20596530150</v>
      </c>
      <c r="AA31" s="275">
        <v>20596530150</v>
      </c>
      <c r="AB31" s="275">
        <v>20596530150</v>
      </c>
    </row>
    <row r="32" spans="1:28" x14ac:dyDescent="0.2">
      <c r="A32" s="221" t="s">
        <v>1419</v>
      </c>
      <c r="B32" s="276"/>
      <c r="C32" s="277"/>
      <c r="D32" s="277"/>
      <c r="E32" s="277"/>
      <c r="F32" s="277"/>
      <c r="G32" s="277"/>
      <c r="H32" s="277"/>
      <c r="I32" s="277"/>
      <c r="J32" s="277"/>
      <c r="K32" s="277"/>
      <c r="L32" s="277"/>
      <c r="M32" s="277"/>
      <c r="N32" s="277"/>
      <c r="O32" s="277"/>
      <c r="P32" s="277"/>
      <c r="Q32" s="277"/>
      <c r="R32" s="277"/>
      <c r="S32" s="277"/>
      <c r="T32" s="277"/>
      <c r="U32" s="277"/>
      <c r="V32" s="277"/>
      <c r="W32" s="277"/>
      <c r="X32" s="277"/>
      <c r="Y32" s="277"/>
      <c r="Z32" s="277"/>
      <c r="AA32" s="277"/>
      <c r="AB32" s="278"/>
    </row>
    <row r="33" spans="1:28" x14ac:dyDescent="0.2">
      <c r="A33" s="270" t="s">
        <v>1420</v>
      </c>
      <c r="B33" s="270" t="s">
        <v>1609</v>
      </c>
      <c r="C33" s="271">
        <v>207250.45399999997</v>
      </c>
      <c r="D33" s="271">
        <v>219631.79800000001</v>
      </c>
      <c r="E33" s="271">
        <v>219159.46400000001</v>
      </c>
      <c r="F33" s="271">
        <v>237888.82826279258</v>
      </c>
      <c r="G33" s="271">
        <v>259233.42555814903</v>
      </c>
      <c r="H33" s="271">
        <v>263941.90434319701</v>
      </c>
      <c r="I33" s="271">
        <v>300524.08635298978</v>
      </c>
      <c r="J33" s="271">
        <v>315077.54792474676</v>
      </c>
      <c r="K33" s="271">
        <v>343976.0072286998</v>
      </c>
      <c r="L33" s="271">
        <v>356806.86708954972</v>
      </c>
      <c r="M33" s="271">
        <v>367974.59866295161</v>
      </c>
      <c r="N33" s="271">
        <v>441632.37791560555</v>
      </c>
      <c r="O33" s="271">
        <v>461174.55917369161</v>
      </c>
      <c r="P33" s="271">
        <v>506187.71889663505</v>
      </c>
      <c r="Q33" s="271">
        <v>542220.72887291654</v>
      </c>
      <c r="R33" s="271">
        <v>588609.42170873948</v>
      </c>
      <c r="S33" s="271">
        <v>651328.81157822523</v>
      </c>
      <c r="T33" s="271">
        <v>686362.27105481992</v>
      </c>
      <c r="U33" s="271">
        <v>769498.28878610593</v>
      </c>
      <c r="V33" s="271">
        <v>786378.54344763595</v>
      </c>
      <c r="W33" s="271">
        <v>811893.28315978008</v>
      </c>
      <c r="X33" s="271">
        <v>828473.3707938923</v>
      </c>
      <c r="Y33" s="271">
        <v>825277.028943546</v>
      </c>
      <c r="Z33" s="271">
        <v>812585.72692916344</v>
      </c>
      <c r="AA33" s="271">
        <v>816376.56202536577</v>
      </c>
      <c r="AB33" s="271">
        <v>793710.56637323427</v>
      </c>
    </row>
    <row r="34" spans="1:28" ht="24" x14ac:dyDescent="0.2">
      <c r="A34" s="272" t="s">
        <v>1610</v>
      </c>
      <c r="B34" s="272" t="s">
        <v>1609</v>
      </c>
      <c r="C34" s="273">
        <v>0</v>
      </c>
      <c r="D34" s="273">
        <v>0</v>
      </c>
      <c r="E34" s="273">
        <v>0</v>
      </c>
      <c r="F34" s="273">
        <v>8316.7042502760614</v>
      </c>
      <c r="G34" s="273">
        <v>13594.381971805411</v>
      </c>
      <c r="H34" s="273">
        <v>18455.063852364659</v>
      </c>
      <c r="I34" s="273">
        <v>26266.155125212728</v>
      </c>
      <c r="J34" s="273">
        <v>33045.773537934772</v>
      </c>
      <c r="K34" s="273">
        <v>42089.465056891662</v>
      </c>
      <c r="L34" s="273">
        <v>49896.537129910677</v>
      </c>
      <c r="M34" s="273">
        <v>57890.535212140705</v>
      </c>
      <c r="N34" s="273">
        <v>77198.3682733686</v>
      </c>
      <c r="O34" s="273">
        <v>88675.825780651285</v>
      </c>
      <c r="P34" s="273">
        <v>106179.35068059601</v>
      </c>
      <c r="Q34" s="273">
        <v>123215.88019363975</v>
      </c>
      <c r="R34" s="273">
        <v>144046.4169973082</v>
      </c>
      <c r="S34" s="273">
        <v>170780.68992785664</v>
      </c>
      <c r="T34" s="273">
        <v>191964.3577580667</v>
      </c>
      <c r="U34" s="273">
        <v>228667.15832402286</v>
      </c>
      <c r="V34" s="273">
        <v>247429.44173287976</v>
      </c>
      <c r="W34" s="273">
        <v>269649.59009332128</v>
      </c>
      <c r="X34" s="273">
        <v>289638.14965327515</v>
      </c>
      <c r="Y34" s="273">
        <v>247684.14677577166</v>
      </c>
      <c r="Z34" s="273">
        <v>165645.63502734638</v>
      </c>
      <c r="AA34" s="273">
        <v>197080.53949548537</v>
      </c>
      <c r="AB34" s="273">
        <v>188740.48685403445</v>
      </c>
    </row>
    <row r="35" spans="1:28" ht="24" x14ac:dyDescent="0.2">
      <c r="A35" s="272" t="s">
        <v>1611</v>
      </c>
      <c r="B35" s="272" t="s">
        <v>1609</v>
      </c>
      <c r="C35" s="273">
        <v>72537.65889999998</v>
      </c>
      <c r="D35" s="273">
        <v>76871.129299999986</v>
      </c>
      <c r="E35" s="273">
        <v>76705.812399999995</v>
      </c>
      <c r="F35" s="273">
        <v>77225.471022850761</v>
      </c>
      <c r="G35" s="273">
        <v>80865.950943020565</v>
      </c>
      <c r="H35" s="273">
        <v>78986.412622149466</v>
      </c>
      <c r="I35" s="273">
        <v>86121.492138170957</v>
      </c>
      <c r="J35" s="273">
        <v>86295.082497737909</v>
      </c>
      <c r="K35" s="273">
        <v>89846.333413328524</v>
      </c>
      <c r="L35" s="273">
        <v>88671.367000711252</v>
      </c>
      <c r="M35" s="273">
        <v>86778.649288705477</v>
      </c>
      <c r="N35" s="273">
        <v>98546.744381447555</v>
      </c>
      <c r="O35" s="273">
        <v>97057.059398953847</v>
      </c>
      <c r="P35" s="273">
        <v>100108.96457064233</v>
      </c>
      <c r="Q35" s="273">
        <v>100356.72636084483</v>
      </c>
      <c r="R35" s="273">
        <v>101475.58093821988</v>
      </c>
      <c r="S35" s="273">
        <v>104025.70571307796</v>
      </c>
      <c r="T35" s="273">
        <v>100913.95350586632</v>
      </c>
      <c r="U35" s="273">
        <v>103375.51387210486</v>
      </c>
      <c r="V35" s="273">
        <v>95667.392980705044</v>
      </c>
      <c r="W35" s="273">
        <v>88471.891680529414</v>
      </c>
      <c r="X35" s="273">
        <v>79768.776213784644</v>
      </c>
      <c r="Y35" s="273">
        <v>68478.831369610154</v>
      </c>
      <c r="Z35" s="273">
        <v>39218.08394029014</v>
      </c>
      <c r="AA35" s="273">
        <v>28956.285886586596</v>
      </c>
      <c r="AB35" s="273">
        <v>21672.026906091891</v>
      </c>
    </row>
    <row r="36" spans="1:28" ht="24" x14ac:dyDescent="0.2">
      <c r="A36" s="272" t="s">
        <v>1612</v>
      </c>
      <c r="B36" s="272" t="s">
        <v>1609</v>
      </c>
      <c r="C36" s="273">
        <v>134712.79509999999</v>
      </c>
      <c r="D36" s="273">
        <v>142760.66870000001</v>
      </c>
      <c r="E36" s="273">
        <v>142453.65159999998</v>
      </c>
      <c r="F36" s="273">
        <v>152346.65298966574</v>
      </c>
      <c r="G36" s="273">
        <v>164773.09264332303</v>
      </c>
      <c r="H36" s="273">
        <v>166500.42786868286</v>
      </c>
      <c r="I36" s="273">
        <v>188136.43908960605</v>
      </c>
      <c r="J36" s="273">
        <v>195736.69188907402</v>
      </c>
      <c r="K36" s="273">
        <v>212040.20875847962</v>
      </c>
      <c r="L36" s="273">
        <v>218238.96295892779</v>
      </c>
      <c r="M36" s="273">
        <v>223305.41416210536</v>
      </c>
      <c r="N36" s="273">
        <v>265887.26526078937</v>
      </c>
      <c r="O36" s="273">
        <v>275441.67399408651</v>
      </c>
      <c r="P36" s="273">
        <v>299899.4036453967</v>
      </c>
      <c r="Q36" s="273">
        <v>318648.12231843191</v>
      </c>
      <c r="R36" s="273">
        <v>343087.42377321131</v>
      </c>
      <c r="S36" s="273">
        <v>376522.4159372907</v>
      </c>
      <c r="T36" s="273">
        <v>393483.9597908869</v>
      </c>
      <c r="U36" s="273">
        <v>437455.61658997816</v>
      </c>
      <c r="V36" s="273">
        <v>443281.70873405109</v>
      </c>
      <c r="W36" s="273">
        <v>453771.80138592934</v>
      </c>
      <c r="X36" s="273">
        <v>459066.4449268324</v>
      </c>
      <c r="Y36" s="273">
        <v>509114.0507981641</v>
      </c>
      <c r="Z36" s="273">
        <v>607722.00796152698</v>
      </c>
      <c r="AA36" s="273">
        <v>590339.73664329387</v>
      </c>
      <c r="AB36" s="273">
        <v>583298.05261310807</v>
      </c>
    </row>
    <row r="37" spans="1:28" x14ac:dyDescent="0.2">
      <c r="A37" s="272" t="s">
        <v>1424</v>
      </c>
      <c r="B37" s="272" t="s">
        <v>1613</v>
      </c>
      <c r="C37" s="273">
        <v>15904.033000000001</v>
      </c>
      <c r="D37" s="273">
        <v>16263.394999999999</v>
      </c>
      <c r="E37" s="273">
        <v>16336.237000000001</v>
      </c>
      <c r="F37" s="273">
        <v>18562.980882761261</v>
      </c>
      <c r="G37" s="273">
        <v>21059.828409343543</v>
      </c>
      <c r="H37" s="273">
        <v>21553.914468346276</v>
      </c>
      <c r="I37" s="273">
        <v>25853.555703807753</v>
      </c>
      <c r="J37" s="273">
        <v>27222.670547819253</v>
      </c>
      <c r="K37" s="273">
        <v>31067.899539557311</v>
      </c>
      <c r="L37" s="273">
        <v>32245.799495910207</v>
      </c>
      <c r="M37" s="273">
        <v>33180.034394752336</v>
      </c>
      <c r="N37" s="273">
        <v>41190.137733555166</v>
      </c>
      <c r="O37" s="273">
        <v>43322.689960684715</v>
      </c>
      <c r="P37" s="273">
        <v>48271.429038380265</v>
      </c>
      <c r="Q37" s="273">
        <v>52175.350389281462</v>
      </c>
      <c r="R37" s="273">
        <v>57114.620764425046</v>
      </c>
      <c r="S37" s="273">
        <v>63876.076825175609</v>
      </c>
      <c r="T37" s="273">
        <v>67413.503448310526</v>
      </c>
      <c r="U37" s="273">
        <v>76506.326138837001</v>
      </c>
      <c r="V37" s="273">
        <v>78455.910214542353</v>
      </c>
      <c r="W37" s="273">
        <v>81599.010224709957</v>
      </c>
      <c r="X37" s="273">
        <v>83301.24961249379</v>
      </c>
      <c r="Y37" s="273">
        <v>82979.86418272747</v>
      </c>
      <c r="Z37" s="273">
        <v>81703.780539876592</v>
      </c>
      <c r="AA37" s="273">
        <v>82084.941011318107</v>
      </c>
      <c r="AB37" s="273">
        <v>79805.922966689104</v>
      </c>
    </row>
    <row r="38" spans="1:28" x14ac:dyDescent="0.2">
      <c r="A38" s="272" t="s">
        <v>1425</v>
      </c>
      <c r="B38" s="272" t="s">
        <v>1614</v>
      </c>
      <c r="C38" s="273">
        <v>8268626.947286129</v>
      </c>
      <c r="D38" s="273">
        <v>9149893.4432965089</v>
      </c>
      <c r="E38" s="273">
        <v>9035797.2623905502</v>
      </c>
      <c r="F38" s="273">
        <v>8905129.1572792642</v>
      </c>
      <c r="G38" s="273">
        <v>8706714.846088158</v>
      </c>
      <c r="H38" s="273">
        <v>8649319.9304006826</v>
      </c>
      <c r="I38" s="273">
        <v>8317194.5483015329</v>
      </c>
      <c r="J38" s="273">
        <v>8183348.2708638916</v>
      </c>
      <c r="K38" s="273">
        <v>7898144.5930041913</v>
      </c>
      <c r="L38" s="273">
        <v>7754987.4913397841</v>
      </c>
      <c r="M38" s="273">
        <v>7657734.2039361894</v>
      </c>
      <c r="N38" s="273">
        <v>7024043.0689597558</v>
      </c>
      <c r="O38" s="273">
        <v>6875476.6585630942</v>
      </c>
      <c r="P38" s="273">
        <v>6482042.8157937061</v>
      </c>
      <c r="Q38" s="273">
        <v>6096888.8262148425</v>
      </c>
      <c r="R38" s="273">
        <v>5703354.7751876013</v>
      </c>
      <c r="S38" s="273">
        <v>5120835.5791780176</v>
      </c>
      <c r="T38" s="273">
        <v>4746169.4135796921</v>
      </c>
      <c r="U38" s="273">
        <v>3953436.985001558</v>
      </c>
      <c r="V38" s="273">
        <v>3781223.4278808571</v>
      </c>
      <c r="W38" s="273">
        <v>3588703.2783402456</v>
      </c>
      <c r="X38" s="273">
        <v>3432424.8027349897</v>
      </c>
      <c r="Y38" s="273">
        <v>3419182.12839938</v>
      </c>
      <c r="Z38" s="273">
        <v>3366601.1507254411</v>
      </c>
      <c r="AA38" s="273">
        <v>3382306.8533659666</v>
      </c>
      <c r="AB38" s="273">
        <v>3288400.0020443513</v>
      </c>
    </row>
    <row r="39" spans="1:28" x14ac:dyDescent="0.2">
      <c r="A39" s="272" t="s">
        <v>1426</v>
      </c>
      <c r="B39" s="272" t="s">
        <v>1614</v>
      </c>
      <c r="C39" s="273">
        <v>9280164.9240023885</v>
      </c>
      <c r="D39" s="273">
        <v>10269240.677100457</v>
      </c>
      <c r="E39" s="273">
        <v>10141186.6020096</v>
      </c>
      <c r="F39" s="273">
        <v>9994533.2853863798</v>
      </c>
      <c r="G39" s="273">
        <v>9771846.0674390104</v>
      </c>
      <c r="H39" s="273">
        <v>9707429.7759828083</v>
      </c>
      <c r="I39" s="273">
        <v>9334674.0160511024</v>
      </c>
      <c r="J39" s="273">
        <v>9184453.7271199673</v>
      </c>
      <c r="K39" s="273">
        <v>8864359.8125748504</v>
      </c>
      <c r="L39" s="273">
        <v>8703689.6648033503</v>
      </c>
      <c r="M39" s="273">
        <v>8594538.9494233318</v>
      </c>
      <c r="N39" s="273">
        <v>7883325.5543880537</v>
      </c>
      <c r="O39" s="273">
        <v>7716584.353044997</v>
      </c>
      <c r="P39" s="273">
        <v>7275019.9952791315</v>
      </c>
      <c r="Q39" s="273">
        <v>6842748.4020368606</v>
      </c>
      <c r="R39" s="273">
        <v>6401071.5770904617</v>
      </c>
      <c r="S39" s="273">
        <v>5747290.2123210067</v>
      </c>
      <c r="T39" s="273">
        <v>5326789.4652970731</v>
      </c>
      <c r="U39" s="273">
        <v>4437078.5465786289</v>
      </c>
      <c r="V39" s="273">
        <v>4243797.3376889536</v>
      </c>
      <c r="W39" s="273">
        <v>4027725.3404492098</v>
      </c>
      <c r="X39" s="273">
        <v>3852328.6225981922</v>
      </c>
      <c r="Y39" s="273">
        <v>3837465.9129061503</v>
      </c>
      <c r="Z39" s="273">
        <v>3778452.46994999</v>
      </c>
      <c r="AA39" s="273">
        <v>3796079.5211739242</v>
      </c>
      <c r="AB39" s="273">
        <v>3690684.626312403</v>
      </c>
    </row>
    <row r="40" spans="1:28" x14ac:dyDescent="0.2">
      <c r="A40" s="221" t="s">
        <v>1427</v>
      </c>
      <c r="B40" s="276"/>
      <c r="C40" s="277"/>
      <c r="D40" s="277"/>
      <c r="E40" s="277"/>
      <c r="F40" s="277"/>
      <c r="G40" s="277"/>
      <c r="H40" s="277"/>
      <c r="I40" s="277"/>
      <c r="J40" s="277"/>
      <c r="K40" s="277"/>
      <c r="L40" s="277"/>
      <c r="M40" s="277"/>
      <c r="N40" s="277"/>
      <c r="O40" s="277"/>
      <c r="P40" s="277"/>
      <c r="Q40" s="277"/>
      <c r="R40" s="277"/>
      <c r="S40" s="277"/>
      <c r="T40" s="277"/>
      <c r="U40" s="277"/>
      <c r="V40" s="277"/>
      <c r="W40" s="277"/>
      <c r="X40" s="277"/>
      <c r="Y40" s="277"/>
      <c r="Z40" s="277"/>
      <c r="AA40" s="277"/>
      <c r="AB40" s="278"/>
    </row>
    <row r="41" spans="1:28" s="213" customFormat="1" x14ac:dyDescent="0.2">
      <c r="A41" s="280" t="s">
        <v>1428</v>
      </c>
      <c r="B41" s="280" t="s">
        <v>1615</v>
      </c>
      <c r="C41" s="281">
        <v>34299591.604088917</v>
      </c>
      <c r="D41" s="281">
        <v>33674606.222814843</v>
      </c>
      <c r="E41" s="281">
        <v>32687818.929307126</v>
      </c>
      <c r="F41" s="281">
        <v>34228780.246738896</v>
      </c>
      <c r="G41" s="281">
        <v>35803074.899346091</v>
      </c>
      <c r="H41" s="281">
        <v>32066316.760396037</v>
      </c>
      <c r="I41" s="281">
        <v>34637128.255903035</v>
      </c>
      <c r="J41" s="281">
        <v>35894065.443177156</v>
      </c>
      <c r="K41" s="281">
        <v>37173224.853901558</v>
      </c>
      <c r="L41" s="281">
        <v>39899591.913560554</v>
      </c>
      <c r="M41" s="281">
        <v>36903795.047832035</v>
      </c>
      <c r="N41" s="281">
        <v>41511393.894872695</v>
      </c>
      <c r="O41" s="281">
        <v>43257910.779219583</v>
      </c>
      <c r="P41" s="281">
        <v>42388480.939992383</v>
      </c>
      <c r="Q41" s="281">
        <v>41090582.518180691</v>
      </c>
      <c r="R41" s="281">
        <v>43632925.453208312</v>
      </c>
      <c r="S41" s="281">
        <v>48996770.678725153</v>
      </c>
      <c r="T41" s="281">
        <v>49284968.802412316</v>
      </c>
      <c r="U41" s="281">
        <v>53218273.046582296</v>
      </c>
      <c r="V41" s="281">
        <v>53122447.034585521</v>
      </c>
      <c r="W41" s="281">
        <v>73037557.400387675</v>
      </c>
      <c r="X41" s="281">
        <v>80353475.077166453</v>
      </c>
      <c r="Y41" s="281">
        <v>98538735.226209387</v>
      </c>
      <c r="Z41" s="281">
        <v>118415647.48214003</v>
      </c>
      <c r="AA41" s="281">
        <v>123913516.82952511</v>
      </c>
      <c r="AB41" s="281">
        <v>125605168.93641283</v>
      </c>
    </row>
    <row r="42" spans="1:28" s="213" customFormat="1" x14ac:dyDescent="0.2">
      <c r="A42" s="282" t="s">
        <v>1429</v>
      </c>
      <c r="B42" s="282" t="s">
        <v>1615</v>
      </c>
      <c r="C42" s="283">
        <v>0</v>
      </c>
      <c r="D42" s="283">
        <v>420947.71430063277</v>
      </c>
      <c r="E42" s="283">
        <v>802918.78838824388</v>
      </c>
      <c r="F42" s="283">
        <v>1239457.1587740853</v>
      </c>
      <c r="G42" s="283">
        <v>1699381.5132877396</v>
      </c>
      <c r="H42" s="283">
        <v>1870878.7302250343</v>
      </c>
      <c r="I42" s="283">
        <v>2385370.3810369186</v>
      </c>
      <c r="J42" s="283">
        <v>2837499.4075079686</v>
      </c>
      <c r="K42" s="283">
        <v>3305219.0900642271</v>
      </c>
      <c r="L42" s="283">
        <v>3928845.3334725723</v>
      </c>
      <c r="M42" s="283">
        <v>3975617.3017281983</v>
      </c>
      <c r="N42" s="283">
        <v>4844796.3784785792</v>
      </c>
      <c r="O42" s="283">
        <v>5425548.3176526008</v>
      </c>
      <c r="P42" s="283">
        <v>5674998.8150159381</v>
      </c>
      <c r="Q42" s="283">
        <v>5838700.7039106293</v>
      </c>
      <c r="R42" s="283">
        <v>6548075.555787622</v>
      </c>
      <c r="S42" s="283">
        <v>7732965.4182634773</v>
      </c>
      <c r="T42" s="283">
        <v>8150015.4685428087</v>
      </c>
      <c r="U42" s="283">
        <v>9190691.762230482</v>
      </c>
      <c r="V42" s="283">
        <v>9553174.5162115842</v>
      </c>
      <c r="W42" s="283">
        <v>13641824.074557547</v>
      </c>
      <c r="X42" s="283">
        <v>15551679.444995597</v>
      </c>
      <c r="Y42" s="283">
        <v>19071270.056231443</v>
      </c>
      <c r="Z42" s="283">
        <v>22918264.445256673</v>
      </c>
      <c r="AA42" s="283">
        <v>23982326.72307216</v>
      </c>
      <c r="AB42" s="283">
        <v>24309730.50086154</v>
      </c>
    </row>
    <row r="43" spans="1:28" s="213" customFormat="1" x14ac:dyDescent="0.2">
      <c r="A43" s="282" t="s">
        <v>1430</v>
      </c>
      <c r="B43" s="282" t="s">
        <v>1615</v>
      </c>
      <c r="C43" s="283">
        <v>34299591.604088917</v>
      </c>
      <c r="D43" s="283">
        <v>32053658.442198861</v>
      </c>
      <c r="E43" s="283">
        <v>29596011.125539601</v>
      </c>
      <c r="F43" s="283">
        <v>29455989.559369616</v>
      </c>
      <c r="G43" s="283">
        <v>29259248.673896387</v>
      </c>
      <c r="H43" s="283">
        <v>24862104.402102787</v>
      </c>
      <c r="I43" s="283">
        <v>25451757.499079145</v>
      </c>
      <c r="J43" s="283">
        <v>24967676.699765731</v>
      </c>
      <c r="K43" s="283">
        <v>24445783.02091682</v>
      </c>
      <c r="L43" s="283">
        <v>24770745.961144723</v>
      </c>
      <c r="M43" s="283">
        <v>21594843.78645888</v>
      </c>
      <c r="N43" s="283">
        <v>22855485.642042458</v>
      </c>
      <c r="O43" s="283">
        <v>22365694.940169163</v>
      </c>
      <c r="P43" s="283">
        <v>20535703.453169532</v>
      </c>
      <c r="Q43" s="283">
        <v>18607436.450007174</v>
      </c>
      <c r="R43" s="283">
        <v>18418182.199181937</v>
      </c>
      <c r="S43" s="283">
        <v>19219359.597779721</v>
      </c>
      <c r="T43" s="283">
        <v>17901618.716597348</v>
      </c>
      <c r="U43" s="283">
        <v>17827579.8364667</v>
      </c>
      <c r="V43" s="283">
        <v>16335937.680050619</v>
      </c>
      <c r="W43" s="283">
        <v>20506842.287832718</v>
      </c>
      <c r="X43" s="283">
        <v>20468459.84885389</v>
      </c>
      <c r="Y43" s="283">
        <v>25100795.49885767</v>
      </c>
      <c r="Z43" s="283">
        <v>30164046.093047842</v>
      </c>
      <c r="AA43" s="283">
        <v>31564519.66165363</v>
      </c>
      <c r="AB43" s="283">
        <v>31995434.605840031</v>
      </c>
    </row>
    <row r="44" spans="1:28" s="213" customFormat="1" x14ac:dyDescent="0.2">
      <c r="A44" s="282" t="s">
        <v>1431</v>
      </c>
      <c r="B44" s="282" t="s">
        <v>1615</v>
      </c>
      <c r="C44" s="283">
        <v>0</v>
      </c>
      <c r="D44" s="283">
        <v>312817.20208368846</v>
      </c>
      <c r="E44" s="283">
        <v>596669.84841888724</v>
      </c>
      <c r="F44" s="283">
        <v>921072.87280197174</v>
      </c>
      <c r="G44" s="283">
        <v>1262854.6306341498</v>
      </c>
      <c r="H44" s="283">
        <v>1390298.6759275042</v>
      </c>
      <c r="I44" s="283">
        <v>1772630.8118075677</v>
      </c>
      <c r="J44" s="283">
        <v>2108619.6584900478</v>
      </c>
      <c r="K44" s="283">
        <v>2456194.327471924</v>
      </c>
      <c r="L44" s="283">
        <v>2919627.219447759</v>
      </c>
      <c r="M44" s="283">
        <v>2954384.686345946</v>
      </c>
      <c r="N44" s="283">
        <v>3600294.2795372661</v>
      </c>
      <c r="O44" s="283">
        <v>4031866.1601897622</v>
      </c>
      <c r="P44" s="283">
        <v>4217239.3169800956</v>
      </c>
      <c r="Q44" s="283">
        <v>4338890.4511237526</v>
      </c>
      <c r="R44" s="283">
        <v>4866045.3657462643</v>
      </c>
      <c r="S44" s="283">
        <v>5746567.8605003506</v>
      </c>
      <c r="T44" s="283">
        <v>6056488.6070091901</v>
      </c>
      <c r="U44" s="283">
        <v>6829842.2454938646</v>
      </c>
      <c r="V44" s="283">
        <v>7099212.6139548179</v>
      </c>
      <c r="W44" s="283">
        <v>10137594.511971386</v>
      </c>
      <c r="X44" s="283">
        <v>11556857.743647378</v>
      </c>
      <c r="Y44" s="283">
        <v>14172357.127735995</v>
      </c>
      <c r="Z44" s="283">
        <v>17031158.780111924</v>
      </c>
      <c r="AA44" s="283">
        <v>17821891.152045697</v>
      </c>
      <c r="AB44" s="283">
        <v>18065193.420333009</v>
      </c>
    </row>
    <row r="45" spans="1:28" s="213" customFormat="1" x14ac:dyDescent="0.2">
      <c r="A45" s="282" t="s">
        <v>1432</v>
      </c>
      <c r="B45" s="282" t="s">
        <v>1615</v>
      </c>
      <c r="C45" s="283">
        <v>20354674.39104246</v>
      </c>
      <c r="D45" s="283">
        <v>19314904.532135822</v>
      </c>
      <c r="E45" s="283">
        <v>18122361.064771943</v>
      </c>
      <c r="F45" s="283">
        <v>18343172.533006065</v>
      </c>
      <c r="G45" s="283">
        <v>18546605.267791092</v>
      </c>
      <c r="H45" s="283">
        <v>16056565.087823167</v>
      </c>
      <c r="I45" s="283">
        <v>16764661.93717752</v>
      </c>
      <c r="J45" s="283">
        <v>16792149.41890651</v>
      </c>
      <c r="K45" s="283">
        <v>16808051.078336105</v>
      </c>
      <c r="L45" s="283">
        <v>17435047.171594687</v>
      </c>
      <c r="M45" s="283">
        <v>15582908.062639136</v>
      </c>
      <c r="N45" s="283">
        <v>16936118.275710914</v>
      </c>
      <c r="O45" s="283">
        <v>17049760.887675624</v>
      </c>
      <c r="P45" s="283">
        <v>16137435.074062347</v>
      </c>
      <c r="Q45" s="283">
        <v>15107093.118890008</v>
      </c>
      <c r="R45" s="283">
        <v>15488629.025296174</v>
      </c>
      <c r="S45" s="283">
        <v>16788964.501010917</v>
      </c>
      <c r="T45" s="283">
        <v>16297305.590296343</v>
      </c>
      <c r="U45" s="283">
        <v>16977857.265457559</v>
      </c>
      <c r="V45" s="283">
        <v>16345010.568585128</v>
      </c>
      <c r="W45" s="283">
        <v>21666584.224032417</v>
      </c>
      <c r="X45" s="283">
        <v>22973393.455442503</v>
      </c>
      <c r="Y45" s="283">
        <v>28172635.132200543</v>
      </c>
      <c r="Z45" s="283">
        <v>33855527.197494216</v>
      </c>
      <c r="AA45" s="283">
        <v>35427390.960235022</v>
      </c>
      <c r="AB45" s="283">
        <v>35911041.348770648</v>
      </c>
    </row>
    <row r="46" spans="1:28" s="213" customFormat="1" ht="24" x14ac:dyDescent="0.2">
      <c r="A46" s="284" t="s">
        <v>1433</v>
      </c>
      <c r="B46" s="284" t="s">
        <v>1615</v>
      </c>
      <c r="C46" s="285">
        <v>68599183.208177835</v>
      </c>
      <c r="D46" s="285">
        <v>66149212.379314333</v>
      </c>
      <c r="E46" s="285">
        <v>63086748.843234971</v>
      </c>
      <c r="F46" s="285">
        <v>64924226.964882597</v>
      </c>
      <c r="G46" s="285">
        <v>66761705.086530216</v>
      </c>
      <c r="H46" s="285">
        <v>58799299.892723858</v>
      </c>
      <c r="I46" s="285">
        <v>62474256.136019103</v>
      </c>
      <c r="J46" s="285">
        <v>63699241.550450861</v>
      </c>
      <c r="K46" s="285">
        <v>64924226.964882605</v>
      </c>
      <c r="L46" s="285">
        <v>68599183.20817785</v>
      </c>
      <c r="M46" s="285">
        <v>62474256.136019111</v>
      </c>
      <c r="N46" s="285">
        <v>69211675.91539374</v>
      </c>
      <c r="O46" s="285">
        <v>71049154.037041336</v>
      </c>
      <c r="P46" s="285">
        <v>68599183.208177865</v>
      </c>
      <c r="Q46" s="285">
        <v>65536719.672098488</v>
      </c>
      <c r="R46" s="285">
        <v>68599183.208177865</v>
      </c>
      <c r="S46" s="285">
        <v>75949095.694768354</v>
      </c>
      <c r="T46" s="285">
        <v>75336602.987552464</v>
      </c>
      <c r="U46" s="285">
        <v>80236544.645279482</v>
      </c>
      <c r="V46" s="285">
        <v>79011559.230847716</v>
      </c>
      <c r="W46" s="285">
        <v>107186223.76277794</v>
      </c>
      <c r="X46" s="285">
        <v>116373614.37101594</v>
      </c>
      <c r="Y46" s="285">
        <v>142710800.78129849</v>
      </c>
      <c r="Z46" s="285">
        <v>171497958.02044457</v>
      </c>
      <c r="AA46" s="285">
        <v>179460363.21425092</v>
      </c>
      <c r="AB46" s="285">
        <v>181910334.04311439</v>
      </c>
    </row>
    <row r="47" spans="1:28" x14ac:dyDescent="0.2">
      <c r="A47" s="221" t="s">
        <v>1434</v>
      </c>
      <c r="B47" s="276"/>
      <c r="C47" s="277"/>
      <c r="D47" s="277"/>
      <c r="E47" s="277"/>
      <c r="F47" s="277"/>
      <c r="G47" s="277"/>
      <c r="H47" s="277"/>
      <c r="I47" s="277"/>
      <c r="J47" s="277"/>
      <c r="K47" s="277"/>
      <c r="L47" s="277"/>
      <c r="M47" s="277"/>
      <c r="N47" s="277"/>
      <c r="O47" s="277"/>
      <c r="P47" s="277"/>
      <c r="Q47" s="277"/>
      <c r="R47" s="277"/>
      <c r="S47" s="277"/>
      <c r="T47" s="277"/>
      <c r="U47" s="277"/>
      <c r="V47" s="277"/>
      <c r="W47" s="277"/>
      <c r="X47" s="277"/>
      <c r="Y47" s="277"/>
      <c r="Z47" s="277"/>
      <c r="AA47" s="277"/>
      <c r="AB47" s="278"/>
    </row>
    <row r="48" spans="1:28" x14ac:dyDescent="0.2">
      <c r="A48" s="286" t="s">
        <v>1435</v>
      </c>
      <c r="B48" s="286" t="s">
        <v>1616</v>
      </c>
      <c r="C48" s="287">
        <v>26938.92368462183</v>
      </c>
      <c r="D48" s="287">
        <v>27403.034712058998</v>
      </c>
      <c r="E48" s="287">
        <v>27460</v>
      </c>
      <c r="F48" s="287">
        <v>27712.051890478691</v>
      </c>
      <c r="G48" s="287">
        <v>28339.645490842442</v>
      </c>
      <c r="H48" s="287">
        <v>28689.240682589974</v>
      </c>
      <c r="I48" s="287">
        <v>29330.880518336438</v>
      </c>
      <c r="J48" s="287">
        <v>29842.397590190256</v>
      </c>
      <c r="K48" s="287">
        <v>30975.850750934223</v>
      </c>
      <c r="L48" s="287">
        <v>32027.172452009836</v>
      </c>
      <c r="M48" s="287">
        <v>33459.30320123901</v>
      </c>
      <c r="N48" s="287">
        <v>35825.898776623711</v>
      </c>
      <c r="O48" s="287">
        <v>37389.908069168363</v>
      </c>
      <c r="P48" s="287">
        <v>39245.376745904316</v>
      </c>
      <c r="Q48" s="287">
        <v>41820.910072606886</v>
      </c>
      <c r="R48" s="287">
        <v>43998.076556927488</v>
      </c>
      <c r="S48" s="287">
        <v>46885.943534292906</v>
      </c>
      <c r="T48" s="287">
        <v>49724.843774421352</v>
      </c>
      <c r="U48" s="287">
        <v>52790.629733301124</v>
      </c>
      <c r="V48" s="287">
        <v>53823.418207135648</v>
      </c>
      <c r="W48" s="287">
        <v>54030.795265633213</v>
      </c>
      <c r="X48" s="287">
        <v>54693.309367851209</v>
      </c>
      <c r="Y48" s="287">
        <v>54212.225805993257</v>
      </c>
      <c r="Z48" s="287">
        <v>53088.331888773639</v>
      </c>
      <c r="AA48" s="287">
        <v>52602.176075249721</v>
      </c>
      <c r="AB48" s="287">
        <v>52383.288907202426</v>
      </c>
    </row>
    <row r="49" spans="1:30" x14ac:dyDescent="0.2">
      <c r="A49" s="221" t="s">
        <v>1436</v>
      </c>
      <c r="B49" s="276"/>
      <c r="C49" s="277"/>
      <c r="D49" s="277"/>
      <c r="E49" s="277"/>
      <c r="F49" s="277"/>
      <c r="G49" s="277"/>
      <c r="H49" s="277"/>
      <c r="I49" s="277"/>
      <c r="J49" s="277"/>
      <c r="K49" s="277"/>
      <c r="L49" s="277"/>
      <c r="M49" s="277"/>
      <c r="N49" s="277"/>
      <c r="O49" s="277"/>
      <c r="P49" s="277"/>
      <c r="Q49" s="277"/>
      <c r="R49" s="277"/>
      <c r="S49" s="277"/>
      <c r="T49" s="277"/>
      <c r="U49" s="277"/>
      <c r="V49" s="277"/>
      <c r="W49" s="277"/>
      <c r="X49" s="277"/>
      <c r="Y49" s="277"/>
      <c r="Z49" s="277"/>
      <c r="AA49" s="277"/>
      <c r="AB49" s="278"/>
    </row>
    <row r="50" spans="1:30" ht="24" x14ac:dyDescent="0.2">
      <c r="A50" s="270" t="s">
        <v>1617</v>
      </c>
      <c r="B50" s="270" t="s">
        <v>1618</v>
      </c>
      <c r="C50" s="271">
        <v>0</v>
      </c>
      <c r="D50" s="271">
        <v>1104.0430630922885</v>
      </c>
      <c r="E50" s="271">
        <v>2180.5520138290221</v>
      </c>
      <c r="F50" s="271">
        <v>3362.5296138246968</v>
      </c>
      <c r="G50" s="271">
        <v>4624.0764655488711</v>
      </c>
      <c r="H50" s="271">
        <v>5830.9096090300336</v>
      </c>
      <c r="I50" s="271">
        <v>7344.6653847664147</v>
      </c>
      <c r="J50" s="271">
        <v>8741.8000140182958</v>
      </c>
      <c r="K50" s="271">
        <v>10388.908143997436</v>
      </c>
      <c r="L50" s="271">
        <v>11917.336962441179</v>
      </c>
      <c r="M50" s="271">
        <v>13512.641373519604</v>
      </c>
      <c r="N50" s="271">
        <v>16240.438794255128</v>
      </c>
      <c r="O50" s="271">
        <v>18209.797469894864</v>
      </c>
      <c r="P50" s="271">
        <v>20751.311258164769</v>
      </c>
      <c r="Q50" s="271">
        <v>23317.946477271231</v>
      </c>
      <c r="R50" s="271">
        <v>26236.729797514497</v>
      </c>
      <c r="S50" s="271">
        <v>29769.456859064892</v>
      </c>
      <c r="T50" s="271">
        <v>32798.322466492195</v>
      </c>
      <c r="U50" s="271">
        <v>37268.100563141554</v>
      </c>
      <c r="V50" s="271">
        <v>39938.225047893422</v>
      </c>
      <c r="W50" s="271">
        <v>42803.333590098788</v>
      </c>
      <c r="X50" s="271">
        <v>45534.641708636445</v>
      </c>
      <c r="Y50" s="271">
        <v>42307.023311989287</v>
      </c>
      <c r="Z50" s="271">
        <v>38218.855705301001</v>
      </c>
      <c r="AA50" s="271">
        <v>39175.703211104905</v>
      </c>
      <c r="AB50" s="271">
        <v>42166.405082911711</v>
      </c>
    </row>
    <row r="51" spans="1:30" ht="24" x14ac:dyDescent="0.2">
      <c r="A51" s="274" t="s">
        <v>1619</v>
      </c>
      <c r="B51" s="274" t="s">
        <v>1618</v>
      </c>
      <c r="C51" s="275">
        <v>113978.39999059883</v>
      </c>
      <c r="D51" s="275">
        <v>120807.93570516941</v>
      </c>
      <c r="E51" s="275">
        <v>114049.58655093896</v>
      </c>
      <c r="F51" s="275">
        <v>111847.94633973041</v>
      </c>
      <c r="G51" s="275">
        <v>109789.51778369199</v>
      </c>
      <c r="H51" s="275">
        <v>105137.14411747169</v>
      </c>
      <c r="I51" s="275">
        <v>104463.12856814965</v>
      </c>
      <c r="J51" s="275">
        <v>100556.81538104337</v>
      </c>
      <c r="K51" s="275">
        <v>98310.05869355418</v>
      </c>
      <c r="L51" s="275">
        <v>93864.669998769445</v>
      </c>
      <c r="M51" s="275">
        <v>89277.700990248763</v>
      </c>
      <c r="N51" s="275">
        <v>90433.721641120341</v>
      </c>
      <c r="O51" s="275">
        <v>85640.166760680586</v>
      </c>
      <c r="P51" s="275">
        <v>82396.455450902853</v>
      </c>
      <c r="Q51" s="275">
        <v>77951.16903906026</v>
      </c>
      <c r="R51" s="275">
        <v>73435.757373278801</v>
      </c>
      <c r="S51" s="275">
        <v>69153.452410364262</v>
      </c>
      <c r="T51" s="275">
        <v>62414.079170745448</v>
      </c>
      <c r="U51" s="275">
        <v>57006.457288725527</v>
      </c>
      <c r="V51" s="275">
        <v>47749.964768770209</v>
      </c>
      <c r="W51" s="275">
        <v>38307.412850609282</v>
      </c>
      <c r="X51" s="275">
        <v>28366.382714816049</v>
      </c>
      <c r="Y51" s="275">
        <v>31308.882789649448</v>
      </c>
      <c r="Z51" s="275">
        <v>34264.967877823547</v>
      </c>
      <c r="AA51" s="275">
        <v>33646.268352275518</v>
      </c>
      <c r="AB51" s="275">
        <v>28633.72684467581</v>
      </c>
    </row>
    <row r="52" spans="1:30" x14ac:dyDescent="0.2">
      <c r="A52" s="221" t="s">
        <v>1439</v>
      </c>
      <c r="B52" s="276"/>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8"/>
    </row>
    <row r="53" spans="1:30" x14ac:dyDescent="0.2">
      <c r="A53" s="270" t="s">
        <v>1620</v>
      </c>
      <c r="B53" s="270" t="s">
        <v>1621</v>
      </c>
      <c r="C53" s="271">
        <v>196038.57453425386</v>
      </c>
      <c r="D53" s="271">
        <v>214800.96662739868</v>
      </c>
      <c r="E53" s="271">
        <v>212413.28109135342</v>
      </c>
      <c r="F53" s="271">
        <v>218607.54913805323</v>
      </c>
      <c r="G53" s="271">
        <v>225128.10704945363</v>
      </c>
      <c r="H53" s="271">
        <v>226944.65308791623</v>
      </c>
      <c r="I53" s="271">
        <v>238099.72685116791</v>
      </c>
      <c r="J53" s="271">
        <v>242266.4326778946</v>
      </c>
      <c r="K53" s="271">
        <v>252007.43585571644</v>
      </c>
      <c r="L53" s="271">
        <v>255787.89430925276</v>
      </c>
      <c r="M53" s="271">
        <v>259807.89814245352</v>
      </c>
      <c r="N53" s="271">
        <v>282576.63507741294</v>
      </c>
      <c r="O53" s="271">
        <v>289704.77754049649</v>
      </c>
      <c r="P53" s="271">
        <v>303890.08837282867</v>
      </c>
      <c r="Q53" s="271">
        <v>315518.95681774896</v>
      </c>
      <c r="R53" s="271">
        <v>330260.99098469055</v>
      </c>
      <c r="S53" s="271">
        <v>349861.47287679056</v>
      </c>
      <c r="T53" s="271">
        <v>360808.76956450508</v>
      </c>
      <c r="U53" s="271">
        <v>386054.22605815349</v>
      </c>
      <c r="V53" s="271">
        <v>391654.96376742813</v>
      </c>
      <c r="W53" s="271">
        <v>399462.52849266131</v>
      </c>
      <c r="X53" s="271">
        <v>404334.17994586285</v>
      </c>
      <c r="Y53" s="271">
        <v>402774.21398141928</v>
      </c>
      <c r="Z53" s="271">
        <v>396580.25848045578</v>
      </c>
      <c r="AA53" s="271">
        <v>398430.36525994597</v>
      </c>
      <c r="AB53" s="271">
        <v>387368.28760272567</v>
      </c>
    </row>
    <row r="54" spans="1:30" x14ac:dyDescent="0.2">
      <c r="A54" s="272" t="s">
        <v>1622</v>
      </c>
      <c r="B54" s="272" t="s">
        <v>1623</v>
      </c>
      <c r="C54" s="273">
        <v>241763</v>
      </c>
      <c r="D54" s="273">
        <v>251564</v>
      </c>
      <c r="E54" s="273">
        <v>250393</v>
      </c>
      <c r="F54" s="273">
        <v>253627</v>
      </c>
      <c r="G54" s="273">
        <v>258743</v>
      </c>
      <c r="H54" s="273">
        <v>260124</v>
      </c>
      <c r="I54" s="273">
        <v>266848</v>
      </c>
      <c r="J54" s="273">
        <v>270367</v>
      </c>
      <c r="K54" s="273">
        <v>278005</v>
      </c>
      <c r="L54" s="273">
        <v>283797</v>
      </c>
      <c r="M54" s="273">
        <v>290738</v>
      </c>
      <c r="N54" s="273">
        <v>308565</v>
      </c>
      <c r="O54" s="273">
        <v>317132</v>
      </c>
      <c r="P54" s="273">
        <v>329420</v>
      </c>
      <c r="Q54" s="273">
        <v>342782</v>
      </c>
      <c r="R54" s="273">
        <v>356633</v>
      </c>
      <c r="S54" s="273">
        <v>374756</v>
      </c>
      <c r="T54" s="273">
        <v>389133</v>
      </c>
      <c r="U54" s="273">
        <v>409885</v>
      </c>
      <c r="V54" s="273">
        <v>415431</v>
      </c>
      <c r="W54" s="273">
        <v>419330</v>
      </c>
      <c r="X54" s="273">
        <v>423560</v>
      </c>
      <c r="Y54" s="273">
        <v>421662</v>
      </c>
      <c r="Z54" s="273">
        <v>415483</v>
      </c>
      <c r="AA54" s="273">
        <v>414360</v>
      </c>
      <c r="AB54" s="273">
        <v>408465</v>
      </c>
    </row>
    <row r="55" spans="1:30" x14ac:dyDescent="0.2">
      <c r="A55" s="272" t="s">
        <v>1624</v>
      </c>
      <c r="B55" s="272" t="s">
        <v>1600</v>
      </c>
      <c r="C55" s="273">
        <v>17574.572</v>
      </c>
      <c r="D55" s="273">
        <v>17808.904999999999</v>
      </c>
      <c r="E55" s="273">
        <v>17749.766</v>
      </c>
      <c r="F55" s="273">
        <v>18932.053818860899</v>
      </c>
      <c r="G55" s="273">
        <v>19616.242600246835</v>
      </c>
      <c r="H55" s="273">
        <v>19837.904261810247</v>
      </c>
      <c r="I55" s="273">
        <v>21349.599409447179</v>
      </c>
      <c r="J55" s="273">
        <v>21434.904078462263</v>
      </c>
      <c r="K55" s="273">
        <v>23104.658113079007</v>
      </c>
      <c r="L55" s="273">
        <v>22670.79795089586</v>
      </c>
      <c r="M55" s="273">
        <v>22432.382741247275</v>
      </c>
      <c r="N55" s="273">
        <v>24630.595720765763</v>
      </c>
      <c r="O55" s="273">
        <v>25256.742654114678</v>
      </c>
      <c r="P55" s="273">
        <v>26649.657548153576</v>
      </c>
      <c r="Q55" s="273">
        <v>27216.696722490793</v>
      </c>
      <c r="R55" s="273">
        <v>28423.04437351623</v>
      </c>
      <c r="S55" s="273">
        <v>29889.480392022902</v>
      </c>
      <c r="T55" s="273">
        <v>29911.892927207369</v>
      </c>
      <c r="U55" s="273">
        <v>32052.166929899286</v>
      </c>
      <c r="V55" s="273">
        <v>32628.006812264764</v>
      </c>
      <c r="W55" s="273">
        <v>34178.257375712972</v>
      </c>
      <c r="X55" s="273">
        <v>34472.7393521091</v>
      </c>
      <c r="Y55" s="273">
        <v>34339.739712806717</v>
      </c>
      <c r="Z55" s="273">
        <v>33811.655212080441</v>
      </c>
      <c r="AA55" s="273">
        <v>33969.39168835726</v>
      </c>
      <c r="AB55" s="273">
        <v>33026.26063814231</v>
      </c>
    </row>
    <row r="56" spans="1:30" x14ac:dyDescent="0.2">
      <c r="A56" s="272" t="s">
        <v>1443</v>
      </c>
      <c r="B56" s="272" t="s">
        <v>1600</v>
      </c>
      <c r="C56" s="273">
        <v>17574.572</v>
      </c>
      <c r="D56" s="273">
        <v>17808.904999999999</v>
      </c>
      <c r="E56" s="273">
        <v>17749.766</v>
      </c>
      <c r="F56" s="273">
        <v>18932.053818860899</v>
      </c>
      <c r="G56" s="273">
        <v>19616.242600246835</v>
      </c>
      <c r="H56" s="273">
        <v>19837.904261810247</v>
      </c>
      <c r="I56" s="273">
        <v>21349.599409447179</v>
      </c>
      <c r="J56" s="273">
        <v>21434.904078462263</v>
      </c>
      <c r="K56" s="273">
        <v>23104.658113079007</v>
      </c>
      <c r="L56" s="273">
        <v>22670.79795089586</v>
      </c>
      <c r="M56" s="273">
        <v>22432.382741247275</v>
      </c>
      <c r="N56" s="273">
        <v>24630.595720765763</v>
      </c>
      <c r="O56" s="273">
        <v>25256.742654114678</v>
      </c>
      <c r="P56" s="273">
        <v>26649.657548153576</v>
      </c>
      <c r="Q56" s="273">
        <v>27216.696722490793</v>
      </c>
      <c r="R56" s="273">
        <v>28423.04437351623</v>
      </c>
      <c r="S56" s="273">
        <v>29889.480392022902</v>
      </c>
      <c r="T56" s="273">
        <v>29911.892927207369</v>
      </c>
      <c r="U56" s="273">
        <v>32052.166929899286</v>
      </c>
      <c r="V56" s="273">
        <v>32628.006812264764</v>
      </c>
      <c r="W56" s="273">
        <v>34178.257375712972</v>
      </c>
      <c r="X56" s="273">
        <v>34472.7393521091</v>
      </c>
      <c r="Y56" s="273">
        <v>34339.739712806717</v>
      </c>
      <c r="Z56" s="273">
        <v>33811.655212080441</v>
      </c>
      <c r="AA56" s="273">
        <v>33969.39168835726</v>
      </c>
      <c r="AB56" s="273">
        <v>33026.26063814231</v>
      </c>
    </row>
    <row r="57" spans="1:30" x14ac:dyDescent="0.2">
      <c r="A57" s="274" t="s">
        <v>1444</v>
      </c>
      <c r="B57" s="274" t="s">
        <v>1601</v>
      </c>
      <c r="C57" s="275">
        <v>2565</v>
      </c>
      <c r="D57" s="275">
        <v>2576</v>
      </c>
      <c r="E57" s="275">
        <v>2615</v>
      </c>
      <c r="F57" s="275">
        <v>2661</v>
      </c>
      <c r="G57" s="275">
        <v>2718</v>
      </c>
      <c r="H57" s="275">
        <v>2732</v>
      </c>
      <c r="I57" s="275">
        <v>2712</v>
      </c>
      <c r="J57" s="275">
        <v>2715</v>
      </c>
      <c r="K57" s="275">
        <v>2754</v>
      </c>
      <c r="L57" s="275">
        <v>3049</v>
      </c>
      <c r="M57" s="275">
        <v>2844</v>
      </c>
      <c r="N57" s="275">
        <v>2894</v>
      </c>
      <c r="O57" s="275">
        <v>2867</v>
      </c>
      <c r="P57" s="275">
        <v>2915</v>
      </c>
      <c r="Q57" s="275">
        <v>2912</v>
      </c>
      <c r="R57" s="275">
        <v>2968</v>
      </c>
      <c r="S57" s="275">
        <v>3122</v>
      </c>
      <c r="T57" s="275">
        <v>3299</v>
      </c>
      <c r="U57" s="275">
        <v>3568</v>
      </c>
      <c r="V57" s="275">
        <v>3656</v>
      </c>
      <c r="W57" s="275">
        <v>3838</v>
      </c>
      <c r="X57" s="275">
        <v>4246</v>
      </c>
      <c r="Y57" s="275">
        <v>4549</v>
      </c>
      <c r="Z57" s="275">
        <v>4638</v>
      </c>
      <c r="AA57" s="275">
        <v>5034</v>
      </c>
      <c r="AB57" s="275">
        <v>5276</v>
      </c>
    </row>
    <row r="58" spans="1:30" x14ac:dyDescent="0.2">
      <c r="A58" s="221" t="s">
        <v>1445</v>
      </c>
      <c r="B58" s="276"/>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8"/>
    </row>
    <row r="59" spans="1:30" x14ac:dyDescent="0.2">
      <c r="A59" s="270" t="s">
        <v>1446</v>
      </c>
      <c r="B59" s="270" t="s">
        <v>1625</v>
      </c>
      <c r="C59" s="271">
        <v>484488.72012572939</v>
      </c>
      <c r="D59" s="271">
        <v>536125.3073685352</v>
      </c>
      <c r="E59" s="271">
        <v>529440.00000000012</v>
      </c>
      <c r="F59" s="271">
        <v>544283.48646061018</v>
      </c>
      <c r="G59" s="271">
        <v>561364.97281283315</v>
      </c>
      <c r="H59" s="271">
        <v>566300.04949690192</v>
      </c>
      <c r="I59" s="271">
        <v>594430.46480119938</v>
      </c>
      <c r="J59" s="271">
        <v>606433.41293783975</v>
      </c>
      <c r="K59" s="271">
        <v>630609.07202341163</v>
      </c>
      <c r="L59" s="271">
        <v>643008.93039723986</v>
      </c>
      <c r="M59" s="271">
        <v>656176.3079646657</v>
      </c>
      <c r="N59" s="271">
        <v>716944.22168831388</v>
      </c>
      <c r="O59" s="271">
        <v>736892.54764528433</v>
      </c>
      <c r="P59" s="271">
        <v>775144.17399786832</v>
      </c>
      <c r="Q59" s="271">
        <v>808802.64031649113</v>
      </c>
      <c r="R59" s="271">
        <v>849373.56142854574</v>
      </c>
      <c r="S59" s="271">
        <v>903506.37931968854</v>
      </c>
      <c r="T59" s="271">
        <v>936877.92257528426</v>
      </c>
      <c r="U59" s="271">
        <v>1005414.2782303953</v>
      </c>
      <c r="V59" s="271">
        <v>1020740.7518471016</v>
      </c>
      <c r="W59" s="271">
        <v>1039268.8086420868</v>
      </c>
      <c r="X59" s="271">
        <v>1052938.3015698104</v>
      </c>
      <c r="Y59" s="271">
        <v>1048875.9492024495</v>
      </c>
      <c r="Z59" s="271">
        <v>1032746.0910092671</v>
      </c>
      <c r="AA59" s="271">
        <v>1037564.0074425999</v>
      </c>
      <c r="AB59" s="271">
        <v>1008756.9319146632</v>
      </c>
    </row>
    <row r="60" spans="1:30" x14ac:dyDescent="0.2">
      <c r="A60" s="274" t="s">
        <v>1447</v>
      </c>
      <c r="B60" s="274" t="s">
        <v>1602</v>
      </c>
      <c r="C60" s="275">
        <v>60442</v>
      </c>
      <c r="D60" s="275">
        <v>62893</v>
      </c>
      <c r="E60" s="275">
        <v>62599</v>
      </c>
      <c r="F60" s="275">
        <v>63408</v>
      </c>
      <c r="G60" s="275">
        <v>64686</v>
      </c>
      <c r="H60" s="275">
        <v>65031</v>
      </c>
      <c r="I60" s="275">
        <v>66714</v>
      </c>
      <c r="J60" s="275">
        <v>67593</v>
      </c>
      <c r="K60" s="275">
        <v>69502</v>
      </c>
      <c r="L60" s="275">
        <v>70949</v>
      </c>
      <c r="M60" s="275">
        <v>72685</v>
      </c>
      <c r="N60" s="275">
        <v>77141</v>
      </c>
      <c r="O60" s="275">
        <v>79283</v>
      </c>
      <c r="P60" s="275">
        <v>82356</v>
      </c>
      <c r="Q60" s="275">
        <v>85696</v>
      </c>
      <c r="R60" s="275">
        <v>89160</v>
      </c>
      <c r="S60" s="275">
        <v>93689</v>
      </c>
      <c r="T60" s="275">
        <v>97284</v>
      </c>
      <c r="U60" s="275">
        <v>102472</v>
      </c>
      <c r="V60" s="275">
        <v>103859</v>
      </c>
      <c r="W60" s="275">
        <v>104834</v>
      </c>
      <c r="X60" s="275">
        <v>105890</v>
      </c>
      <c r="Y60" s="275">
        <v>105417</v>
      </c>
      <c r="Z60" s="275">
        <v>103872</v>
      </c>
      <c r="AA60" s="275">
        <v>103591</v>
      </c>
      <c r="AB60" s="275">
        <v>102118</v>
      </c>
    </row>
    <row r="61" spans="1:30" x14ac:dyDescent="0.2">
      <c r="A61" s="221" t="s">
        <v>1448</v>
      </c>
      <c r="B61" s="276"/>
      <c r="C61" s="277"/>
      <c r="D61" s="277"/>
      <c r="E61" s="277"/>
      <c r="F61" s="277"/>
      <c r="G61" s="277"/>
      <c r="H61" s="277"/>
      <c r="I61" s="277"/>
      <c r="J61" s="277"/>
      <c r="K61" s="277"/>
      <c r="L61" s="277"/>
      <c r="M61" s="277"/>
      <c r="N61" s="277"/>
      <c r="O61" s="277"/>
      <c r="P61" s="277"/>
      <c r="Q61" s="277"/>
      <c r="R61" s="277"/>
      <c r="S61" s="277"/>
      <c r="T61" s="277"/>
      <c r="U61" s="277"/>
      <c r="V61" s="277"/>
      <c r="W61" s="277"/>
      <c r="X61" s="277"/>
      <c r="Y61" s="277"/>
      <c r="Z61" s="277"/>
      <c r="AA61" s="277"/>
      <c r="AB61" s="278"/>
    </row>
    <row r="62" spans="1:30" s="289" customFormat="1" ht="24" x14ac:dyDescent="0.2">
      <c r="A62" s="280" t="s">
        <v>1449</v>
      </c>
      <c r="B62" s="288" t="s">
        <v>1626</v>
      </c>
      <c r="C62" s="271">
        <v>2154.6327272727276</v>
      </c>
      <c r="D62" s="271">
        <v>2197.6636363636362</v>
      </c>
      <c r="E62" s="271">
        <v>2209.2000000000003</v>
      </c>
      <c r="F62" s="271">
        <v>2202.445454545455</v>
      </c>
      <c r="G62" s="271">
        <v>2251.6654545454544</v>
      </c>
      <c r="H62" s="271">
        <v>2279.5181818181818</v>
      </c>
      <c r="I62" s="271">
        <v>2319.1272727272731</v>
      </c>
      <c r="J62" s="271">
        <v>2321.4890909090909</v>
      </c>
      <c r="K62" s="271">
        <v>2384.5418181818186</v>
      </c>
      <c r="L62" s="271">
        <v>2378.3709090909092</v>
      </c>
      <c r="M62" s="271">
        <v>2401.2654545454543</v>
      </c>
      <c r="N62" s="271">
        <v>2453.4181818181819</v>
      </c>
      <c r="O62" s="271">
        <v>2460.64</v>
      </c>
      <c r="P62" s="271">
        <v>2451.48</v>
      </c>
      <c r="Q62" s="271">
        <v>2406.84</v>
      </c>
      <c r="R62" s="271">
        <v>2387</v>
      </c>
      <c r="S62" s="271">
        <v>2382.2525724976613</v>
      </c>
      <c r="T62" s="271">
        <v>2263.5282651072125</v>
      </c>
      <c r="U62" s="271">
        <v>2218.1999999999998</v>
      </c>
      <c r="V62" s="271">
        <v>2064.3998291328489</v>
      </c>
      <c r="W62" s="271">
        <v>1973.4939999999999</v>
      </c>
      <c r="X62" s="271">
        <v>1973.4939999999999</v>
      </c>
      <c r="Y62" s="271">
        <v>1973.4939999999999</v>
      </c>
      <c r="Z62" s="271">
        <v>1973.4939999999999</v>
      </c>
      <c r="AA62" s="271">
        <v>1973.4939999999999</v>
      </c>
      <c r="AB62" s="271">
        <v>1973.4939999999999</v>
      </c>
    </row>
    <row r="63" spans="1:30" s="289" customFormat="1" ht="24" x14ac:dyDescent="0.2">
      <c r="A63" s="284" t="s">
        <v>1450</v>
      </c>
      <c r="B63" s="290" t="s">
        <v>1627</v>
      </c>
      <c r="C63" s="275">
        <v>9.3345454545454558</v>
      </c>
      <c r="D63" s="275">
        <v>9.4272727272727277</v>
      </c>
      <c r="E63" s="275">
        <v>10.64</v>
      </c>
      <c r="F63" s="275">
        <v>10.743636363636366</v>
      </c>
      <c r="G63" s="275">
        <v>11.418181818181818</v>
      </c>
      <c r="H63" s="275">
        <v>13.256363636363638</v>
      </c>
      <c r="I63" s="275">
        <v>14.545454545454547</v>
      </c>
      <c r="J63" s="275">
        <v>15.856363636363637</v>
      </c>
      <c r="K63" s="275">
        <v>17.189090909090911</v>
      </c>
      <c r="L63" s="275">
        <v>21.534545454545452</v>
      </c>
      <c r="M63" s="275">
        <v>22.938181818181818</v>
      </c>
      <c r="N63" s="275">
        <v>24.363636363636367</v>
      </c>
      <c r="O63" s="275">
        <v>27.04</v>
      </c>
      <c r="P63" s="275">
        <v>28.52</v>
      </c>
      <c r="Q63" s="275">
        <v>31</v>
      </c>
      <c r="R63" s="275">
        <v>36.58</v>
      </c>
      <c r="S63" s="275">
        <v>41.53289678827565</v>
      </c>
      <c r="T63" s="275">
        <v>37.775438596491227</v>
      </c>
      <c r="U63" s="275">
        <v>39</v>
      </c>
      <c r="V63" s="275">
        <v>40.085433575395129</v>
      </c>
      <c r="W63" s="275">
        <v>41.089999999999996</v>
      </c>
      <c r="X63" s="275">
        <v>41.089999999999996</v>
      </c>
      <c r="Y63" s="275">
        <v>41.089999999999996</v>
      </c>
      <c r="Z63" s="275">
        <v>41.089999999999996</v>
      </c>
      <c r="AA63" s="275">
        <v>41.089999999999996</v>
      </c>
      <c r="AB63" s="275">
        <v>41.089999999999996</v>
      </c>
    </row>
    <row r="64" spans="1:30" s="279" customFormat="1" ht="12.75" x14ac:dyDescent="0.2">
      <c r="A64" s="224" t="s">
        <v>1451</v>
      </c>
      <c r="B64" s="291"/>
      <c r="C64" s="292"/>
      <c r="D64" s="292"/>
      <c r="E64" s="292"/>
      <c r="F64" s="292"/>
      <c r="G64" s="292"/>
      <c r="H64" s="292"/>
      <c r="I64" s="292"/>
      <c r="J64" s="292"/>
      <c r="K64" s="292"/>
      <c r="L64" s="292"/>
      <c r="M64" s="292"/>
      <c r="N64" s="292"/>
      <c r="O64" s="292"/>
      <c r="P64" s="292"/>
      <c r="Q64" s="292"/>
      <c r="R64" s="292"/>
      <c r="S64" s="292"/>
      <c r="T64" s="292"/>
      <c r="U64" s="292"/>
      <c r="V64" s="292"/>
      <c r="W64" s="292"/>
      <c r="X64" s="292"/>
      <c r="Y64" s="292"/>
      <c r="Z64" s="292"/>
      <c r="AA64" s="292"/>
      <c r="AB64" s="293"/>
      <c r="AC64" s="289"/>
      <c r="AD64" s="289"/>
    </row>
    <row r="65" spans="1:30" x14ac:dyDescent="0.2">
      <c r="A65" s="266" t="s">
        <v>1452</v>
      </c>
      <c r="B65" s="294"/>
      <c r="C65" s="295"/>
      <c r="D65" s="295"/>
      <c r="E65" s="295"/>
      <c r="F65" s="295"/>
      <c r="G65" s="295"/>
      <c r="H65" s="295"/>
      <c r="I65" s="295"/>
      <c r="J65" s="295"/>
      <c r="K65" s="295"/>
      <c r="L65" s="295"/>
      <c r="M65" s="295"/>
      <c r="N65" s="295"/>
      <c r="O65" s="295"/>
      <c r="P65" s="295"/>
      <c r="Q65" s="295"/>
      <c r="R65" s="295"/>
      <c r="S65" s="295"/>
      <c r="T65" s="295"/>
      <c r="U65" s="295"/>
      <c r="V65" s="295"/>
      <c r="W65" s="295"/>
      <c r="X65" s="295"/>
      <c r="Y65" s="295"/>
      <c r="Z65" s="295"/>
      <c r="AA65" s="295"/>
      <c r="AB65" s="296"/>
      <c r="AC65" s="289"/>
      <c r="AD65" s="289"/>
    </row>
    <row r="66" spans="1:30" s="213" customFormat="1" ht="12.75" x14ac:dyDescent="0.2">
      <c r="A66" s="280" t="s">
        <v>1454</v>
      </c>
      <c r="B66" s="297" t="s">
        <v>1628</v>
      </c>
      <c r="C66" s="281">
        <v>761</v>
      </c>
      <c r="D66" s="281">
        <v>734</v>
      </c>
      <c r="E66" s="281">
        <v>732</v>
      </c>
      <c r="F66" s="281">
        <v>726</v>
      </c>
      <c r="G66" s="281">
        <v>725</v>
      </c>
      <c r="H66" s="281">
        <v>675</v>
      </c>
      <c r="I66" s="281">
        <v>623</v>
      </c>
      <c r="J66" s="281">
        <v>615</v>
      </c>
      <c r="K66" s="281">
        <v>558</v>
      </c>
      <c r="L66" s="281">
        <v>581</v>
      </c>
      <c r="M66" s="281">
        <v>585</v>
      </c>
      <c r="N66" s="281">
        <v>570</v>
      </c>
      <c r="O66" s="281">
        <v>590</v>
      </c>
      <c r="P66" s="281">
        <v>574</v>
      </c>
      <c r="Q66" s="281">
        <v>572</v>
      </c>
      <c r="R66" s="281">
        <v>566</v>
      </c>
      <c r="S66" s="281">
        <v>571</v>
      </c>
      <c r="T66" s="281">
        <v>574</v>
      </c>
      <c r="U66" s="281">
        <v>577</v>
      </c>
      <c r="V66" s="281">
        <v>579</v>
      </c>
      <c r="W66" s="281">
        <v>585</v>
      </c>
      <c r="X66" s="281">
        <v>606</v>
      </c>
      <c r="Y66" s="281">
        <v>606</v>
      </c>
      <c r="Z66" s="281">
        <v>650</v>
      </c>
      <c r="AA66" s="281">
        <v>667</v>
      </c>
      <c r="AB66" s="281">
        <v>667</v>
      </c>
      <c r="AC66" s="298"/>
      <c r="AD66" s="289"/>
    </row>
    <row r="67" spans="1:30" s="213" customFormat="1" ht="12.75" x14ac:dyDescent="0.2">
      <c r="A67" s="299" t="s">
        <v>1629</v>
      </c>
      <c r="B67" s="299" t="s">
        <v>1600</v>
      </c>
      <c r="C67" s="283">
        <v>4128.4811063912066</v>
      </c>
      <c r="D67" s="283">
        <v>4093.6666370435196</v>
      </c>
      <c r="E67" s="283">
        <v>4126</v>
      </c>
      <c r="F67" s="283">
        <v>4094.6105980013049</v>
      </c>
      <c r="G67" s="283">
        <v>4091.3975611528563</v>
      </c>
      <c r="H67" s="283">
        <v>3811.4917607846983</v>
      </c>
      <c r="I67" s="283">
        <v>3519.9512085845254</v>
      </c>
      <c r="J67" s="283">
        <v>3476.8098929705702</v>
      </c>
      <c r="K67" s="283">
        <v>3156.4368696339793</v>
      </c>
      <c r="L67" s="283">
        <v>3288.4857839125143</v>
      </c>
      <c r="M67" s="283">
        <v>3313.0842369464931</v>
      </c>
      <c r="N67" s="283">
        <v>3230.041422403202</v>
      </c>
      <c r="O67" s="283">
        <v>3345.3512220717485</v>
      </c>
      <c r="P67" s="283">
        <v>3256.5512862438331</v>
      </c>
      <c r="Q67" s="283">
        <v>3247.1191759368235</v>
      </c>
      <c r="R67" s="283">
        <v>3214.9531586891899</v>
      </c>
      <c r="S67" s="283">
        <v>3245.2652157740163</v>
      </c>
      <c r="T67" s="283">
        <v>3264.2370992247006</v>
      </c>
      <c r="U67" s="283">
        <v>3283.2290675525123</v>
      </c>
      <c r="V67" s="283">
        <v>3296.5476015837326</v>
      </c>
      <c r="W67" s="283">
        <v>3332.666992146002</v>
      </c>
      <c r="X67" s="283">
        <v>3454.3297644539616</v>
      </c>
      <c r="Y67" s="283">
        <v>3454.3297644539616</v>
      </c>
      <c r="Z67" s="283">
        <v>3705.1391862955034</v>
      </c>
      <c r="AA67" s="283">
        <v>3802.0428265524629</v>
      </c>
      <c r="AB67" s="283">
        <v>3802.0428265524629</v>
      </c>
      <c r="AC67" s="300"/>
      <c r="AD67" s="289"/>
    </row>
    <row r="68" spans="1:30" s="213" customFormat="1" ht="24" x14ac:dyDescent="0.2">
      <c r="A68" s="299" t="s">
        <v>1457</v>
      </c>
      <c r="B68" s="299" t="s">
        <v>1600</v>
      </c>
      <c r="C68" s="283">
        <v>665.39988748185954</v>
      </c>
      <c r="D68" s="283">
        <v>659.78873330924387</v>
      </c>
      <c r="E68" s="283">
        <v>665</v>
      </c>
      <c r="F68" s="283">
        <v>650.87267974601548</v>
      </c>
      <c r="G68" s="283">
        <v>641.13866748306202</v>
      </c>
      <c r="H68" s="283">
        <v>588.53317976832102</v>
      </c>
      <c r="I68" s="283">
        <v>535.30295284704607</v>
      </c>
      <c r="J68" s="283">
        <v>520.49233379108216</v>
      </c>
      <c r="K68" s="283">
        <v>464.91732958545811</v>
      </c>
      <c r="L68" s="283">
        <v>476.30543582622272</v>
      </c>
      <c r="M68" s="283">
        <v>471.61641690282227</v>
      </c>
      <c r="N68" s="283">
        <v>451.62380195395468</v>
      </c>
      <c r="O68" s="283">
        <v>459.15243525500767</v>
      </c>
      <c r="P68" s="283">
        <v>438.47167189594177</v>
      </c>
      <c r="Q68" s="283">
        <v>428.60695040793109</v>
      </c>
      <c r="R68" s="283">
        <v>415.72656261079356</v>
      </c>
      <c r="S68" s="283">
        <v>410.80427167363649</v>
      </c>
      <c r="T68" s="283">
        <v>404.18574539024502</v>
      </c>
      <c r="U68" s="283">
        <v>397.33783532476969</v>
      </c>
      <c r="V68" s="283">
        <v>389.58553528589408</v>
      </c>
      <c r="W68" s="283">
        <v>384.25898220842942</v>
      </c>
      <c r="X68" s="283">
        <v>388.20849508681528</v>
      </c>
      <c r="Y68" s="283">
        <v>393.93850977444356</v>
      </c>
      <c r="Z68" s="283">
        <v>400.63262266083234</v>
      </c>
      <c r="AA68" s="283">
        <v>407.25705685898367</v>
      </c>
      <c r="AB68" s="283">
        <v>377.06209850107069</v>
      </c>
      <c r="AC68" s="298"/>
      <c r="AD68" s="289"/>
    </row>
    <row r="69" spans="1:30" s="213" customFormat="1" ht="24" x14ac:dyDescent="0.2">
      <c r="A69" s="299" t="s">
        <v>1458</v>
      </c>
      <c r="B69" s="299" t="s">
        <v>1600</v>
      </c>
      <c r="C69" s="283">
        <v>0</v>
      </c>
      <c r="D69" s="283">
        <v>0</v>
      </c>
      <c r="E69" s="283">
        <v>0</v>
      </c>
      <c r="F69" s="283">
        <v>13.07394595398072</v>
      </c>
      <c r="G69" s="283">
        <v>26.284819469127182</v>
      </c>
      <c r="H69" s="283">
        <v>36.949635107531854</v>
      </c>
      <c r="I69" s="283">
        <v>45.768084634501371</v>
      </c>
      <c r="J69" s="283">
        <v>56.84222601736235</v>
      </c>
      <c r="K69" s="283">
        <v>62.288028167755378</v>
      </c>
      <c r="L69" s="283">
        <v>76.14977643126133</v>
      </c>
      <c r="M69" s="283">
        <v>88.185669644504074</v>
      </c>
      <c r="N69" s="283">
        <v>97.276924693287938</v>
      </c>
      <c r="O69" s="283">
        <v>112.58164751220107</v>
      </c>
      <c r="P69" s="283">
        <v>121.23452588340857</v>
      </c>
      <c r="Q69" s="283">
        <v>132.61370548989626</v>
      </c>
      <c r="R69" s="283">
        <v>143.03547473588165</v>
      </c>
      <c r="S69" s="283">
        <v>156.35242291589319</v>
      </c>
      <c r="T69" s="283">
        <v>169.42752480564008</v>
      </c>
      <c r="U69" s="283">
        <v>182.76835300120729</v>
      </c>
      <c r="V69" s="283">
        <v>196.03847326463591</v>
      </c>
      <c r="W69" s="283">
        <v>210.97706498207125</v>
      </c>
      <c r="X69" s="283">
        <v>232.06559484894493</v>
      </c>
      <c r="Y69" s="283">
        <v>226.33558016131667</v>
      </c>
      <c r="Z69" s="283">
        <v>264.67786984452101</v>
      </c>
      <c r="AA69" s="283">
        <v>275.45386391189436</v>
      </c>
      <c r="AB69" s="283">
        <v>305.64882226980734</v>
      </c>
      <c r="AC69" s="298"/>
      <c r="AD69" s="289"/>
    </row>
    <row r="70" spans="1:30" s="213" customFormat="1" ht="12.75" x14ac:dyDescent="0.2">
      <c r="A70" s="282" t="s">
        <v>1630</v>
      </c>
      <c r="B70" s="299" t="s">
        <v>1628</v>
      </c>
      <c r="C70" s="283">
        <v>761</v>
      </c>
      <c r="D70" s="283">
        <v>734</v>
      </c>
      <c r="E70" s="283">
        <v>732</v>
      </c>
      <c r="F70" s="283">
        <v>726</v>
      </c>
      <c r="G70" s="283">
        <v>725</v>
      </c>
      <c r="H70" s="283">
        <v>675</v>
      </c>
      <c r="I70" s="283">
        <v>623</v>
      </c>
      <c r="J70" s="283">
        <v>615</v>
      </c>
      <c r="K70" s="283">
        <v>558</v>
      </c>
      <c r="L70" s="283">
        <v>581</v>
      </c>
      <c r="M70" s="283">
        <v>585</v>
      </c>
      <c r="N70" s="283">
        <v>570</v>
      </c>
      <c r="O70" s="283">
        <v>590</v>
      </c>
      <c r="P70" s="283">
        <v>574</v>
      </c>
      <c r="Q70" s="283">
        <v>572</v>
      </c>
      <c r="R70" s="283">
        <v>566</v>
      </c>
      <c r="S70" s="283">
        <v>571</v>
      </c>
      <c r="T70" s="283">
        <v>574</v>
      </c>
      <c r="U70" s="283">
        <v>577</v>
      </c>
      <c r="V70" s="283">
        <v>579</v>
      </c>
      <c r="W70" s="283">
        <v>585</v>
      </c>
      <c r="X70" s="283">
        <v>606</v>
      </c>
      <c r="Y70" s="283">
        <v>606</v>
      </c>
      <c r="Z70" s="283">
        <v>650</v>
      </c>
      <c r="AA70" s="283">
        <v>667</v>
      </c>
      <c r="AB70" s="283">
        <v>667</v>
      </c>
      <c r="AC70" s="298"/>
      <c r="AD70" s="289"/>
    </row>
    <row r="71" spans="1:30" s="213" customFormat="1" ht="12.75" x14ac:dyDescent="0.2">
      <c r="A71" s="284" t="s">
        <v>1459</v>
      </c>
      <c r="B71" s="301" t="s">
        <v>1628</v>
      </c>
      <c r="C71" s="285">
        <v>761</v>
      </c>
      <c r="D71" s="285">
        <v>734</v>
      </c>
      <c r="E71" s="285">
        <v>732</v>
      </c>
      <c r="F71" s="285">
        <v>726</v>
      </c>
      <c r="G71" s="285">
        <v>725</v>
      </c>
      <c r="H71" s="285">
        <v>675</v>
      </c>
      <c r="I71" s="285">
        <v>623</v>
      </c>
      <c r="J71" s="285">
        <v>615</v>
      </c>
      <c r="K71" s="285">
        <v>558</v>
      </c>
      <c r="L71" s="285">
        <v>581</v>
      </c>
      <c r="M71" s="285">
        <v>585</v>
      </c>
      <c r="N71" s="285">
        <v>570</v>
      </c>
      <c r="O71" s="285">
        <v>590</v>
      </c>
      <c r="P71" s="285">
        <v>574</v>
      </c>
      <c r="Q71" s="285">
        <v>572</v>
      </c>
      <c r="R71" s="285">
        <v>566</v>
      </c>
      <c r="S71" s="285">
        <v>571</v>
      </c>
      <c r="T71" s="285">
        <v>574</v>
      </c>
      <c r="U71" s="285">
        <v>577</v>
      </c>
      <c r="V71" s="285">
        <v>579</v>
      </c>
      <c r="W71" s="285">
        <v>585</v>
      </c>
      <c r="X71" s="285">
        <v>606</v>
      </c>
      <c r="Y71" s="285">
        <v>606</v>
      </c>
      <c r="Z71" s="285">
        <v>650</v>
      </c>
      <c r="AA71" s="285">
        <v>667</v>
      </c>
      <c r="AB71" s="285">
        <v>667</v>
      </c>
      <c r="AC71" s="298"/>
      <c r="AD71" s="289"/>
    </row>
    <row r="72" spans="1:30" s="213" customFormat="1" ht="12.75" x14ac:dyDescent="0.2">
      <c r="A72" s="302" t="s">
        <v>1631</v>
      </c>
      <c r="B72" s="303"/>
      <c r="C72" s="304"/>
      <c r="D72" s="304"/>
      <c r="E72" s="304"/>
      <c r="F72" s="304"/>
      <c r="G72" s="304"/>
      <c r="H72" s="304"/>
      <c r="I72" s="304"/>
      <c r="J72" s="304"/>
      <c r="K72" s="304"/>
      <c r="L72" s="304"/>
      <c r="M72" s="304"/>
      <c r="N72" s="304"/>
      <c r="O72" s="304"/>
      <c r="P72" s="304"/>
      <c r="Q72" s="304"/>
      <c r="R72" s="304"/>
      <c r="S72" s="304"/>
      <c r="T72" s="304"/>
      <c r="U72" s="304"/>
      <c r="V72" s="304"/>
      <c r="W72" s="304"/>
      <c r="X72" s="304"/>
      <c r="Y72" s="304"/>
      <c r="Z72" s="304"/>
      <c r="AA72" s="304"/>
      <c r="AB72" s="305"/>
      <c r="AC72" s="298"/>
      <c r="AD72" s="289"/>
    </row>
    <row r="73" spans="1:30" s="213" customFormat="1" ht="12.75" x14ac:dyDescent="0.2">
      <c r="A73" s="280" t="s">
        <v>1632</v>
      </c>
      <c r="B73" s="297" t="s">
        <v>1616</v>
      </c>
      <c r="C73" s="281">
        <v>29660.301648253466</v>
      </c>
      <c r="D73" s="281">
        <v>29410.183593703641</v>
      </c>
      <c r="E73" s="281">
        <v>29642.47660265239</v>
      </c>
      <c r="F73" s="281">
        <v>30730.416699351441</v>
      </c>
      <c r="G73" s="281">
        <v>32017.16630704499</v>
      </c>
      <c r="H73" s="281">
        <v>31046.503325334248</v>
      </c>
      <c r="I73" s="281">
        <v>29796.863177870957</v>
      </c>
      <c r="J73" s="281">
        <v>30541.66372235223</v>
      </c>
      <c r="K73" s="281">
        <v>28733.904699689192</v>
      </c>
      <c r="L73" s="281">
        <v>30983.372730948908</v>
      </c>
      <c r="M73" s="281">
        <v>32269.111846073829</v>
      </c>
      <c r="N73" s="281">
        <v>32486.62901567774</v>
      </c>
      <c r="O73" s="281">
        <v>34708.105250225562</v>
      </c>
      <c r="P73" s="281">
        <v>34819.131635706734</v>
      </c>
      <c r="Q73" s="281">
        <v>35746.407335500386</v>
      </c>
      <c r="R73" s="281">
        <v>36409.042470487089</v>
      </c>
      <c r="S73" s="281">
        <v>37777.440626190524</v>
      </c>
      <c r="T73" s="281">
        <v>39028.184187825391</v>
      </c>
      <c r="U73" s="281">
        <v>40289.927015711444</v>
      </c>
      <c r="V73" s="281">
        <v>41491.009335521347</v>
      </c>
      <c r="W73" s="281">
        <v>42993.396440975463</v>
      </c>
      <c r="X73" s="281">
        <v>45647.675025097727</v>
      </c>
      <c r="Y73" s="281">
        <v>45647.675025097727</v>
      </c>
      <c r="Z73" s="281">
        <v>48962.027667184026</v>
      </c>
      <c r="AA73" s="281">
        <v>50242.573006171915</v>
      </c>
      <c r="AB73" s="281">
        <v>50242.573006171915</v>
      </c>
      <c r="AC73" s="298"/>
      <c r="AD73" s="289"/>
    </row>
    <row r="74" spans="1:30" s="213" customFormat="1" ht="12.75" x14ac:dyDescent="0.2">
      <c r="A74" s="282" t="s">
        <v>1633</v>
      </c>
      <c r="B74" s="299" t="s">
        <v>1616</v>
      </c>
      <c r="C74" s="283">
        <v>35168.538982273531</v>
      </c>
      <c r="D74" s="283">
        <v>34871.971312263871</v>
      </c>
      <c r="E74" s="283">
        <v>35147.403633802816</v>
      </c>
      <c r="F74" s="283">
        <v>35254.945984003534</v>
      </c>
      <c r="G74" s="283">
        <v>35601.476322030365</v>
      </c>
      <c r="H74" s="283">
        <v>33514.045316424868</v>
      </c>
      <c r="I74" s="283">
        <v>31271.728237589952</v>
      </c>
      <c r="J74" s="283">
        <v>31205.311162231628</v>
      </c>
      <c r="K74" s="283">
        <v>28617.195322524665</v>
      </c>
      <c r="L74" s="283">
        <v>30113.374785565855</v>
      </c>
      <c r="M74" s="283">
        <v>30639.49324273508</v>
      </c>
      <c r="N74" s="283">
        <v>30164.488377381225</v>
      </c>
      <c r="O74" s="283">
        <v>31544.413703327198</v>
      </c>
      <c r="P74" s="283">
        <v>31001.774953985303</v>
      </c>
      <c r="Q74" s="283">
        <v>31205.467904552974</v>
      </c>
      <c r="R74" s="283">
        <v>31186.581176454416</v>
      </c>
      <c r="S74" s="283">
        <v>31773.24912960353</v>
      </c>
      <c r="T74" s="283">
        <v>32252.986866809162</v>
      </c>
      <c r="U74" s="283">
        <v>32735.994321557017</v>
      </c>
      <c r="V74" s="283">
        <v>33164.991715409429</v>
      </c>
      <c r="W74" s="283">
        <v>33827.467846402142</v>
      </c>
      <c r="X74" s="283">
        <v>35372.028676755421</v>
      </c>
      <c r="Y74" s="283">
        <v>35372.028676755421</v>
      </c>
      <c r="Z74" s="283">
        <v>37940.294785298713</v>
      </c>
      <c r="AA74" s="283">
        <v>38932.579418144989</v>
      </c>
      <c r="AB74" s="283">
        <v>38932.579418144989</v>
      </c>
      <c r="AC74" s="298"/>
      <c r="AD74" s="289"/>
    </row>
    <row r="75" spans="1:30" s="213" customFormat="1" ht="12.75" x14ac:dyDescent="0.2">
      <c r="A75" s="282" t="s">
        <v>1634</v>
      </c>
      <c r="B75" s="299" t="s">
        <v>1635</v>
      </c>
      <c r="C75" s="283">
        <v>385.69808743169398</v>
      </c>
      <c r="D75" s="283">
        <v>372.01366120218574</v>
      </c>
      <c r="E75" s="283">
        <v>370.99999999999994</v>
      </c>
      <c r="F75" s="283">
        <v>367.9590163934426</v>
      </c>
      <c r="G75" s="283">
        <v>367.45218579234967</v>
      </c>
      <c r="H75" s="283">
        <v>342.11065573770486</v>
      </c>
      <c r="I75" s="283">
        <v>315.75546448087431</v>
      </c>
      <c r="J75" s="283">
        <v>311.7008196721311</v>
      </c>
      <c r="K75" s="283">
        <v>282.81147540983602</v>
      </c>
      <c r="L75" s="283">
        <v>294.46857923497265</v>
      </c>
      <c r="M75" s="283">
        <v>296.49590163934425</v>
      </c>
      <c r="N75" s="283">
        <v>288.89344262295077</v>
      </c>
      <c r="O75" s="283">
        <v>299.03005464480873</v>
      </c>
      <c r="P75" s="283">
        <v>290.92076502732237</v>
      </c>
      <c r="Q75" s="283">
        <v>289.90710382513657</v>
      </c>
      <c r="R75" s="283">
        <v>286.86612021857923</v>
      </c>
      <c r="S75" s="283">
        <v>289.4002732240437</v>
      </c>
      <c r="T75" s="283">
        <v>290.92076502732237</v>
      </c>
      <c r="U75" s="283">
        <v>292.44125683060105</v>
      </c>
      <c r="V75" s="283">
        <v>293.45491803278685</v>
      </c>
      <c r="W75" s="283">
        <v>296.49590163934425</v>
      </c>
      <c r="X75" s="283">
        <v>307.13934426229503</v>
      </c>
      <c r="Y75" s="283">
        <v>307.13934426229503</v>
      </c>
      <c r="Z75" s="283">
        <v>329.43989071038249</v>
      </c>
      <c r="AA75" s="283">
        <v>338.05601092896171</v>
      </c>
      <c r="AB75" s="283">
        <v>338.05601092896171</v>
      </c>
      <c r="AC75" s="298"/>
      <c r="AD75" s="289"/>
    </row>
    <row r="76" spans="1:30" s="213" customFormat="1" ht="12.75" x14ac:dyDescent="0.2">
      <c r="A76" s="284" t="s">
        <v>1636</v>
      </c>
      <c r="B76" s="301" t="s">
        <v>1637</v>
      </c>
      <c r="C76" s="285">
        <v>761</v>
      </c>
      <c r="D76" s="285">
        <v>734</v>
      </c>
      <c r="E76" s="285">
        <v>732</v>
      </c>
      <c r="F76" s="285">
        <v>726</v>
      </c>
      <c r="G76" s="285">
        <v>725</v>
      </c>
      <c r="H76" s="285">
        <v>675</v>
      </c>
      <c r="I76" s="285">
        <v>623</v>
      </c>
      <c r="J76" s="285">
        <v>615</v>
      </c>
      <c r="K76" s="285">
        <v>558</v>
      </c>
      <c r="L76" s="285">
        <v>581</v>
      </c>
      <c r="M76" s="285">
        <v>585</v>
      </c>
      <c r="N76" s="285">
        <v>570</v>
      </c>
      <c r="O76" s="285">
        <v>590</v>
      </c>
      <c r="P76" s="285">
        <v>574</v>
      </c>
      <c r="Q76" s="285">
        <v>572</v>
      </c>
      <c r="R76" s="285">
        <v>566</v>
      </c>
      <c r="S76" s="285">
        <v>571</v>
      </c>
      <c r="T76" s="285">
        <v>574</v>
      </c>
      <c r="U76" s="285">
        <v>577</v>
      </c>
      <c r="V76" s="285">
        <v>579</v>
      </c>
      <c r="W76" s="285">
        <v>585</v>
      </c>
      <c r="X76" s="285">
        <v>606</v>
      </c>
      <c r="Y76" s="285">
        <v>606</v>
      </c>
      <c r="Z76" s="285">
        <v>650</v>
      </c>
      <c r="AA76" s="285">
        <v>667</v>
      </c>
      <c r="AB76" s="285">
        <v>667</v>
      </c>
      <c r="AC76" s="298"/>
      <c r="AD76" s="289"/>
    </row>
    <row r="77" spans="1:30" s="213" customFormat="1" ht="12.75" x14ac:dyDescent="0.2">
      <c r="A77" s="306" t="s">
        <v>1465</v>
      </c>
      <c r="B77" s="303"/>
      <c r="C77" s="307"/>
      <c r="D77" s="307"/>
      <c r="E77" s="307"/>
      <c r="F77" s="307"/>
      <c r="G77" s="307"/>
      <c r="H77" s="307"/>
      <c r="I77" s="307"/>
      <c r="J77" s="307"/>
      <c r="K77" s="307"/>
      <c r="L77" s="307"/>
      <c r="M77" s="307"/>
      <c r="N77" s="307"/>
      <c r="O77" s="307"/>
      <c r="P77" s="307"/>
      <c r="Q77" s="307"/>
      <c r="R77" s="307"/>
      <c r="S77" s="307"/>
      <c r="T77" s="307"/>
      <c r="U77" s="307"/>
      <c r="V77" s="307"/>
      <c r="W77" s="307"/>
      <c r="X77" s="307"/>
      <c r="Y77" s="307"/>
      <c r="Z77" s="307"/>
      <c r="AA77" s="307"/>
      <c r="AB77" s="308"/>
      <c r="AC77" s="298"/>
      <c r="AD77" s="289"/>
    </row>
    <row r="78" spans="1:30" s="213" customFormat="1" ht="12.75" x14ac:dyDescent="0.2">
      <c r="A78" s="309" t="s">
        <v>1466</v>
      </c>
      <c r="B78" s="309" t="s">
        <v>1637</v>
      </c>
      <c r="C78" s="310">
        <v>761</v>
      </c>
      <c r="D78" s="310">
        <v>734</v>
      </c>
      <c r="E78" s="310">
        <v>732</v>
      </c>
      <c r="F78" s="310">
        <v>726</v>
      </c>
      <c r="G78" s="310">
        <v>725</v>
      </c>
      <c r="H78" s="310">
        <v>675</v>
      </c>
      <c r="I78" s="310">
        <v>623</v>
      </c>
      <c r="J78" s="310">
        <v>615</v>
      </c>
      <c r="K78" s="310">
        <v>558</v>
      </c>
      <c r="L78" s="310">
        <v>581</v>
      </c>
      <c r="M78" s="310">
        <v>585</v>
      </c>
      <c r="N78" s="310">
        <v>570</v>
      </c>
      <c r="O78" s="310">
        <v>590</v>
      </c>
      <c r="P78" s="310">
        <v>574</v>
      </c>
      <c r="Q78" s="310">
        <v>572</v>
      </c>
      <c r="R78" s="310">
        <v>566</v>
      </c>
      <c r="S78" s="310">
        <v>571</v>
      </c>
      <c r="T78" s="310">
        <v>574</v>
      </c>
      <c r="U78" s="310">
        <v>577</v>
      </c>
      <c r="V78" s="310">
        <v>579</v>
      </c>
      <c r="W78" s="310">
        <v>585</v>
      </c>
      <c r="X78" s="310">
        <v>606</v>
      </c>
      <c r="Y78" s="310">
        <v>606</v>
      </c>
      <c r="Z78" s="310">
        <v>650</v>
      </c>
      <c r="AA78" s="310">
        <v>667</v>
      </c>
      <c r="AB78" s="310">
        <v>667</v>
      </c>
      <c r="AC78" s="298"/>
      <c r="AD78" s="289"/>
    </row>
    <row r="79" spans="1:30" ht="12.75" x14ac:dyDescent="0.2">
      <c r="A79" s="224" t="s">
        <v>1467</v>
      </c>
      <c r="B79" s="291"/>
      <c r="C79" s="292"/>
      <c r="D79" s="292"/>
      <c r="E79" s="292"/>
      <c r="F79" s="292"/>
      <c r="G79" s="292"/>
      <c r="H79" s="292"/>
      <c r="I79" s="292"/>
      <c r="J79" s="292"/>
      <c r="K79" s="292"/>
      <c r="L79" s="292"/>
      <c r="M79" s="292"/>
      <c r="N79" s="292"/>
      <c r="O79" s="292"/>
      <c r="P79" s="292"/>
      <c r="Q79" s="292"/>
      <c r="R79" s="292"/>
      <c r="S79" s="292"/>
      <c r="T79" s="292"/>
      <c r="U79" s="292"/>
      <c r="V79" s="292"/>
      <c r="W79" s="292"/>
      <c r="X79" s="292"/>
      <c r="Y79" s="292"/>
      <c r="Z79" s="292"/>
      <c r="AA79" s="292"/>
      <c r="AB79" s="293"/>
      <c r="AC79" s="311"/>
      <c r="AD79" s="289"/>
    </row>
    <row r="80" spans="1:30" x14ac:dyDescent="0.2">
      <c r="A80" s="312" t="s">
        <v>1468</v>
      </c>
      <c r="B80" s="294"/>
      <c r="C80" s="295"/>
      <c r="D80" s="295"/>
      <c r="E80" s="295"/>
      <c r="F80" s="295"/>
      <c r="G80" s="295"/>
      <c r="H80" s="295"/>
      <c r="I80" s="295"/>
      <c r="J80" s="295"/>
      <c r="K80" s="295"/>
      <c r="L80" s="295"/>
      <c r="M80" s="295"/>
      <c r="N80" s="295"/>
      <c r="O80" s="295"/>
      <c r="P80" s="295"/>
      <c r="Q80" s="295"/>
      <c r="R80" s="295"/>
      <c r="S80" s="295"/>
      <c r="T80" s="295"/>
      <c r="U80" s="295"/>
      <c r="V80" s="295"/>
      <c r="W80" s="295"/>
      <c r="X80" s="295"/>
      <c r="Y80" s="295"/>
      <c r="Z80" s="295"/>
      <c r="AA80" s="295"/>
      <c r="AB80" s="296"/>
      <c r="AC80" s="289"/>
      <c r="AD80" s="289"/>
    </row>
    <row r="81" spans="1:30" x14ac:dyDescent="0.2">
      <c r="A81" s="313" t="s">
        <v>1406</v>
      </c>
      <c r="B81" s="313" t="s">
        <v>1602</v>
      </c>
      <c r="C81" s="287">
        <v>291925</v>
      </c>
      <c r="D81" s="287">
        <v>293862</v>
      </c>
      <c r="E81" s="287">
        <v>291468</v>
      </c>
      <c r="F81" s="287">
        <v>293263</v>
      </c>
      <c r="G81" s="287">
        <v>301545</v>
      </c>
      <c r="H81" s="287">
        <v>296947</v>
      </c>
      <c r="I81" s="287">
        <v>284672</v>
      </c>
      <c r="J81" s="287">
        <v>294370</v>
      </c>
      <c r="K81" s="287">
        <v>302709</v>
      </c>
      <c r="L81" s="287">
        <v>296059</v>
      </c>
      <c r="M81" s="287">
        <v>298957</v>
      </c>
      <c r="N81" s="287">
        <v>289994</v>
      </c>
      <c r="O81" s="287">
        <v>302999</v>
      </c>
      <c r="P81" s="287">
        <v>301493</v>
      </c>
      <c r="Q81" s="287">
        <v>303001</v>
      </c>
      <c r="R81" s="287">
        <v>300468</v>
      </c>
      <c r="S81" s="287">
        <v>300324</v>
      </c>
      <c r="T81" s="287">
        <v>301066</v>
      </c>
      <c r="U81" s="287">
        <v>303181</v>
      </c>
      <c r="V81" s="287">
        <v>304573</v>
      </c>
      <c r="W81" s="287">
        <v>304805</v>
      </c>
      <c r="X81" s="287">
        <v>305057</v>
      </c>
      <c r="Y81" s="287">
        <v>303341</v>
      </c>
      <c r="Z81" s="287">
        <v>302827</v>
      </c>
      <c r="AA81" s="287">
        <v>301834</v>
      </c>
      <c r="AB81" s="287">
        <v>301257</v>
      </c>
      <c r="AC81" s="289"/>
      <c r="AD81" s="289"/>
    </row>
    <row r="82" spans="1:30" ht="24" x14ac:dyDescent="0.2">
      <c r="A82" s="314" t="s">
        <v>1469</v>
      </c>
      <c r="B82" s="303"/>
      <c r="C82" s="307"/>
      <c r="D82" s="307"/>
      <c r="E82" s="307"/>
      <c r="F82" s="307"/>
      <c r="G82" s="307"/>
      <c r="H82" s="307"/>
      <c r="I82" s="307"/>
      <c r="J82" s="307"/>
      <c r="K82" s="307"/>
      <c r="L82" s="307"/>
      <c r="M82" s="307"/>
      <c r="N82" s="307"/>
      <c r="O82" s="307"/>
      <c r="P82" s="307"/>
      <c r="Q82" s="307"/>
      <c r="R82" s="307"/>
      <c r="S82" s="307"/>
      <c r="T82" s="307"/>
      <c r="U82" s="307"/>
      <c r="V82" s="307"/>
      <c r="W82" s="307"/>
      <c r="X82" s="307"/>
      <c r="Y82" s="307"/>
      <c r="Z82" s="307"/>
      <c r="AA82" s="307"/>
      <c r="AB82" s="308"/>
      <c r="AC82" s="289"/>
      <c r="AD82" s="289"/>
    </row>
    <row r="83" spans="1:30" x14ac:dyDescent="0.2">
      <c r="A83" s="315" t="s">
        <v>1638</v>
      </c>
      <c r="B83" s="315" t="s">
        <v>1601</v>
      </c>
      <c r="C83" s="271">
        <v>1732.8914637503442</v>
      </c>
      <c r="D83" s="271">
        <v>1744.3896594008859</v>
      </c>
      <c r="E83" s="271">
        <v>1730.1786731399684</v>
      </c>
      <c r="F83" s="271">
        <v>1717.1124271852332</v>
      </c>
      <c r="G83" s="271">
        <v>1704.046181230498</v>
      </c>
      <c r="H83" s="271">
        <v>1690.9799352757627</v>
      </c>
      <c r="I83" s="271">
        <v>1677.9136893210275</v>
      </c>
      <c r="J83" s="271">
        <v>1664.8474433662923</v>
      </c>
      <c r="K83" s="271">
        <v>1651.7811974115571</v>
      </c>
      <c r="L83" s="271">
        <v>1638.7149514568218</v>
      </c>
      <c r="M83" s="271">
        <v>1625.6487055020866</v>
      </c>
      <c r="N83" s="271">
        <v>1612.5824595473514</v>
      </c>
      <c r="O83" s="271">
        <v>1599.5162135926162</v>
      </c>
      <c r="P83" s="271">
        <v>1586.4499676378809</v>
      </c>
      <c r="Q83" s="271">
        <v>1573.3837216831457</v>
      </c>
      <c r="R83" s="271">
        <v>1560.3174757284105</v>
      </c>
      <c r="S83" s="271">
        <v>1547.2512297736753</v>
      </c>
      <c r="T83" s="271">
        <v>1534.1849838189401</v>
      </c>
      <c r="U83" s="271">
        <v>1521.1187378642048</v>
      </c>
      <c r="V83" s="271">
        <v>1508.0524919094696</v>
      </c>
      <c r="W83" s="271">
        <v>1494.9862459547344</v>
      </c>
      <c r="X83" s="271">
        <v>1481.92</v>
      </c>
      <c r="Y83" s="271">
        <v>1587</v>
      </c>
      <c r="Z83" s="271">
        <v>1714.24</v>
      </c>
      <c r="AA83" s="271">
        <v>1837.44</v>
      </c>
      <c r="AB83" s="271">
        <v>1833.92</v>
      </c>
      <c r="AC83" s="289"/>
      <c r="AD83" s="289"/>
    </row>
    <row r="84" spans="1:30" x14ac:dyDescent="0.2">
      <c r="A84" s="316" t="s">
        <v>1472</v>
      </c>
      <c r="B84" s="316" t="s">
        <v>1600</v>
      </c>
      <c r="C84" s="273">
        <v>6967.1853584357004</v>
      </c>
      <c r="D84" s="273">
        <v>7013.4144859146418</v>
      </c>
      <c r="E84" s="273">
        <v>6956.278434709383</v>
      </c>
      <c r="F84" s="273">
        <v>6834.3645129739134</v>
      </c>
      <c r="G84" s="273">
        <v>6712.4505912384438</v>
      </c>
      <c r="H84" s="273">
        <v>6590.5366695029743</v>
      </c>
      <c r="I84" s="273">
        <v>6468.6227477675047</v>
      </c>
      <c r="J84" s="273">
        <v>6346.7088260320352</v>
      </c>
      <c r="K84" s="273">
        <v>6224.7949042965656</v>
      </c>
      <c r="L84" s="273">
        <v>6102.8809825610961</v>
      </c>
      <c r="M84" s="273">
        <v>5980.9670608256265</v>
      </c>
      <c r="N84" s="273">
        <v>5859.0531390901569</v>
      </c>
      <c r="O84" s="273">
        <v>5737.1392173546874</v>
      </c>
      <c r="P84" s="273">
        <v>5615.2252956192178</v>
      </c>
      <c r="Q84" s="273">
        <v>5493.3113738837483</v>
      </c>
      <c r="R84" s="273">
        <v>5371.3974521482787</v>
      </c>
      <c r="S84" s="273">
        <v>5249.4835304128092</v>
      </c>
      <c r="T84" s="273">
        <v>5127.5696086773396</v>
      </c>
      <c r="U84" s="273">
        <v>5005.65568694187</v>
      </c>
      <c r="V84" s="273">
        <v>4883.7417652064005</v>
      </c>
      <c r="W84" s="273">
        <v>4761.8278434709309</v>
      </c>
      <c r="X84" s="273">
        <v>4639.9139217354614</v>
      </c>
      <c r="Y84" s="273">
        <v>4518</v>
      </c>
      <c r="Z84" s="273">
        <v>4880.237126654064</v>
      </c>
      <c r="AA84" s="273">
        <v>5230.9728544423442</v>
      </c>
      <c r="AB84" s="273">
        <v>5220.9518336483934</v>
      </c>
      <c r="AC84" s="289"/>
      <c r="AD84" s="289"/>
    </row>
    <row r="85" spans="1:30" ht="24" x14ac:dyDescent="0.2">
      <c r="A85" s="316" t="s">
        <v>1639</v>
      </c>
      <c r="B85" s="316" t="s">
        <v>1600</v>
      </c>
      <c r="C85" s="273">
        <v>698.77302284710015</v>
      </c>
      <c r="D85" s="273">
        <v>703.40956766256591</v>
      </c>
      <c r="E85" s="273">
        <v>697.67911423550083</v>
      </c>
      <c r="F85" s="273">
        <v>756.79515852372583</v>
      </c>
      <c r="G85" s="273">
        <v>815.91120281195083</v>
      </c>
      <c r="H85" s="273">
        <v>875.02724710017583</v>
      </c>
      <c r="I85" s="273">
        <v>934.14329138840083</v>
      </c>
      <c r="J85" s="273">
        <v>993.25933567662582</v>
      </c>
      <c r="K85" s="273">
        <v>1052.3753799648507</v>
      </c>
      <c r="L85" s="273">
        <v>1111.4914242530756</v>
      </c>
      <c r="M85" s="273">
        <v>1170.6074685413005</v>
      </c>
      <c r="N85" s="273">
        <v>1229.7235128295254</v>
      </c>
      <c r="O85" s="273">
        <v>1288.8395571177502</v>
      </c>
      <c r="P85" s="273">
        <v>1347.9556014059751</v>
      </c>
      <c r="Q85" s="273">
        <v>1407.0716456942</v>
      </c>
      <c r="R85" s="273">
        <v>1466.1876899824249</v>
      </c>
      <c r="S85" s="273">
        <v>1525.3037342706498</v>
      </c>
      <c r="T85" s="273">
        <v>1584.4197785588747</v>
      </c>
      <c r="U85" s="273">
        <v>1643.5358228470996</v>
      </c>
      <c r="V85" s="273">
        <v>1702.6518671353244</v>
      </c>
      <c r="W85" s="273">
        <v>1761.7679114235493</v>
      </c>
      <c r="X85" s="273">
        <v>1820.8839557117742</v>
      </c>
      <c r="Y85" s="273">
        <v>1880</v>
      </c>
      <c r="Z85" s="273">
        <v>2030.7316950220541</v>
      </c>
      <c r="AA85" s="273">
        <v>2176.677504725898</v>
      </c>
      <c r="AB85" s="273">
        <v>2172.5076244486449</v>
      </c>
    </row>
    <row r="86" spans="1:30" ht="24" x14ac:dyDescent="0.2">
      <c r="A86" s="316" t="s">
        <v>1473</v>
      </c>
      <c r="B86" s="316" t="s">
        <v>1600</v>
      </c>
      <c r="C86" s="273">
        <v>698.77302284710015</v>
      </c>
      <c r="D86" s="273">
        <v>703.40956766256591</v>
      </c>
      <c r="E86" s="273">
        <v>697.67911423550083</v>
      </c>
      <c r="F86" s="273">
        <v>697.39521108668453</v>
      </c>
      <c r="G86" s="273">
        <v>697.11130793786822</v>
      </c>
      <c r="H86" s="273">
        <v>696.82740478905191</v>
      </c>
      <c r="I86" s="273">
        <v>696.5435016402356</v>
      </c>
      <c r="J86" s="273">
        <v>696.2595984914193</v>
      </c>
      <c r="K86" s="273">
        <v>695.97569534260299</v>
      </c>
      <c r="L86" s="273">
        <v>695.69179219378668</v>
      </c>
      <c r="M86" s="273">
        <v>695.40788904497037</v>
      </c>
      <c r="N86" s="273">
        <v>695.12398589615407</v>
      </c>
      <c r="O86" s="273">
        <v>694.84008274733776</v>
      </c>
      <c r="P86" s="273">
        <v>694.55617959852145</v>
      </c>
      <c r="Q86" s="273">
        <v>694.27227644970515</v>
      </c>
      <c r="R86" s="273">
        <v>693.98837330088884</v>
      </c>
      <c r="S86" s="273">
        <v>693.70447015207253</v>
      </c>
      <c r="T86" s="273">
        <v>693.42056700325622</v>
      </c>
      <c r="U86" s="273">
        <v>693.13666385443992</v>
      </c>
      <c r="V86" s="273">
        <v>692.85276070562361</v>
      </c>
      <c r="W86" s="273">
        <v>692.5688575568073</v>
      </c>
      <c r="X86" s="273">
        <v>692.28495440799088</v>
      </c>
      <c r="Y86" s="273">
        <v>750.96418732782365</v>
      </c>
      <c r="Z86" s="273">
        <v>822.08554658887726</v>
      </c>
      <c r="AA86" s="273">
        <v>870.67100189035921</v>
      </c>
      <c r="AB86" s="273">
        <v>838.08346561127496</v>
      </c>
    </row>
    <row r="87" spans="1:30" ht="24" x14ac:dyDescent="0.2">
      <c r="A87" s="317" t="s">
        <v>1474</v>
      </c>
      <c r="B87" s="317" t="s">
        <v>1600</v>
      </c>
      <c r="C87" s="275">
        <v>0</v>
      </c>
      <c r="D87" s="275">
        <v>0</v>
      </c>
      <c r="E87" s="275">
        <v>0</v>
      </c>
      <c r="F87" s="275">
        <v>59.399947437041227</v>
      </c>
      <c r="G87" s="275">
        <v>118.79989487408245</v>
      </c>
      <c r="H87" s="275">
        <v>178.19984231112369</v>
      </c>
      <c r="I87" s="275">
        <v>237.59978974816491</v>
      </c>
      <c r="J87" s="275">
        <v>296.99973718520613</v>
      </c>
      <c r="K87" s="275">
        <v>356.39968462224738</v>
      </c>
      <c r="L87" s="275">
        <v>415.79963205928863</v>
      </c>
      <c r="M87" s="275">
        <v>475.19957949632987</v>
      </c>
      <c r="N87" s="275">
        <v>534.59952693337107</v>
      </c>
      <c r="O87" s="275">
        <v>593.99947437041226</v>
      </c>
      <c r="P87" s="275">
        <v>653.39942180745345</v>
      </c>
      <c r="Q87" s="275">
        <v>712.79936924449464</v>
      </c>
      <c r="R87" s="275">
        <v>772.19931668153583</v>
      </c>
      <c r="S87" s="275">
        <v>831.59926411857703</v>
      </c>
      <c r="T87" s="275">
        <v>890.99921155561822</v>
      </c>
      <c r="U87" s="275">
        <v>950.39915899265941</v>
      </c>
      <c r="V87" s="275">
        <v>1009.7991064297006</v>
      </c>
      <c r="W87" s="275">
        <v>1069.1990538667419</v>
      </c>
      <c r="X87" s="275">
        <v>1128.5990013037833</v>
      </c>
      <c r="Y87" s="275">
        <v>1129.0358126721762</v>
      </c>
      <c r="Z87" s="275">
        <v>1208.6461484331769</v>
      </c>
      <c r="AA87" s="275">
        <v>1306.0065028355386</v>
      </c>
      <c r="AB87" s="275">
        <v>1334.4241588373698</v>
      </c>
    </row>
    <row r="88" spans="1:30" x14ac:dyDescent="0.2">
      <c r="A88" s="314" t="s">
        <v>1475</v>
      </c>
      <c r="B88" s="303"/>
      <c r="C88" s="307"/>
      <c r="D88" s="307"/>
      <c r="E88" s="307"/>
      <c r="F88" s="307"/>
      <c r="G88" s="307"/>
      <c r="H88" s="307"/>
      <c r="I88" s="307"/>
      <c r="J88" s="307"/>
      <c r="K88" s="307"/>
      <c r="L88" s="307"/>
      <c r="M88" s="307"/>
      <c r="N88" s="307"/>
      <c r="O88" s="307"/>
      <c r="P88" s="307"/>
      <c r="Q88" s="307"/>
      <c r="R88" s="307"/>
      <c r="S88" s="307"/>
      <c r="T88" s="307"/>
      <c r="U88" s="307"/>
      <c r="V88" s="307"/>
      <c r="W88" s="307"/>
      <c r="X88" s="307"/>
      <c r="Y88" s="307"/>
      <c r="Z88" s="307"/>
      <c r="AA88" s="307"/>
      <c r="AB88" s="308"/>
    </row>
    <row r="89" spans="1:30" x14ac:dyDescent="0.2">
      <c r="A89" s="315" t="s">
        <v>1638</v>
      </c>
      <c r="B89" s="315" t="s">
        <v>1601</v>
      </c>
      <c r="C89" s="271">
        <v>361.41312838947863</v>
      </c>
      <c r="D89" s="271">
        <v>374.93816695504222</v>
      </c>
      <c r="E89" s="271">
        <v>386</v>
      </c>
      <c r="F89" s="271">
        <v>382.6653846153846</v>
      </c>
      <c r="G89" s="271">
        <v>379.33076923076919</v>
      </c>
      <c r="H89" s="271">
        <v>375.99615384615379</v>
      </c>
      <c r="I89" s="271">
        <v>372.66153846153838</v>
      </c>
      <c r="J89" s="271">
        <v>369.32692307692298</v>
      </c>
      <c r="K89" s="271">
        <v>365.99230769230758</v>
      </c>
      <c r="L89" s="271">
        <v>362.65769230769217</v>
      </c>
      <c r="M89" s="271">
        <v>359.32307692307677</v>
      </c>
      <c r="N89" s="271">
        <v>355.98846153846137</v>
      </c>
      <c r="O89" s="271">
        <v>352.65384615384596</v>
      </c>
      <c r="P89" s="271">
        <v>349.31923076923056</v>
      </c>
      <c r="Q89" s="271">
        <v>345.98461538461515</v>
      </c>
      <c r="R89" s="271">
        <v>342.65</v>
      </c>
      <c r="S89" s="271">
        <v>345.32</v>
      </c>
      <c r="T89" s="271">
        <v>342.65</v>
      </c>
      <c r="U89" s="271">
        <v>349.77</v>
      </c>
      <c r="V89" s="271">
        <v>350.66</v>
      </c>
      <c r="W89" s="271">
        <v>351.55</v>
      </c>
      <c r="X89" s="271">
        <v>354.22</v>
      </c>
      <c r="Y89" s="271">
        <v>354.22</v>
      </c>
      <c r="Z89" s="271">
        <v>356</v>
      </c>
      <c r="AA89" s="271">
        <v>356</v>
      </c>
      <c r="AB89" s="271">
        <v>348.88</v>
      </c>
    </row>
    <row r="90" spans="1:30" x14ac:dyDescent="0.2">
      <c r="A90" s="316" t="s">
        <v>1472</v>
      </c>
      <c r="B90" s="316" t="s">
        <v>1600</v>
      </c>
      <c r="C90" s="273" t="s">
        <v>1455</v>
      </c>
      <c r="D90" s="273" t="s">
        <v>1455</v>
      </c>
      <c r="E90" s="273" t="s">
        <v>1455</v>
      </c>
      <c r="F90" s="273" t="s">
        <v>1455</v>
      </c>
      <c r="G90" s="273" t="s">
        <v>1455</v>
      </c>
      <c r="H90" s="273" t="s">
        <v>1455</v>
      </c>
      <c r="I90" s="273" t="s">
        <v>1455</v>
      </c>
      <c r="J90" s="273" t="s">
        <v>1455</v>
      </c>
      <c r="K90" s="273" t="s">
        <v>1455</v>
      </c>
      <c r="L90" s="273" t="s">
        <v>1455</v>
      </c>
      <c r="M90" s="273" t="s">
        <v>1455</v>
      </c>
      <c r="N90" s="273" t="s">
        <v>1455</v>
      </c>
      <c r="O90" s="273" t="s">
        <v>1455</v>
      </c>
      <c r="P90" s="273" t="s">
        <v>1455</v>
      </c>
      <c r="Q90" s="273" t="s">
        <v>1455</v>
      </c>
      <c r="R90" s="273" t="s">
        <v>1455</v>
      </c>
      <c r="S90" s="273" t="s">
        <v>1455</v>
      </c>
      <c r="T90" s="273" t="s">
        <v>1455</v>
      </c>
      <c r="U90" s="273" t="s">
        <v>1455</v>
      </c>
      <c r="V90" s="273" t="s">
        <v>1455</v>
      </c>
      <c r="W90" s="273" t="s">
        <v>1455</v>
      </c>
      <c r="X90" s="273" t="s">
        <v>1455</v>
      </c>
      <c r="Y90" s="273">
        <v>1512</v>
      </c>
      <c r="Z90" s="273">
        <v>1519.5979899497486</v>
      </c>
      <c r="AA90" s="273">
        <v>1519.5979899497486</v>
      </c>
      <c r="AB90" s="273">
        <v>1489.2060301507536</v>
      </c>
    </row>
    <row r="91" spans="1:30" x14ac:dyDescent="0.2">
      <c r="A91" s="316" t="s">
        <v>1476</v>
      </c>
      <c r="B91" s="316" t="s">
        <v>1595</v>
      </c>
      <c r="C91" s="273">
        <v>16852.525642181932</v>
      </c>
      <c r="D91" s="273">
        <v>17483.191883481359</v>
      </c>
      <c r="E91" s="273">
        <v>17999</v>
      </c>
      <c r="F91" s="273">
        <v>19021.282979020543</v>
      </c>
      <c r="G91" s="273">
        <v>18603.961415886559</v>
      </c>
      <c r="H91" s="273">
        <v>18614.000804253246</v>
      </c>
      <c r="I91" s="273">
        <v>20114.904715819506</v>
      </c>
      <c r="J91" s="273">
        <v>19126.155443048232</v>
      </c>
      <c r="K91" s="273">
        <v>17347.403015523239</v>
      </c>
      <c r="L91" s="273">
        <v>18135.648509775452</v>
      </c>
      <c r="M91" s="273">
        <v>19173.76962174298</v>
      </c>
      <c r="N91" s="273">
        <v>18310.907985283789</v>
      </c>
      <c r="O91" s="273">
        <v>18761.751741606993</v>
      </c>
      <c r="P91" s="273">
        <v>19492.957698667291</v>
      </c>
      <c r="Q91" s="273">
        <v>18684.917416496359</v>
      </c>
      <c r="R91" s="273">
        <v>18523.650146639757</v>
      </c>
      <c r="S91" s="273">
        <v>16764.803799947338</v>
      </c>
      <c r="T91" s="273">
        <v>18121.556524269923</v>
      </c>
      <c r="U91" s="273">
        <v>18773.963260637116</v>
      </c>
      <c r="V91" s="273">
        <v>18340.304665287156</v>
      </c>
      <c r="W91" s="273">
        <v>18351.817725340694</v>
      </c>
      <c r="X91" s="273">
        <v>18090.85503079382</v>
      </c>
      <c r="Y91" s="273">
        <v>15926.399740728542</v>
      </c>
      <c r="Z91" s="273">
        <v>18793.151694059681</v>
      </c>
      <c r="AA91" s="273">
        <v>19522.312164117127</v>
      </c>
      <c r="AB91" s="273">
        <v>17691.735615604477</v>
      </c>
    </row>
    <row r="92" spans="1:30" x14ac:dyDescent="0.2">
      <c r="A92" s="316" t="s">
        <v>1477</v>
      </c>
      <c r="B92" s="316" t="s">
        <v>1601</v>
      </c>
      <c r="C92" s="273">
        <v>2598.6601871196294</v>
      </c>
      <c r="D92" s="273">
        <v>2615.902988463984</v>
      </c>
      <c r="E92" s="273">
        <v>2594.5920610409662</v>
      </c>
      <c r="F92" s="273">
        <v>2610.570805704423</v>
      </c>
      <c r="G92" s="273">
        <v>2684.2955763466252</v>
      </c>
      <c r="H92" s="273">
        <v>2643.3650649468614</v>
      </c>
      <c r="I92" s="273">
        <v>2534.0953765101281</v>
      </c>
      <c r="J92" s="273">
        <v>2620.4251067308564</v>
      </c>
      <c r="K92" s="273">
        <v>2694.6572804069392</v>
      </c>
      <c r="L92" s="273">
        <v>2635.4602597874464</v>
      </c>
      <c r="M92" s="273">
        <v>2661.2576982468886</v>
      </c>
      <c r="N92" s="273">
        <v>2581.4707966209462</v>
      </c>
      <c r="O92" s="273">
        <v>2697.238804614406</v>
      </c>
      <c r="P92" s="273">
        <v>2683.8326823508032</v>
      </c>
      <c r="Q92" s="273">
        <v>2697.2566082296303</v>
      </c>
      <c r="R92" s="273">
        <v>2674.7083295485509</v>
      </c>
      <c r="S92" s="273">
        <v>2673.4264692524293</v>
      </c>
      <c r="T92" s="273">
        <v>2680.0316105004995</v>
      </c>
      <c r="U92" s="273">
        <v>2698.8589335997817</v>
      </c>
      <c r="V92" s="273">
        <v>2711.2502497956216</v>
      </c>
      <c r="W92" s="273">
        <v>2713.315469161595</v>
      </c>
      <c r="X92" s="273">
        <v>2715.5587246798073</v>
      </c>
      <c r="Y92" s="273">
        <v>2700.2832228176944</v>
      </c>
      <c r="Z92" s="273">
        <v>2695.7076937051502</v>
      </c>
      <c r="AA92" s="273">
        <v>2686.8681987464797</v>
      </c>
      <c r="AB92" s="273">
        <v>2681.7318557543827</v>
      </c>
    </row>
    <row r="93" spans="1:30" x14ac:dyDescent="0.2">
      <c r="A93" s="317" t="s">
        <v>1478</v>
      </c>
      <c r="B93" s="317" t="s">
        <v>1601</v>
      </c>
      <c r="C93" s="275">
        <v>77052.9262421655</v>
      </c>
      <c r="D93" s="275">
        <v>77564.192896720866</v>
      </c>
      <c r="E93" s="275">
        <v>76932.302152784076</v>
      </c>
      <c r="F93" s="275">
        <v>77406.088236897063</v>
      </c>
      <c r="G93" s="275">
        <v>79592.10291579616</v>
      </c>
      <c r="H93" s="275">
        <v>78378.471486965209</v>
      </c>
      <c r="I93" s="275">
        <v>75138.513725133977</v>
      </c>
      <c r="J93" s="275">
        <v>77698.278317740027</v>
      </c>
      <c r="K93" s="275">
        <v>79899.338014351873</v>
      </c>
      <c r="L93" s="275">
        <v>78144.085947860833</v>
      </c>
      <c r="M93" s="275">
        <v>78909.006322100089</v>
      </c>
      <c r="N93" s="275">
        <v>76543.243273685162</v>
      </c>
      <c r="O93" s="275">
        <v>79975.882841311643</v>
      </c>
      <c r="P93" s="275">
        <v>79578.377636479228</v>
      </c>
      <c r="Q93" s="275">
        <v>79976.41073666999</v>
      </c>
      <c r="R93" s="275">
        <v>79307.83126532835</v>
      </c>
      <c r="S93" s="275">
        <v>79269.822799527639</v>
      </c>
      <c r="T93" s="275">
        <v>79465.671977472972</v>
      </c>
      <c r="U93" s="275">
        <v>80023.921318920868</v>
      </c>
      <c r="V93" s="275">
        <v>80391.336488327725</v>
      </c>
      <c r="W93" s="275">
        <v>80452.572349895534</v>
      </c>
      <c r="X93" s="275">
        <v>80519.087165046774</v>
      </c>
      <c r="Y93" s="275">
        <v>80066.152947588329</v>
      </c>
      <c r="Z93" s="275">
        <v>79930.48384049414</v>
      </c>
      <c r="AA93" s="275">
        <v>79668.383795076748</v>
      </c>
      <c r="AB93" s="275">
        <v>79516.085984194739</v>
      </c>
    </row>
    <row r="94" spans="1:30" x14ac:dyDescent="0.2">
      <c r="A94" s="318" t="s">
        <v>1407</v>
      </c>
      <c r="B94" s="319"/>
      <c r="C94" s="320"/>
      <c r="D94" s="320"/>
      <c r="E94" s="320"/>
      <c r="F94" s="320"/>
      <c r="G94" s="320"/>
      <c r="H94" s="320"/>
      <c r="I94" s="320"/>
      <c r="J94" s="320"/>
      <c r="K94" s="320"/>
      <c r="L94" s="320"/>
      <c r="M94" s="320"/>
      <c r="N94" s="320"/>
      <c r="O94" s="320"/>
      <c r="P94" s="320"/>
      <c r="Q94" s="320"/>
      <c r="R94" s="320"/>
      <c r="S94" s="320"/>
      <c r="T94" s="320"/>
      <c r="U94" s="320"/>
      <c r="V94" s="320"/>
      <c r="W94" s="320"/>
      <c r="X94" s="320"/>
      <c r="Y94" s="320"/>
      <c r="Z94" s="320"/>
      <c r="AA94" s="320"/>
      <c r="AB94" s="321"/>
    </row>
    <row r="95" spans="1:30" x14ac:dyDescent="0.2">
      <c r="A95" s="314" t="s">
        <v>1479</v>
      </c>
      <c r="B95" s="303"/>
      <c r="C95" s="307"/>
      <c r="D95" s="307"/>
      <c r="E95" s="307"/>
      <c r="F95" s="307"/>
      <c r="G95" s="307"/>
      <c r="H95" s="307"/>
      <c r="I95" s="307"/>
      <c r="J95" s="307"/>
      <c r="K95" s="307"/>
      <c r="L95" s="307"/>
      <c r="M95" s="307"/>
      <c r="N95" s="307"/>
      <c r="O95" s="307"/>
      <c r="P95" s="307"/>
      <c r="Q95" s="307"/>
      <c r="R95" s="307"/>
      <c r="S95" s="307"/>
      <c r="T95" s="307"/>
      <c r="U95" s="307"/>
      <c r="V95" s="307"/>
      <c r="W95" s="307"/>
      <c r="X95" s="307"/>
      <c r="Y95" s="307"/>
      <c r="Z95" s="307"/>
      <c r="AA95" s="307"/>
      <c r="AB95" s="308"/>
    </row>
    <row r="96" spans="1:30" ht="24" x14ac:dyDescent="0.2">
      <c r="A96" s="315" t="s">
        <v>1480</v>
      </c>
      <c r="B96" s="315" t="s">
        <v>1614</v>
      </c>
      <c r="C96" s="271">
        <v>1104607.4030871643</v>
      </c>
      <c r="D96" s="271">
        <v>1111936.766929863</v>
      </c>
      <c r="E96" s="271">
        <v>1102878.1726916488</v>
      </c>
      <c r="F96" s="271">
        <v>1094549.2771352462</v>
      </c>
      <c r="G96" s="271">
        <v>1086220.3815788438</v>
      </c>
      <c r="H96" s="271">
        <v>1077891.4860224412</v>
      </c>
      <c r="I96" s="271">
        <v>1069562.5904660386</v>
      </c>
      <c r="J96" s="271">
        <v>1061233.6949096359</v>
      </c>
      <c r="K96" s="271">
        <v>1052904.7993532333</v>
      </c>
      <c r="L96" s="271">
        <v>1044575.9037968307</v>
      </c>
      <c r="M96" s="271">
        <v>1036247.0082404281</v>
      </c>
      <c r="N96" s="271">
        <v>1027918.1126840254</v>
      </c>
      <c r="O96" s="271">
        <v>1019589.2171276229</v>
      </c>
      <c r="P96" s="271">
        <v>1011260.3215712203</v>
      </c>
      <c r="Q96" s="271">
        <v>1002931.4260148177</v>
      </c>
      <c r="R96" s="271">
        <v>994602.53045841504</v>
      </c>
      <c r="S96" s="271">
        <v>986273.63490201253</v>
      </c>
      <c r="T96" s="271">
        <v>977944.73934560991</v>
      </c>
      <c r="U96" s="271">
        <v>969615.84378920717</v>
      </c>
      <c r="V96" s="271">
        <v>961286.94823280454</v>
      </c>
      <c r="W96" s="271">
        <v>952958.05267640215</v>
      </c>
      <c r="X96" s="271">
        <v>944629.15711999999</v>
      </c>
      <c r="Y96" s="271">
        <v>1011610.9320000001</v>
      </c>
      <c r="Z96" s="271">
        <v>1092718.2886399999</v>
      </c>
      <c r="AA96" s="271">
        <v>1171250.40384</v>
      </c>
      <c r="AB96" s="271">
        <v>1169006.6291199999</v>
      </c>
    </row>
    <row r="97" spans="1:28" x14ac:dyDescent="0.2">
      <c r="A97" s="317" t="s">
        <v>1481</v>
      </c>
      <c r="B97" s="317" t="s">
        <v>1614</v>
      </c>
      <c r="C97" s="275">
        <v>1872607.8326444861</v>
      </c>
      <c r="D97" s="275">
        <v>1942685.7882172544</v>
      </c>
      <c r="E97" s="275">
        <v>2000001.0144120001</v>
      </c>
      <c r="F97" s="275">
        <v>2113594.3804355129</v>
      </c>
      <c r="G97" s="275">
        <v>2067222.718142943</v>
      </c>
      <c r="H97" s="275">
        <v>2068338.2682800309</v>
      </c>
      <c r="I97" s="275">
        <v>2235114.7195088468</v>
      </c>
      <c r="J97" s="275">
        <v>2125247.529745989</v>
      </c>
      <c r="K97" s="275">
        <v>1927597.2903194772</v>
      </c>
      <c r="L97" s="275">
        <v>2015185.0334224338</v>
      </c>
      <c r="M97" s="275">
        <v>2130538.2906599231</v>
      </c>
      <c r="N97" s="275">
        <v>2034659.4002651465</v>
      </c>
      <c r="O97" s="275">
        <v>2084755.9595177562</v>
      </c>
      <c r="P97" s="275">
        <v>2166005.6209358736</v>
      </c>
      <c r="Q97" s="275">
        <v>2076218.3336406006</v>
      </c>
      <c r="R97" s="275">
        <v>2058298.7434797771</v>
      </c>
      <c r="S97" s="275">
        <v>1862860.4148182024</v>
      </c>
      <c r="T97" s="275">
        <v>2013619.1694685395</v>
      </c>
      <c r="U97" s="275">
        <v>2086112.871037716</v>
      </c>
      <c r="V97" s="275">
        <v>2037925.8811711455</v>
      </c>
      <c r="W97" s="275">
        <v>2039205.1817870722</v>
      </c>
      <c r="X97" s="275">
        <v>2010207.701159402</v>
      </c>
      <c r="Y97" s="275">
        <v>1769699.1853651926</v>
      </c>
      <c r="Z97" s="275">
        <v>2088245.0387309273</v>
      </c>
      <c r="AA97" s="275">
        <v>2169267.4110729476</v>
      </c>
      <c r="AB97" s="275">
        <v>1965858.6131406114</v>
      </c>
    </row>
    <row r="98" spans="1:28" x14ac:dyDescent="0.2">
      <c r="A98" s="314" t="s">
        <v>1460</v>
      </c>
      <c r="B98" s="303"/>
      <c r="C98" s="307"/>
      <c r="D98" s="307"/>
      <c r="E98" s="307"/>
      <c r="F98" s="307"/>
      <c r="G98" s="307"/>
      <c r="H98" s="307"/>
      <c r="I98" s="307"/>
      <c r="J98" s="307"/>
      <c r="K98" s="307"/>
      <c r="L98" s="307"/>
      <c r="M98" s="307"/>
      <c r="N98" s="307"/>
      <c r="O98" s="307"/>
      <c r="P98" s="307"/>
      <c r="Q98" s="307"/>
      <c r="R98" s="307"/>
      <c r="S98" s="307"/>
      <c r="T98" s="307"/>
      <c r="U98" s="307"/>
      <c r="V98" s="307"/>
      <c r="W98" s="307"/>
      <c r="X98" s="307"/>
      <c r="Y98" s="307"/>
      <c r="Z98" s="307"/>
      <c r="AA98" s="307"/>
      <c r="AB98" s="308"/>
    </row>
    <row r="99" spans="1:28" x14ac:dyDescent="0.2">
      <c r="A99" s="315" t="s">
        <v>1482</v>
      </c>
      <c r="B99" s="315" t="s">
        <v>1616</v>
      </c>
      <c r="C99" s="271">
        <v>38274.642310735275</v>
      </c>
      <c r="D99" s="271">
        <v>39050.195867873343</v>
      </c>
      <c r="E99" s="271">
        <v>40380</v>
      </c>
      <c r="F99" s="271">
        <v>41501.105285149046</v>
      </c>
      <c r="G99" s="271">
        <v>42413.889008963117</v>
      </c>
      <c r="H99" s="271">
        <v>44329.843316972692</v>
      </c>
      <c r="I99" s="271">
        <v>45132.705168243097</v>
      </c>
      <c r="J99" s="271">
        <v>45388.744380377764</v>
      </c>
      <c r="K99" s="271">
        <v>44407.829656656024</v>
      </c>
      <c r="L99" s="271">
        <v>44725.61795229913</v>
      </c>
      <c r="M99" s="271">
        <v>46578.050533146052</v>
      </c>
      <c r="N99" s="271">
        <v>44393.193369186862</v>
      </c>
      <c r="O99" s="271">
        <v>45927.075098224122</v>
      </c>
      <c r="P99" s="271">
        <v>44468.806202896267</v>
      </c>
      <c r="Q99" s="271">
        <v>44693.327092219835</v>
      </c>
      <c r="R99" s="271">
        <v>43937.999239478602</v>
      </c>
      <c r="S99" s="271">
        <v>43287.321241386046</v>
      </c>
      <c r="T99" s="271">
        <v>46120.674534615675</v>
      </c>
      <c r="U99" s="271">
        <v>46466.020651932529</v>
      </c>
      <c r="V99" s="271">
        <v>45733.407790341298</v>
      </c>
      <c r="W99" s="271">
        <v>48082.959120294661</v>
      </c>
      <c r="X99" s="271">
        <v>48861.48504950606</v>
      </c>
      <c r="Y99" s="271">
        <v>50979.474821027325</v>
      </c>
      <c r="Z99" s="271">
        <v>52211.142765446384</v>
      </c>
      <c r="AA99" s="271">
        <v>53085.487270560719</v>
      </c>
      <c r="AB99" s="271">
        <v>54508.792366785659</v>
      </c>
    </row>
    <row r="100" spans="1:28" x14ac:dyDescent="0.2">
      <c r="A100" s="316" t="s">
        <v>1483</v>
      </c>
      <c r="B100" s="316" t="s">
        <v>1616</v>
      </c>
      <c r="C100" s="273">
        <v>9132.6443453178399</v>
      </c>
      <c r="D100" s="273">
        <v>9317.6978005685905</v>
      </c>
      <c r="E100" s="273">
        <v>9635</v>
      </c>
      <c r="F100" s="273">
        <v>9902.5049386431674</v>
      </c>
      <c r="G100" s="273">
        <v>10120.302639954423</v>
      </c>
      <c r="H100" s="273">
        <v>10577.465090614956</v>
      </c>
      <c r="I100" s="273">
        <v>10769.034529371527</v>
      </c>
      <c r="J100" s="273">
        <v>10830.127590513614</v>
      </c>
      <c r="K100" s="273">
        <v>10596.073272458663</v>
      </c>
      <c r="L100" s="273">
        <v>10671.900172620162</v>
      </c>
      <c r="M100" s="273">
        <v>11113.905816910901</v>
      </c>
      <c r="N100" s="273">
        <v>10592.580933930545</v>
      </c>
      <c r="O100" s="273">
        <v>10958.577725888792</v>
      </c>
      <c r="P100" s="273">
        <v>10610.622777734163</v>
      </c>
      <c r="Q100" s="273">
        <v>10664.195307913276</v>
      </c>
      <c r="R100" s="273">
        <v>10483.96787202517</v>
      </c>
      <c r="S100" s="273">
        <v>10328.710751876042</v>
      </c>
      <c r="T100" s="273">
        <v>11004.772143165479</v>
      </c>
      <c r="U100" s="273">
        <v>11087.174566155769</v>
      </c>
      <c r="V100" s="273">
        <v>10912.367113916256</v>
      </c>
      <c r="W100" s="273">
        <v>11472.989379000473</v>
      </c>
      <c r="X100" s="273">
        <v>11658.752066666442</v>
      </c>
      <c r="Y100" s="273">
        <v>12164.121840034628</v>
      </c>
      <c r="Z100" s="273">
        <v>12458.007938213867</v>
      </c>
      <c r="AA100" s="273">
        <v>12666.633725900261</v>
      </c>
      <c r="AB100" s="273">
        <v>13006.246024120352</v>
      </c>
    </row>
    <row r="101" spans="1:28" x14ac:dyDescent="0.2">
      <c r="A101" s="316" t="s">
        <v>1484</v>
      </c>
      <c r="B101" s="316" t="s">
        <v>1616</v>
      </c>
      <c r="C101" s="273">
        <v>4608.4855386865638</v>
      </c>
      <c r="D101" s="273">
        <v>4780.9472998775072</v>
      </c>
      <c r="E101" s="273">
        <v>4922</v>
      </c>
      <c r="F101" s="273">
        <v>5201.5531319928396</v>
      </c>
      <c r="G101" s="273">
        <v>5087.4325289734788</v>
      </c>
      <c r="H101" s="273">
        <v>5090.1778964683863</v>
      </c>
      <c r="I101" s="273">
        <v>5500.6145347665761</v>
      </c>
      <c r="J101" s="273">
        <v>5230.2315179000716</v>
      </c>
      <c r="K101" s="273">
        <v>4743.8145253850435</v>
      </c>
      <c r="L101" s="273">
        <v>4959.3678518314782</v>
      </c>
      <c r="M101" s="273">
        <v>5243.2520739051588</v>
      </c>
      <c r="N101" s="273">
        <v>5007.2942443228412</v>
      </c>
      <c r="O101" s="273">
        <v>5130.5818141113186</v>
      </c>
      <c r="P101" s="273">
        <v>5330.5371294427696</v>
      </c>
      <c r="Q101" s="273">
        <v>5109.5707274845872</v>
      </c>
      <c r="R101" s="273">
        <v>5065.4706384666306</v>
      </c>
      <c r="S101" s="273">
        <v>4584.4971555831316</v>
      </c>
      <c r="T101" s="273">
        <v>4955.5142625955086</v>
      </c>
      <c r="U101" s="273">
        <v>5133.9211716681966</v>
      </c>
      <c r="V101" s="273">
        <v>5015.3330497551742</v>
      </c>
      <c r="W101" s="273">
        <v>5018.4814069741042</v>
      </c>
      <c r="X101" s="273">
        <v>4947.1186433450293</v>
      </c>
      <c r="Y101" s="273">
        <v>4355.2274861862261</v>
      </c>
      <c r="Z101" s="273">
        <v>5139.1684336997469</v>
      </c>
      <c r="AA101" s="273">
        <v>5338.564390898634</v>
      </c>
      <c r="AB101" s="273">
        <v>4837.9755930887959</v>
      </c>
    </row>
    <row r="102" spans="1:28" x14ac:dyDescent="0.2">
      <c r="A102" s="316" t="s">
        <v>1485</v>
      </c>
      <c r="B102" s="316" t="s">
        <v>1616</v>
      </c>
      <c r="C102" s="273">
        <v>1618.8686502212656</v>
      </c>
      <c r="D102" s="273">
        <v>1679.4510120861864</v>
      </c>
      <c r="E102" s="273">
        <v>1729</v>
      </c>
      <c r="F102" s="273">
        <v>1827.2014151189801</v>
      </c>
      <c r="G102" s="273">
        <v>1787.1131334000702</v>
      </c>
      <c r="H102" s="273">
        <v>1788.077526004437</v>
      </c>
      <c r="I102" s="273">
        <v>1932.255694963716</v>
      </c>
      <c r="J102" s="273">
        <v>1837.2755575882211</v>
      </c>
      <c r="K102" s="273">
        <v>1666.407012269553</v>
      </c>
      <c r="L102" s="273">
        <v>1742.1265777766409</v>
      </c>
      <c r="M102" s="273">
        <v>1841.8494180784276</v>
      </c>
      <c r="N102" s="273">
        <v>1758.9621593730581</v>
      </c>
      <c r="O102" s="273">
        <v>1802.2706128806317</v>
      </c>
      <c r="P102" s="273">
        <v>1872.5109095502944</v>
      </c>
      <c r="Q102" s="273">
        <v>1794.8898390534034</v>
      </c>
      <c r="R102" s="273">
        <v>1779.3983612167419</v>
      </c>
      <c r="S102" s="273">
        <v>1610.442011784485</v>
      </c>
      <c r="T102" s="273">
        <v>1740.7728890750984</v>
      </c>
      <c r="U102" s="273">
        <v>1803.4436622946591</v>
      </c>
      <c r="V102" s="273">
        <v>1761.7860306840098</v>
      </c>
      <c r="W102" s="273">
        <v>1762.8919855055315</v>
      </c>
      <c r="X102" s="273">
        <v>1737.8236762177073</v>
      </c>
      <c r="Y102" s="273">
        <v>1529.9041697716345</v>
      </c>
      <c r="Z102" s="273">
        <v>1805.2869203305288</v>
      </c>
      <c r="AA102" s="273">
        <v>1875.3307256935673</v>
      </c>
      <c r="AB102" s="273">
        <v>1699.483909071623</v>
      </c>
    </row>
    <row r="103" spans="1:28" x14ac:dyDescent="0.2">
      <c r="A103" s="316" t="s">
        <v>1486</v>
      </c>
      <c r="B103" s="316" t="s">
        <v>1616</v>
      </c>
      <c r="C103" s="273">
        <v>1872.9761806765439</v>
      </c>
      <c r="D103" s="273">
        <v>1910.9280269032333</v>
      </c>
      <c r="E103" s="273">
        <v>1976.0022200000001</v>
      </c>
      <c r="F103" s="273">
        <v>2030.8636992547858</v>
      </c>
      <c r="G103" s="273">
        <v>2075.5309272051686</v>
      </c>
      <c r="H103" s="273">
        <v>2169.2884796084745</v>
      </c>
      <c r="I103" s="273">
        <v>2208.5766618884063</v>
      </c>
      <c r="J103" s="273">
        <v>2221.1059846121589</v>
      </c>
      <c r="K103" s="273">
        <v>2173.1047545055512</v>
      </c>
      <c r="L103" s="273">
        <v>2188.6557792128515</v>
      </c>
      <c r="M103" s="273">
        <v>2279.3048850116093</v>
      </c>
      <c r="N103" s="273">
        <v>2172.3885252699979</v>
      </c>
      <c r="O103" s="273">
        <v>2247.4492905447646</v>
      </c>
      <c r="P103" s="273">
        <v>2176.088652245488</v>
      </c>
      <c r="Q103" s="273">
        <v>2187.0756204411227</v>
      </c>
      <c r="R103" s="273">
        <v>2150.1135225252115</v>
      </c>
      <c r="S103" s="273">
        <v>2118.272483180584</v>
      </c>
      <c r="T103" s="273">
        <v>2256.9231121421012</v>
      </c>
      <c r="U103" s="273">
        <v>2273.822683575645</v>
      </c>
      <c r="V103" s="273">
        <v>2237.972147644371</v>
      </c>
      <c r="W103" s="273">
        <v>2352.9478446228704</v>
      </c>
      <c r="X103" s="273">
        <v>2391.0451443863494</v>
      </c>
      <c r="Y103" s="273">
        <v>2494.6893368198143</v>
      </c>
      <c r="Z103" s="273">
        <v>2554.9612187533185</v>
      </c>
      <c r="AA103" s="273">
        <v>2597.7474169492257</v>
      </c>
      <c r="AB103" s="273">
        <v>2667.3970957475858</v>
      </c>
    </row>
    <row r="104" spans="1:28" x14ac:dyDescent="0.2">
      <c r="A104" s="317" t="s">
        <v>1487</v>
      </c>
      <c r="B104" s="317" t="s">
        <v>1616</v>
      </c>
      <c r="C104" s="275">
        <v>22.085170030711538</v>
      </c>
      <c r="D104" s="275">
        <v>22.532678645900173</v>
      </c>
      <c r="E104" s="275">
        <v>23.3</v>
      </c>
      <c r="F104" s="275">
        <v>23.946898294798732</v>
      </c>
      <c r="G104" s="275">
        <v>24.473591231026266</v>
      </c>
      <c r="H104" s="275">
        <v>25.579131978342343</v>
      </c>
      <c r="I104" s="275">
        <v>26.04239797969451</v>
      </c>
      <c r="J104" s="275">
        <v>26.190137297246206</v>
      </c>
      <c r="K104" s="275">
        <v>25.624131525509792</v>
      </c>
      <c r="L104" s="275">
        <v>25.807501195853636</v>
      </c>
      <c r="M104" s="275">
        <v>26.876388742503789</v>
      </c>
      <c r="N104" s="275">
        <v>25.615686119416885</v>
      </c>
      <c r="O104" s="275">
        <v>26.500763986840568</v>
      </c>
      <c r="P104" s="275">
        <v>25.65931611014074</v>
      </c>
      <c r="Q104" s="275">
        <v>25.788868777828682</v>
      </c>
      <c r="R104" s="275">
        <v>25.35303076473134</v>
      </c>
      <c r="S104" s="275">
        <v>24.977577635569464</v>
      </c>
      <c r="T104" s="275">
        <v>26.612474409523163</v>
      </c>
      <c r="U104" s="275">
        <v>26.811745447994753</v>
      </c>
      <c r="V104" s="275">
        <v>26.389014401063701</v>
      </c>
      <c r="W104" s="275">
        <v>27.744748576098704</v>
      </c>
      <c r="X104" s="275">
        <v>28.193972304445055</v>
      </c>
      <c r="Y104" s="275">
        <v>29.416091216689864</v>
      </c>
      <c r="Z104" s="275">
        <v>30.126786192048066</v>
      </c>
      <c r="AA104" s="275">
        <v>30.631298994652422</v>
      </c>
      <c r="AB104" s="275">
        <v>31.452572118526643</v>
      </c>
    </row>
    <row r="105" spans="1:28" ht="24" x14ac:dyDescent="0.2">
      <c r="A105" s="314" t="s">
        <v>1640</v>
      </c>
      <c r="B105" s="303"/>
      <c r="C105" s="307"/>
      <c r="D105" s="307"/>
      <c r="E105" s="307"/>
      <c r="F105" s="307"/>
      <c r="G105" s="307"/>
      <c r="H105" s="307"/>
      <c r="I105" s="307"/>
      <c r="J105" s="307"/>
      <c r="K105" s="307"/>
      <c r="L105" s="307"/>
      <c r="M105" s="307"/>
      <c r="N105" s="307"/>
      <c r="O105" s="307"/>
      <c r="P105" s="307"/>
      <c r="Q105" s="307"/>
      <c r="R105" s="307"/>
      <c r="S105" s="307"/>
      <c r="T105" s="307"/>
      <c r="U105" s="307"/>
      <c r="V105" s="307"/>
      <c r="W105" s="307"/>
      <c r="X105" s="307"/>
      <c r="Y105" s="307"/>
      <c r="Z105" s="307"/>
      <c r="AA105" s="307"/>
      <c r="AB105" s="308"/>
    </row>
    <row r="106" spans="1:28" ht="24" x14ac:dyDescent="0.2">
      <c r="A106" s="315" t="s">
        <v>1489</v>
      </c>
      <c r="B106" s="315" t="s">
        <v>1641</v>
      </c>
      <c r="C106" s="271">
        <v>68209.656098505104</v>
      </c>
      <c r="D106" s="271">
        <v>68662.245304166849</v>
      </c>
      <c r="E106" s="271">
        <v>68102.875888392853</v>
      </c>
      <c r="F106" s="271">
        <v>66591.608736372174</v>
      </c>
      <c r="G106" s="271">
        <v>65080.341584351496</v>
      </c>
      <c r="H106" s="271">
        <v>63569.074432330817</v>
      </c>
      <c r="I106" s="271">
        <v>62057.807280310139</v>
      </c>
      <c r="J106" s="271">
        <v>60546.54012828946</v>
      </c>
      <c r="K106" s="271">
        <v>59035.272976268781</v>
      </c>
      <c r="L106" s="271">
        <v>57524.005824248103</v>
      </c>
      <c r="M106" s="271">
        <v>56012.738672227424</v>
      </c>
      <c r="N106" s="271">
        <v>54501.471520206745</v>
      </c>
      <c r="O106" s="271">
        <v>52990.204368186067</v>
      </c>
      <c r="P106" s="271">
        <v>51478.937216165388</v>
      </c>
      <c r="Q106" s="271">
        <v>49967.67006414471</v>
      </c>
      <c r="R106" s="271">
        <v>48456.402912124031</v>
      </c>
      <c r="S106" s="271">
        <v>46945.135760103352</v>
      </c>
      <c r="T106" s="271">
        <v>45433.868608082674</v>
      </c>
      <c r="U106" s="271">
        <v>43922.601456061995</v>
      </c>
      <c r="V106" s="271">
        <v>42411.334304041316</v>
      </c>
      <c r="W106" s="271">
        <v>40900.067152020638</v>
      </c>
      <c r="X106" s="271">
        <v>39388.800000000003</v>
      </c>
      <c r="Y106" s="271">
        <v>38489.947598253275</v>
      </c>
      <c r="Z106" s="271">
        <v>41951.360000000001</v>
      </c>
      <c r="AA106" s="271">
        <v>47139.840000000004</v>
      </c>
      <c r="AB106" s="271">
        <v>47069.440000000002</v>
      </c>
    </row>
    <row r="107" spans="1:28" ht="24" x14ac:dyDescent="0.2">
      <c r="A107" s="316" t="s">
        <v>1642</v>
      </c>
      <c r="B107" s="316" t="s">
        <v>1641</v>
      </c>
      <c r="C107" s="273" t="s">
        <v>1455</v>
      </c>
      <c r="D107" s="273" t="s">
        <v>1455</v>
      </c>
      <c r="E107" s="273" t="s">
        <v>1455</v>
      </c>
      <c r="F107" s="273" t="s">
        <v>1455</v>
      </c>
      <c r="G107" s="273" t="s">
        <v>1455</v>
      </c>
      <c r="H107" s="273" t="s">
        <v>1455</v>
      </c>
      <c r="I107" s="273" t="s">
        <v>1455</v>
      </c>
      <c r="J107" s="273" t="s">
        <v>1455</v>
      </c>
      <c r="K107" s="273" t="s">
        <v>1455</v>
      </c>
      <c r="L107" s="273" t="s">
        <v>1455</v>
      </c>
      <c r="M107" s="273" t="s">
        <v>1455</v>
      </c>
      <c r="N107" s="273" t="s">
        <v>1455</v>
      </c>
      <c r="O107" s="273" t="s">
        <v>1455</v>
      </c>
      <c r="P107" s="273" t="s">
        <v>1455</v>
      </c>
      <c r="Q107" s="273" t="s">
        <v>1455</v>
      </c>
      <c r="R107" s="273" t="s">
        <v>1455</v>
      </c>
      <c r="S107" s="273" t="s">
        <v>1455</v>
      </c>
      <c r="T107" s="273" t="s">
        <v>1455</v>
      </c>
      <c r="U107" s="273" t="s">
        <v>1455</v>
      </c>
      <c r="V107" s="273" t="s">
        <v>1455</v>
      </c>
      <c r="W107" s="273" t="s">
        <v>1455</v>
      </c>
      <c r="X107" s="273">
        <v>7754.56</v>
      </c>
      <c r="Y107" s="273">
        <v>3860.0829694323147</v>
      </c>
      <c r="Z107" s="273">
        <v>4076.1600000000003</v>
      </c>
      <c r="AA107" s="273">
        <v>4128.96</v>
      </c>
      <c r="AB107" s="273">
        <v>5220.16</v>
      </c>
    </row>
    <row r="108" spans="1:28" ht="36" x14ac:dyDescent="0.2">
      <c r="A108" s="316" t="s">
        <v>1643</v>
      </c>
      <c r="B108" s="316" t="s">
        <v>1641</v>
      </c>
      <c r="C108" s="273" t="s">
        <v>1455</v>
      </c>
      <c r="D108" s="273" t="s">
        <v>1455</v>
      </c>
      <c r="E108" s="273" t="s">
        <v>1455</v>
      </c>
      <c r="F108" s="273" t="s">
        <v>1455</v>
      </c>
      <c r="G108" s="273" t="s">
        <v>1455</v>
      </c>
      <c r="H108" s="273" t="s">
        <v>1455</v>
      </c>
      <c r="I108" s="273" t="s">
        <v>1455</v>
      </c>
      <c r="J108" s="273" t="s">
        <v>1455</v>
      </c>
      <c r="K108" s="273" t="s">
        <v>1455</v>
      </c>
      <c r="L108" s="273" t="s">
        <v>1455</v>
      </c>
      <c r="M108" s="273" t="s">
        <v>1455</v>
      </c>
      <c r="N108" s="273" t="s">
        <v>1455</v>
      </c>
      <c r="O108" s="273" t="s">
        <v>1455</v>
      </c>
      <c r="P108" s="273" t="s">
        <v>1455</v>
      </c>
      <c r="Q108" s="273" t="s">
        <v>1455</v>
      </c>
      <c r="R108" s="273" t="s">
        <v>1455</v>
      </c>
      <c r="S108" s="273" t="s">
        <v>1455</v>
      </c>
      <c r="T108" s="273" t="s">
        <v>1455</v>
      </c>
      <c r="U108" s="273" t="s">
        <v>1455</v>
      </c>
      <c r="V108" s="273" t="s">
        <v>1455</v>
      </c>
      <c r="W108" s="273" t="s">
        <v>1455</v>
      </c>
      <c r="X108" s="273">
        <v>29367.360000000001</v>
      </c>
      <c r="Y108" s="273">
        <v>31580.606986899562</v>
      </c>
      <c r="Z108" s="273">
        <v>34858.559999999998</v>
      </c>
      <c r="AA108" s="273">
        <v>39216.320000000007</v>
      </c>
      <c r="AB108" s="273">
        <v>38216.640000000007</v>
      </c>
    </row>
    <row r="109" spans="1:28" ht="24" x14ac:dyDescent="0.2">
      <c r="A109" s="316" t="s">
        <v>1644</v>
      </c>
      <c r="B109" s="316" t="s">
        <v>1641</v>
      </c>
      <c r="C109" s="273" t="s">
        <v>1455</v>
      </c>
      <c r="D109" s="273" t="s">
        <v>1455</v>
      </c>
      <c r="E109" s="273" t="s">
        <v>1455</v>
      </c>
      <c r="F109" s="273" t="s">
        <v>1455</v>
      </c>
      <c r="G109" s="273" t="s">
        <v>1455</v>
      </c>
      <c r="H109" s="273" t="s">
        <v>1455</v>
      </c>
      <c r="I109" s="273" t="s">
        <v>1455</v>
      </c>
      <c r="J109" s="273" t="s">
        <v>1455</v>
      </c>
      <c r="K109" s="273" t="s">
        <v>1455</v>
      </c>
      <c r="L109" s="273" t="s">
        <v>1455</v>
      </c>
      <c r="M109" s="273" t="s">
        <v>1455</v>
      </c>
      <c r="N109" s="273" t="s">
        <v>1455</v>
      </c>
      <c r="O109" s="273" t="s">
        <v>1455</v>
      </c>
      <c r="P109" s="273" t="s">
        <v>1455</v>
      </c>
      <c r="Q109" s="273" t="s">
        <v>1455</v>
      </c>
      <c r="R109" s="273" t="s">
        <v>1455</v>
      </c>
      <c r="S109" s="273" t="s">
        <v>1455</v>
      </c>
      <c r="T109" s="273" t="s">
        <v>1455</v>
      </c>
      <c r="U109" s="273" t="s">
        <v>1455</v>
      </c>
      <c r="V109" s="273" t="s">
        <v>1455</v>
      </c>
      <c r="W109" s="273" t="s">
        <v>1455</v>
      </c>
      <c r="X109" s="273">
        <v>2266.88</v>
      </c>
      <c r="Y109" s="273">
        <v>3049.257641921397</v>
      </c>
      <c r="Z109" s="273">
        <v>3016.6400000000003</v>
      </c>
      <c r="AA109" s="273">
        <v>3794.5600000000004</v>
      </c>
      <c r="AB109" s="273">
        <v>3632.6400000000003</v>
      </c>
    </row>
    <row r="110" spans="1:28" x14ac:dyDescent="0.2">
      <c r="A110" s="316" t="s">
        <v>1490</v>
      </c>
      <c r="B110" s="316" t="s">
        <v>1641</v>
      </c>
      <c r="C110" s="273">
        <v>14226</v>
      </c>
      <c r="D110" s="273">
        <v>14759</v>
      </c>
      <c r="E110" s="273">
        <v>15194</v>
      </c>
      <c r="F110" s="273">
        <v>15495.403523093448</v>
      </c>
      <c r="G110" s="273">
        <v>15796.807046186896</v>
      </c>
      <c r="H110" s="273">
        <v>16098.210569280343</v>
      </c>
      <c r="I110" s="273">
        <v>16399.614092373791</v>
      </c>
      <c r="J110" s="273">
        <v>16701.017615467241</v>
      </c>
      <c r="K110" s="273">
        <v>17002.42113856069</v>
      </c>
      <c r="L110" s="273">
        <v>17303.82466165414</v>
      </c>
      <c r="M110" s="273">
        <v>17605.22818474759</v>
      </c>
      <c r="N110" s="273">
        <v>17906.631707841039</v>
      </c>
      <c r="O110" s="273">
        <v>18208.035230934489</v>
      </c>
      <c r="P110" s="273">
        <v>18509.438754027939</v>
      </c>
      <c r="Q110" s="273">
        <v>18810.842277121388</v>
      </c>
      <c r="R110" s="273">
        <v>19112.245800214838</v>
      </c>
      <c r="S110" s="273">
        <v>19413.649323308287</v>
      </c>
      <c r="T110" s="273">
        <v>19715.052846401737</v>
      </c>
      <c r="U110" s="273">
        <v>20016.456369495187</v>
      </c>
      <c r="V110" s="273">
        <v>20317.859892588636</v>
      </c>
      <c r="W110" s="273">
        <v>20619.263415682086</v>
      </c>
      <c r="X110" s="273">
        <v>20920.666938775514</v>
      </c>
      <c r="Y110" s="273">
        <v>20149.668461538466</v>
      </c>
      <c r="Z110" s="273">
        <v>21332.078431372549</v>
      </c>
      <c r="AA110" s="273">
        <v>23964.074074074073</v>
      </c>
      <c r="AB110" s="273">
        <v>23093.172307692308</v>
      </c>
    </row>
    <row r="111" spans="1:28" ht="24" x14ac:dyDescent="0.2">
      <c r="A111" s="316" t="s">
        <v>1645</v>
      </c>
      <c r="B111" s="316" t="s">
        <v>1641</v>
      </c>
      <c r="C111" s="273" t="s">
        <v>1455</v>
      </c>
      <c r="D111" s="273" t="s">
        <v>1455</v>
      </c>
      <c r="E111" s="273" t="s">
        <v>1455</v>
      </c>
      <c r="F111" s="273" t="s">
        <v>1455</v>
      </c>
      <c r="G111" s="273" t="s">
        <v>1455</v>
      </c>
      <c r="H111" s="273" t="s">
        <v>1455</v>
      </c>
      <c r="I111" s="273" t="s">
        <v>1455</v>
      </c>
      <c r="J111" s="273" t="s">
        <v>1455</v>
      </c>
      <c r="K111" s="273" t="s">
        <v>1455</v>
      </c>
      <c r="L111" s="273" t="s">
        <v>1455</v>
      </c>
      <c r="M111" s="273" t="s">
        <v>1455</v>
      </c>
      <c r="N111" s="273" t="s">
        <v>1455</v>
      </c>
      <c r="O111" s="273" t="s">
        <v>1455</v>
      </c>
      <c r="P111" s="273" t="s">
        <v>1455</v>
      </c>
      <c r="Q111" s="273" t="s">
        <v>1455</v>
      </c>
      <c r="R111" s="273" t="s">
        <v>1455</v>
      </c>
      <c r="S111" s="273" t="s">
        <v>1455</v>
      </c>
      <c r="T111" s="273" t="s">
        <v>1455</v>
      </c>
      <c r="U111" s="273" t="s">
        <v>1455</v>
      </c>
      <c r="V111" s="273" t="s">
        <v>1455</v>
      </c>
      <c r="W111" s="273" t="s">
        <v>1455</v>
      </c>
      <c r="X111" s="273">
        <v>9057.9114285714295</v>
      </c>
      <c r="Y111" s="273">
        <v>7493.1153846153866</v>
      </c>
      <c r="Z111" s="273">
        <v>7601.6470588235297</v>
      </c>
      <c r="AA111" s="273">
        <v>8379.1851851851843</v>
      </c>
      <c r="AB111" s="273">
        <v>6870.2523076923071</v>
      </c>
    </row>
    <row r="112" spans="1:28" ht="24" x14ac:dyDescent="0.2">
      <c r="A112" s="316" t="s">
        <v>1646</v>
      </c>
      <c r="B112" s="316" t="s">
        <v>1641</v>
      </c>
      <c r="C112" s="273" t="s">
        <v>1455</v>
      </c>
      <c r="D112" s="273" t="s">
        <v>1455</v>
      </c>
      <c r="E112" s="273" t="s">
        <v>1455</v>
      </c>
      <c r="F112" s="273" t="s">
        <v>1455</v>
      </c>
      <c r="G112" s="273" t="s">
        <v>1455</v>
      </c>
      <c r="H112" s="273" t="s">
        <v>1455</v>
      </c>
      <c r="I112" s="273" t="s">
        <v>1455</v>
      </c>
      <c r="J112" s="273" t="s">
        <v>1455</v>
      </c>
      <c r="K112" s="273" t="s">
        <v>1455</v>
      </c>
      <c r="L112" s="273" t="s">
        <v>1455</v>
      </c>
      <c r="M112" s="273" t="s">
        <v>1455</v>
      </c>
      <c r="N112" s="273" t="s">
        <v>1455</v>
      </c>
      <c r="O112" s="273" t="s">
        <v>1455</v>
      </c>
      <c r="P112" s="273" t="s">
        <v>1455</v>
      </c>
      <c r="Q112" s="273" t="s">
        <v>1455</v>
      </c>
      <c r="R112" s="273" t="s">
        <v>1455</v>
      </c>
      <c r="S112" s="273" t="s">
        <v>1455</v>
      </c>
      <c r="T112" s="273" t="s">
        <v>1455</v>
      </c>
      <c r="U112" s="273" t="s">
        <v>1455</v>
      </c>
      <c r="V112" s="273" t="s">
        <v>1455</v>
      </c>
      <c r="W112" s="273" t="s">
        <v>1455</v>
      </c>
      <c r="X112" s="273">
        <v>10055.5106122449</v>
      </c>
      <c r="Y112" s="273">
        <v>10483.549615384618</v>
      </c>
      <c r="Z112" s="273">
        <v>11175.607843137253</v>
      </c>
      <c r="AA112" s="273">
        <v>13481.851851851852</v>
      </c>
      <c r="AB112" s="273">
        <v>14075.966153846153</v>
      </c>
    </row>
    <row r="113" spans="1:28" ht="24" x14ac:dyDescent="0.2">
      <c r="A113" s="317" t="s">
        <v>1647</v>
      </c>
      <c r="B113" s="317" t="s">
        <v>1641</v>
      </c>
      <c r="C113" s="275" t="s">
        <v>1455</v>
      </c>
      <c r="D113" s="275" t="s">
        <v>1455</v>
      </c>
      <c r="E113" s="275" t="s">
        <v>1455</v>
      </c>
      <c r="F113" s="275" t="s">
        <v>1455</v>
      </c>
      <c r="G113" s="275" t="s">
        <v>1455</v>
      </c>
      <c r="H113" s="275" t="s">
        <v>1455</v>
      </c>
      <c r="I113" s="275" t="s">
        <v>1455</v>
      </c>
      <c r="J113" s="275" t="s">
        <v>1455</v>
      </c>
      <c r="K113" s="275" t="s">
        <v>1455</v>
      </c>
      <c r="L113" s="275" t="s">
        <v>1455</v>
      </c>
      <c r="M113" s="275" t="s">
        <v>1455</v>
      </c>
      <c r="N113" s="275" t="s">
        <v>1455</v>
      </c>
      <c r="O113" s="275" t="s">
        <v>1455</v>
      </c>
      <c r="P113" s="275" t="s">
        <v>1455</v>
      </c>
      <c r="Q113" s="275" t="s">
        <v>1455</v>
      </c>
      <c r="R113" s="275" t="s">
        <v>1455</v>
      </c>
      <c r="S113" s="275" t="s">
        <v>1455</v>
      </c>
      <c r="T113" s="275" t="s">
        <v>1455</v>
      </c>
      <c r="U113" s="275" t="s">
        <v>1455</v>
      </c>
      <c r="V113" s="275" t="s">
        <v>1455</v>
      </c>
      <c r="W113" s="275" t="s">
        <v>1455</v>
      </c>
      <c r="X113" s="275">
        <v>1807.2448979591838</v>
      </c>
      <c r="Y113" s="275">
        <v>2173.003461538462</v>
      </c>
      <c r="Z113" s="275">
        <v>2554.8235294117644</v>
      </c>
      <c r="AA113" s="275">
        <v>2103.037037037037</v>
      </c>
      <c r="AB113" s="275">
        <v>2146.9538461538464</v>
      </c>
    </row>
    <row r="114" spans="1:28" x14ac:dyDescent="0.2">
      <c r="A114" s="314" t="s">
        <v>1491</v>
      </c>
      <c r="B114" s="303"/>
      <c r="C114" s="307"/>
      <c r="D114" s="307"/>
      <c r="E114" s="307"/>
      <c r="F114" s="307"/>
      <c r="G114" s="307"/>
      <c r="H114" s="307"/>
      <c r="I114" s="307"/>
      <c r="J114" s="307"/>
      <c r="K114" s="307"/>
      <c r="L114" s="307"/>
      <c r="M114" s="307"/>
      <c r="N114" s="307"/>
      <c r="O114" s="307"/>
      <c r="P114" s="307"/>
      <c r="Q114" s="307"/>
      <c r="R114" s="307"/>
      <c r="S114" s="307"/>
      <c r="T114" s="307"/>
      <c r="U114" s="307"/>
      <c r="V114" s="307"/>
      <c r="W114" s="307"/>
      <c r="X114" s="307"/>
      <c r="Y114" s="307"/>
      <c r="Z114" s="307"/>
      <c r="AA114" s="307"/>
      <c r="AB114" s="308"/>
    </row>
    <row r="115" spans="1:28" x14ac:dyDescent="0.2">
      <c r="A115" s="313" t="s">
        <v>1492</v>
      </c>
      <c r="B115" s="313" t="s">
        <v>1602</v>
      </c>
      <c r="C115" s="287">
        <v>291925</v>
      </c>
      <c r="D115" s="287">
        <v>293862</v>
      </c>
      <c r="E115" s="287">
        <v>291468</v>
      </c>
      <c r="F115" s="287">
        <v>293263</v>
      </c>
      <c r="G115" s="287">
        <v>301545</v>
      </c>
      <c r="H115" s="287">
        <v>296947</v>
      </c>
      <c r="I115" s="287">
        <v>284672</v>
      </c>
      <c r="J115" s="287">
        <v>294370</v>
      </c>
      <c r="K115" s="287">
        <v>302709</v>
      </c>
      <c r="L115" s="287">
        <v>296059</v>
      </c>
      <c r="M115" s="287">
        <v>298957</v>
      </c>
      <c r="N115" s="287">
        <v>289994</v>
      </c>
      <c r="O115" s="287">
        <v>302999</v>
      </c>
      <c r="P115" s="287">
        <v>301493</v>
      </c>
      <c r="Q115" s="287">
        <v>303001</v>
      </c>
      <c r="R115" s="287">
        <v>300468</v>
      </c>
      <c r="S115" s="287">
        <v>300324</v>
      </c>
      <c r="T115" s="287">
        <v>301066</v>
      </c>
      <c r="U115" s="287">
        <v>303181</v>
      </c>
      <c r="V115" s="287">
        <v>304573</v>
      </c>
      <c r="W115" s="287">
        <v>304805</v>
      </c>
      <c r="X115" s="287">
        <v>305057</v>
      </c>
      <c r="Y115" s="287">
        <v>303341</v>
      </c>
      <c r="Z115" s="287">
        <v>302827</v>
      </c>
      <c r="AA115" s="287">
        <v>301834</v>
      </c>
      <c r="AB115" s="287">
        <v>301257</v>
      </c>
    </row>
    <row r="116" spans="1:28" ht="24" x14ac:dyDescent="0.2">
      <c r="A116" s="314" t="s">
        <v>1648</v>
      </c>
      <c r="B116" s="303"/>
      <c r="C116" s="307"/>
      <c r="D116" s="307"/>
      <c r="E116" s="307"/>
      <c r="F116" s="307"/>
      <c r="G116" s="307"/>
      <c r="H116" s="307"/>
      <c r="I116" s="307"/>
      <c r="J116" s="307"/>
      <c r="K116" s="307"/>
      <c r="L116" s="307"/>
      <c r="M116" s="307"/>
      <c r="N116" s="307"/>
      <c r="O116" s="307"/>
      <c r="P116" s="307"/>
      <c r="Q116" s="307"/>
      <c r="R116" s="307"/>
      <c r="S116" s="307"/>
      <c r="T116" s="307"/>
      <c r="U116" s="307"/>
      <c r="V116" s="307"/>
      <c r="W116" s="307"/>
      <c r="X116" s="307"/>
      <c r="Y116" s="307"/>
      <c r="Z116" s="307"/>
      <c r="AA116" s="307"/>
      <c r="AB116" s="308"/>
    </row>
    <row r="117" spans="1:28" ht="24" x14ac:dyDescent="0.2">
      <c r="A117" s="315" t="s">
        <v>1494</v>
      </c>
      <c r="B117" s="315" t="s">
        <v>1649</v>
      </c>
      <c r="C117" s="271">
        <v>1732.8914637503442</v>
      </c>
      <c r="D117" s="271">
        <v>1744.3896594008859</v>
      </c>
      <c r="E117" s="271">
        <v>1730.1786731399684</v>
      </c>
      <c r="F117" s="271">
        <v>1717.1124271852332</v>
      </c>
      <c r="G117" s="271">
        <v>1704.046181230498</v>
      </c>
      <c r="H117" s="271">
        <v>1690.9799352757627</v>
      </c>
      <c r="I117" s="271">
        <v>1677.9136893210275</v>
      </c>
      <c r="J117" s="271">
        <v>1664.8474433662923</v>
      </c>
      <c r="K117" s="271">
        <v>1651.7811974115571</v>
      </c>
      <c r="L117" s="271">
        <v>1638.7149514568218</v>
      </c>
      <c r="M117" s="271">
        <v>1625.6487055020866</v>
      </c>
      <c r="N117" s="271">
        <v>1612.5824595473514</v>
      </c>
      <c r="O117" s="271">
        <v>1599.5162135926162</v>
      </c>
      <c r="P117" s="271">
        <v>1586.4499676378809</v>
      </c>
      <c r="Q117" s="271">
        <v>1573.3837216831457</v>
      </c>
      <c r="R117" s="271">
        <v>1560.3174757284105</v>
      </c>
      <c r="S117" s="271">
        <v>1547.2512297736753</v>
      </c>
      <c r="T117" s="271">
        <v>1534.1849838189401</v>
      </c>
      <c r="U117" s="271">
        <v>1521.1187378642048</v>
      </c>
      <c r="V117" s="271">
        <v>1508.0524919094696</v>
      </c>
      <c r="W117" s="271">
        <v>1494.9862459547344</v>
      </c>
      <c r="X117" s="271">
        <v>1481.92</v>
      </c>
      <c r="Y117" s="271">
        <v>1587</v>
      </c>
      <c r="Z117" s="271">
        <v>1714.24</v>
      </c>
      <c r="AA117" s="271">
        <v>1837.44</v>
      </c>
      <c r="AB117" s="271">
        <v>1833.92</v>
      </c>
    </row>
    <row r="118" spans="1:28" ht="24" x14ac:dyDescent="0.2">
      <c r="A118" s="317" t="s">
        <v>1495</v>
      </c>
      <c r="B118" s="317" t="s">
        <v>1649</v>
      </c>
      <c r="C118" s="275">
        <v>361.41312838947863</v>
      </c>
      <c r="D118" s="275">
        <v>374.93816695504222</v>
      </c>
      <c r="E118" s="275">
        <v>386</v>
      </c>
      <c r="F118" s="275">
        <v>382.6653846153846</v>
      </c>
      <c r="G118" s="275">
        <v>379.33076923076919</v>
      </c>
      <c r="H118" s="275">
        <v>375.99615384615379</v>
      </c>
      <c r="I118" s="275">
        <v>372.66153846153838</v>
      </c>
      <c r="J118" s="275">
        <v>369.32692307692298</v>
      </c>
      <c r="K118" s="275">
        <v>365.99230769230758</v>
      </c>
      <c r="L118" s="275">
        <v>362.65769230769217</v>
      </c>
      <c r="M118" s="275">
        <v>359.32307692307677</v>
      </c>
      <c r="N118" s="275">
        <v>355.98846153846137</v>
      </c>
      <c r="O118" s="275">
        <v>352.65384615384596</v>
      </c>
      <c r="P118" s="275">
        <v>349.31923076923056</v>
      </c>
      <c r="Q118" s="275">
        <v>345.98461538461515</v>
      </c>
      <c r="R118" s="275">
        <v>342.65</v>
      </c>
      <c r="S118" s="275">
        <v>345.32</v>
      </c>
      <c r="T118" s="275">
        <v>342.65</v>
      </c>
      <c r="U118" s="275">
        <v>349.77</v>
      </c>
      <c r="V118" s="275">
        <v>350.66</v>
      </c>
      <c r="W118" s="275">
        <v>351.55</v>
      </c>
      <c r="X118" s="275">
        <v>354.22</v>
      </c>
      <c r="Y118" s="275">
        <v>354.22</v>
      </c>
      <c r="Z118" s="275">
        <v>356</v>
      </c>
      <c r="AA118" s="275">
        <v>356</v>
      </c>
      <c r="AB118" s="275">
        <v>348.88</v>
      </c>
    </row>
    <row r="119" spans="1:28" x14ac:dyDescent="0.2">
      <c r="A119" s="322" t="s">
        <v>1496</v>
      </c>
      <c r="B119" s="323"/>
      <c r="C119" s="277"/>
      <c r="D119" s="277"/>
      <c r="E119" s="277"/>
      <c r="F119" s="277"/>
      <c r="G119" s="277"/>
      <c r="H119" s="277"/>
      <c r="I119" s="277"/>
      <c r="J119" s="277"/>
      <c r="K119" s="277"/>
      <c r="L119" s="277"/>
      <c r="M119" s="277"/>
      <c r="N119" s="277"/>
      <c r="O119" s="277"/>
      <c r="P119" s="277"/>
      <c r="Q119" s="277"/>
      <c r="R119" s="277"/>
      <c r="S119" s="277"/>
      <c r="T119" s="277"/>
      <c r="U119" s="277"/>
      <c r="V119" s="277"/>
      <c r="W119" s="277"/>
      <c r="X119" s="277"/>
      <c r="Y119" s="277"/>
      <c r="Z119" s="277"/>
      <c r="AA119" s="277"/>
      <c r="AB119" s="278"/>
    </row>
    <row r="120" spans="1:28" x14ac:dyDescent="0.2">
      <c r="A120" s="315" t="s">
        <v>1497</v>
      </c>
      <c r="B120" s="315" t="s">
        <v>1601</v>
      </c>
      <c r="C120" s="271">
        <v>61.11272727272727</v>
      </c>
      <c r="D120" s="271">
        <v>61.81636363636364</v>
      </c>
      <c r="E120" s="271">
        <v>62.52</v>
      </c>
      <c r="F120" s="271">
        <v>63.223636363636359</v>
      </c>
      <c r="G120" s="271">
        <v>63.927272727272729</v>
      </c>
      <c r="H120" s="271">
        <v>64.6309090909091</v>
      </c>
      <c r="I120" s="271">
        <v>65.334545454545449</v>
      </c>
      <c r="J120" s="271">
        <v>66.038181818181826</v>
      </c>
      <c r="K120" s="271">
        <v>66.741818181818175</v>
      </c>
      <c r="L120" s="271">
        <v>67.445454545454552</v>
      </c>
      <c r="M120" s="271">
        <v>68.149090909090901</v>
      </c>
      <c r="N120" s="271">
        <v>68.852727272727279</v>
      </c>
      <c r="O120" s="271">
        <v>69.556363636363642</v>
      </c>
      <c r="P120" s="271">
        <v>70.260000000000005</v>
      </c>
      <c r="Q120" s="271">
        <v>70.260000000000005</v>
      </c>
      <c r="R120" s="271">
        <v>70.260000000000005</v>
      </c>
      <c r="S120" s="271">
        <v>70.260000000000005</v>
      </c>
      <c r="T120" s="271">
        <v>70.260000000000005</v>
      </c>
      <c r="U120" s="271">
        <v>70.260000000000005</v>
      </c>
      <c r="V120" s="271">
        <v>70.260000000000005</v>
      </c>
      <c r="W120" s="271">
        <v>70.260000000000005</v>
      </c>
      <c r="X120" s="271">
        <v>70.260000000000005</v>
      </c>
      <c r="Y120" s="271">
        <v>70.260000000000005</v>
      </c>
      <c r="Z120" s="271">
        <v>70.260000000000005</v>
      </c>
      <c r="AA120" s="271">
        <v>70.260000000000005</v>
      </c>
      <c r="AB120" s="271">
        <v>70.260000000000005</v>
      </c>
    </row>
    <row r="121" spans="1:28" x14ac:dyDescent="0.2">
      <c r="A121" s="316" t="s">
        <v>1498</v>
      </c>
      <c r="B121" s="316" t="s">
        <v>1600</v>
      </c>
      <c r="C121" s="273">
        <v>232.39545454545456</v>
      </c>
      <c r="D121" s="273">
        <v>235.32272727272732</v>
      </c>
      <c r="E121" s="273">
        <v>238.25000000000003</v>
      </c>
      <c r="F121" s="273">
        <v>241.17727272727271</v>
      </c>
      <c r="G121" s="273">
        <v>244.10454545454547</v>
      </c>
      <c r="H121" s="273">
        <v>247.03181818181821</v>
      </c>
      <c r="I121" s="273">
        <v>249.95909090909089</v>
      </c>
      <c r="J121" s="273">
        <v>252.88636363636365</v>
      </c>
      <c r="K121" s="273">
        <v>255.81363636363636</v>
      </c>
      <c r="L121" s="273">
        <v>258.7409090909091</v>
      </c>
      <c r="M121" s="273">
        <v>261.66818181818184</v>
      </c>
      <c r="N121" s="273">
        <v>264.59545454545457</v>
      </c>
      <c r="O121" s="273">
        <v>267.52272727272725</v>
      </c>
      <c r="P121" s="273">
        <v>270.45000000000005</v>
      </c>
      <c r="Q121" s="273">
        <v>270.45000000000005</v>
      </c>
      <c r="R121" s="273">
        <v>270.45000000000005</v>
      </c>
      <c r="S121" s="273">
        <v>270.45000000000005</v>
      </c>
      <c r="T121" s="273">
        <v>270.45000000000005</v>
      </c>
      <c r="U121" s="273">
        <v>270.45000000000005</v>
      </c>
      <c r="V121" s="273">
        <v>270.45000000000005</v>
      </c>
      <c r="W121" s="273">
        <v>270.45000000000005</v>
      </c>
      <c r="X121" s="273">
        <v>270.45000000000005</v>
      </c>
      <c r="Y121" s="273">
        <v>270.45000000000005</v>
      </c>
      <c r="Z121" s="273">
        <v>270.45000000000005</v>
      </c>
      <c r="AA121" s="273">
        <v>270.45000000000005</v>
      </c>
      <c r="AB121" s="273">
        <v>270.45000000000005</v>
      </c>
    </row>
    <row r="122" spans="1:28" x14ac:dyDescent="0.2">
      <c r="A122" s="317" t="s">
        <v>1499</v>
      </c>
      <c r="B122" s="317" t="s">
        <v>1600</v>
      </c>
      <c r="C122" s="275">
        <v>54.831818181818178</v>
      </c>
      <c r="D122" s="275">
        <v>55.540909090909096</v>
      </c>
      <c r="E122" s="275">
        <v>56.250000000000007</v>
      </c>
      <c r="F122" s="275">
        <v>56.959090909090904</v>
      </c>
      <c r="G122" s="275">
        <v>57.668181818181822</v>
      </c>
      <c r="H122" s="275">
        <v>58.377272727272732</v>
      </c>
      <c r="I122" s="275">
        <v>59.086363636363643</v>
      </c>
      <c r="J122" s="275">
        <v>59.795454545454547</v>
      </c>
      <c r="K122" s="275">
        <v>60.504545454545458</v>
      </c>
      <c r="L122" s="275">
        <v>61.213636363636368</v>
      </c>
      <c r="M122" s="275">
        <v>61.922727272727265</v>
      </c>
      <c r="N122" s="275">
        <v>62.63181818181819</v>
      </c>
      <c r="O122" s="275">
        <v>63.340909090909093</v>
      </c>
      <c r="P122" s="275">
        <v>64.050000000000011</v>
      </c>
      <c r="Q122" s="275">
        <v>64.050000000000011</v>
      </c>
      <c r="R122" s="275">
        <v>64.050000000000011</v>
      </c>
      <c r="S122" s="275">
        <v>64.050000000000011</v>
      </c>
      <c r="T122" s="275">
        <v>64.050000000000011</v>
      </c>
      <c r="U122" s="275">
        <v>64.050000000000011</v>
      </c>
      <c r="V122" s="275">
        <v>64.050000000000011</v>
      </c>
      <c r="W122" s="275">
        <v>64.050000000000011</v>
      </c>
      <c r="X122" s="275">
        <v>64.050000000000011</v>
      </c>
      <c r="Y122" s="275">
        <v>64.050000000000011</v>
      </c>
      <c r="Z122" s="275">
        <v>64.050000000000011</v>
      </c>
      <c r="AA122" s="275">
        <v>64.050000000000011</v>
      </c>
      <c r="AB122" s="275">
        <v>64.050000000000011</v>
      </c>
    </row>
    <row r="123" spans="1:28" x14ac:dyDescent="0.2">
      <c r="A123" s="314" t="s">
        <v>1500</v>
      </c>
      <c r="B123" s="303"/>
      <c r="C123" s="307"/>
      <c r="D123" s="307"/>
      <c r="E123" s="307"/>
      <c r="F123" s="307"/>
      <c r="G123" s="307"/>
      <c r="H123" s="307"/>
      <c r="I123" s="307"/>
      <c r="J123" s="307"/>
      <c r="K123" s="307"/>
      <c r="L123" s="307"/>
      <c r="M123" s="307"/>
      <c r="N123" s="307"/>
      <c r="O123" s="307"/>
      <c r="P123" s="307"/>
      <c r="Q123" s="307"/>
      <c r="R123" s="307"/>
      <c r="S123" s="307"/>
      <c r="T123" s="307"/>
      <c r="U123" s="307"/>
      <c r="V123" s="307"/>
      <c r="W123" s="307"/>
      <c r="X123" s="307"/>
      <c r="Y123" s="307"/>
      <c r="Z123" s="307"/>
      <c r="AA123" s="307"/>
      <c r="AB123" s="308"/>
    </row>
    <row r="124" spans="1:28" x14ac:dyDescent="0.2">
      <c r="A124" s="315" t="s">
        <v>1501</v>
      </c>
      <c r="B124" s="315" t="s">
        <v>1616</v>
      </c>
      <c r="C124" s="271">
        <v>560.98106465673095</v>
      </c>
      <c r="D124" s="271">
        <v>562.38948780781755</v>
      </c>
      <c r="E124" s="271">
        <v>563.79791095890414</v>
      </c>
      <c r="F124" s="271">
        <v>565.20633410999073</v>
      </c>
      <c r="G124" s="271">
        <v>566.61475726107733</v>
      </c>
      <c r="H124" s="271">
        <v>568.02318041216404</v>
      </c>
      <c r="I124" s="271">
        <v>569.43160356325086</v>
      </c>
      <c r="J124" s="271">
        <v>570.84002671433734</v>
      </c>
      <c r="K124" s="271">
        <v>572.24844986542405</v>
      </c>
      <c r="L124" s="271">
        <v>573.65687301651076</v>
      </c>
      <c r="M124" s="271">
        <v>575.06529616759747</v>
      </c>
      <c r="N124" s="271">
        <v>576.47371931868395</v>
      </c>
      <c r="O124" s="271">
        <v>577.88214246977054</v>
      </c>
      <c r="P124" s="271">
        <v>579.29056562085725</v>
      </c>
      <c r="Q124" s="271">
        <v>579.29056562085725</v>
      </c>
      <c r="R124" s="271">
        <v>579.29056562085725</v>
      </c>
      <c r="S124" s="271">
        <v>579.29056562085725</v>
      </c>
      <c r="T124" s="271">
        <v>579.29056562085725</v>
      </c>
      <c r="U124" s="271">
        <v>579.29056562085725</v>
      </c>
      <c r="V124" s="271">
        <v>579.29056562085725</v>
      </c>
      <c r="W124" s="271">
        <v>579.29056562085725</v>
      </c>
      <c r="X124" s="271">
        <v>579.29056562085725</v>
      </c>
      <c r="Y124" s="271">
        <v>579.29056562085725</v>
      </c>
      <c r="Z124" s="271">
        <v>579.29056562085725</v>
      </c>
      <c r="AA124" s="271">
        <v>579.29056562085725</v>
      </c>
      <c r="AB124" s="271">
        <v>579.29056562085725</v>
      </c>
    </row>
    <row r="125" spans="1:28" x14ac:dyDescent="0.2">
      <c r="A125" s="316" t="s">
        <v>1502</v>
      </c>
      <c r="B125" s="316" t="s">
        <v>1616</v>
      </c>
      <c r="C125" s="273">
        <v>109.6022584662355</v>
      </c>
      <c r="D125" s="273">
        <v>109.87743060298077</v>
      </c>
      <c r="E125" s="273">
        <v>110.15260273972602</v>
      </c>
      <c r="F125" s="273">
        <v>110.4277748764713</v>
      </c>
      <c r="G125" s="273">
        <v>110.70294701321656</v>
      </c>
      <c r="H125" s="273">
        <v>110.97811914996183</v>
      </c>
      <c r="I125" s="273">
        <v>111.25329128670712</v>
      </c>
      <c r="J125" s="273">
        <v>111.52846342345238</v>
      </c>
      <c r="K125" s="273">
        <v>111.80363556019765</v>
      </c>
      <c r="L125" s="273">
        <v>112.07880769694293</v>
      </c>
      <c r="M125" s="273">
        <v>112.35397983368821</v>
      </c>
      <c r="N125" s="273">
        <v>112.62915197043345</v>
      </c>
      <c r="O125" s="273">
        <v>112.90432410717871</v>
      </c>
      <c r="P125" s="273">
        <v>113.17949624392399</v>
      </c>
      <c r="Q125" s="273">
        <v>113.17949624392399</v>
      </c>
      <c r="R125" s="273">
        <v>113.17949624392399</v>
      </c>
      <c r="S125" s="273">
        <v>113.17949624392399</v>
      </c>
      <c r="T125" s="273">
        <v>113.17949624392399</v>
      </c>
      <c r="U125" s="273">
        <v>113.17949624392399</v>
      </c>
      <c r="V125" s="273">
        <v>113.17949624392399</v>
      </c>
      <c r="W125" s="273">
        <v>113.17949624392399</v>
      </c>
      <c r="X125" s="273">
        <v>113.17949624392399</v>
      </c>
      <c r="Y125" s="273">
        <v>113.17949624392399</v>
      </c>
      <c r="Z125" s="273">
        <v>113.17949624392399</v>
      </c>
      <c r="AA125" s="273">
        <v>113.17949624392399</v>
      </c>
      <c r="AB125" s="273">
        <v>113.17949624392399</v>
      </c>
    </row>
    <row r="126" spans="1:28" x14ac:dyDescent="0.2">
      <c r="A126" s="317" t="s">
        <v>1503</v>
      </c>
      <c r="B126" s="317" t="s">
        <v>1650</v>
      </c>
      <c r="C126" s="275">
        <v>61.11272727272727</v>
      </c>
      <c r="D126" s="275">
        <v>61.81636363636364</v>
      </c>
      <c r="E126" s="275">
        <v>62.52</v>
      </c>
      <c r="F126" s="275">
        <v>63.223636363636359</v>
      </c>
      <c r="G126" s="275">
        <v>63.927272727272729</v>
      </c>
      <c r="H126" s="275">
        <v>64.6309090909091</v>
      </c>
      <c r="I126" s="275">
        <v>65.334545454545449</v>
      </c>
      <c r="J126" s="275">
        <v>66.038181818181826</v>
      </c>
      <c r="K126" s="275">
        <v>66.741818181818175</v>
      </c>
      <c r="L126" s="275">
        <v>67.445454545454552</v>
      </c>
      <c r="M126" s="275">
        <v>68.149090909090901</v>
      </c>
      <c r="N126" s="275">
        <v>68.852727272727279</v>
      </c>
      <c r="O126" s="275">
        <v>69.556363636363642</v>
      </c>
      <c r="P126" s="275">
        <v>70.260000000000005</v>
      </c>
      <c r="Q126" s="275">
        <v>70.260000000000005</v>
      </c>
      <c r="R126" s="275">
        <v>70.260000000000005</v>
      </c>
      <c r="S126" s="275">
        <v>70.260000000000005</v>
      </c>
      <c r="T126" s="275">
        <v>70.260000000000005</v>
      </c>
      <c r="U126" s="275">
        <v>70.260000000000005</v>
      </c>
      <c r="V126" s="275">
        <v>70.260000000000005</v>
      </c>
      <c r="W126" s="275">
        <v>70.260000000000005</v>
      </c>
      <c r="X126" s="275">
        <v>70.260000000000005</v>
      </c>
      <c r="Y126" s="275">
        <v>70.260000000000005</v>
      </c>
      <c r="Z126" s="275">
        <v>70.260000000000005</v>
      </c>
      <c r="AA126" s="275">
        <v>70.260000000000005</v>
      </c>
      <c r="AB126" s="275">
        <v>70.260000000000005</v>
      </c>
    </row>
    <row r="127" spans="1:28" x14ac:dyDescent="0.2">
      <c r="A127" s="322" t="s">
        <v>1504</v>
      </c>
      <c r="B127" s="323"/>
      <c r="C127" s="277"/>
      <c r="D127" s="277"/>
      <c r="E127" s="277"/>
      <c r="F127" s="277"/>
      <c r="G127" s="277"/>
      <c r="H127" s="277"/>
      <c r="I127" s="277"/>
      <c r="J127" s="277"/>
      <c r="K127" s="277"/>
      <c r="L127" s="277"/>
      <c r="M127" s="277"/>
      <c r="N127" s="277"/>
      <c r="O127" s="277"/>
      <c r="P127" s="277"/>
      <c r="Q127" s="277"/>
      <c r="R127" s="277"/>
      <c r="S127" s="277"/>
      <c r="T127" s="277"/>
      <c r="U127" s="277"/>
      <c r="V127" s="277"/>
      <c r="W127" s="277"/>
      <c r="X127" s="277"/>
      <c r="Y127" s="277"/>
      <c r="Z127" s="277"/>
      <c r="AA127" s="277"/>
      <c r="AB127" s="278"/>
    </row>
    <row r="128" spans="1:28" x14ac:dyDescent="0.2">
      <c r="A128" s="315" t="s">
        <v>1497</v>
      </c>
      <c r="B128" s="315" t="s">
        <v>1601</v>
      </c>
      <c r="C128" s="271">
        <v>1.4</v>
      </c>
      <c r="D128" s="271">
        <v>1.4</v>
      </c>
      <c r="E128" s="271">
        <v>1.4</v>
      </c>
      <c r="F128" s="271">
        <v>1.4</v>
      </c>
      <c r="G128" s="271">
        <v>1.4</v>
      </c>
      <c r="H128" s="271">
        <v>1.4</v>
      </c>
      <c r="I128" s="271">
        <v>1.4</v>
      </c>
      <c r="J128" s="271">
        <v>1.4</v>
      </c>
      <c r="K128" s="271">
        <v>1.4</v>
      </c>
      <c r="L128" s="271">
        <v>1.4</v>
      </c>
      <c r="M128" s="271">
        <v>1.4</v>
      </c>
      <c r="N128" s="271">
        <v>2.0999999999999996</v>
      </c>
      <c r="O128" s="271">
        <v>2.0999999999999996</v>
      </c>
      <c r="P128" s="271">
        <v>2.8</v>
      </c>
      <c r="Q128" s="271">
        <v>2.8</v>
      </c>
      <c r="R128" s="271">
        <v>2.8</v>
      </c>
      <c r="S128" s="271">
        <v>2.8</v>
      </c>
      <c r="T128" s="271">
        <v>2.8</v>
      </c>
      <c r="U128" s="271">
        <v>7</v>
      </c>
      <c r="V128" s="271">
        <v>7.6999999999999993</v>
      </c>
      <c r="W128" s="271">
        <v>7.6999999999999993</v>
      </c>
      <c r="X128" s="271">
        <v>7.6999999999999993</v>
      </c>
      <c r="Y128" s="271">
        <v>7.6999999999999993</v>
      </c>
      <c r="Z128" s="271">
        <v>7.6999999999999993</v>
      </c>
      <c r="AA128" s="271">
        <v>7.6999999999999993</v>
      </c>
      <c r="AB128" s="271">
        <v>7.6999999999999993</v>
      </c>
    </row>
    <row r="129" spans="1:28" x14ac:dyDescent="0.2">
      <c r="A129" s="316" t="s">
        <v>1498</v>
      </c>
      <c r="B129" s="316" t="s">
        <v>1600</v>
      </c>
      <c r="C129" s="273">
        <v>6.8000000000000007</v>
      </c>
      <c r="D129" s="273">
        <v>6.8000000000000007</v>
      </c>
      <c r="E129" s="273">
        <v>6.8000000000000007</v>
      </c>
      <c r="F129" s="273">
        <v>6.8000000000000007</v>
      </c>
      <c r="G129" s="273">
        <v>6.8000000000000007</v>
      </c>
      <c r="H129" s="273">
        <v>6.8000000000000007</v>
      </c>
      <c r="I129" s="273">
        <v>6.8000000000000007</v>
      </c>
      <c r="J129" s="273">
        <v>6.8000000000000007</v>
      </c>
      <c r="K129" s="273">
        <v>6.8000000000000007</v>
      </c>
      <c r="L129" s="273">
        <v>6.8000000000000007</v>
      </c>
      <c r="M129" s="273">
        <v>6.8000000000000007</v>
      </c>
      <c r="N129" s="273">
        <v>10.199999999999999</v>
      </c>
      <c r="O129" s="273">
        <v>10.199999999999999</v>
      </c>
      <c r="P129" s="273">
        <v>13.600000000000001</v>
      </c>
      <c r="Q129" s="273">
        <v>13.600000000000001</v>
      </c>
      <c r="R129" s="273">
        <v>13.600000000000001</v>
      </c>
      <c r="S129" s="273">
        <v>13.600000000000001</v>
      </c>
      <c r="T129" s="273">
        <v>13.600000000000001</v>
      </c>
      <c r="U129" s="273">
        <v>34</v>
      </c>
      <c r="V129" s="273">
        <v>37.400000000000006</v>
      </c>
      <c r="W129" s="273">
        <v>37.400000000000006</v>
      </c>
      <c r="X129" s="273">
        <v>37.400000000000006</v>
      </c>
      <c r="Y129" s="273">
        <v>37.400000000000006</v>
      </c>
      <c r="Z129" s="273">
        <v>37.400000000000006</v>
      </c>
      <c r="AA129" s="273">
        <v>37.400000000000006</v>
      </c>
      <c r="AB129" s="273">
        <v>37.400000000000006</v>
      </c>
    </row>
    <row r="130" spans="1:28" x14ac:dyDescent="0.2">
      <c r="A130" s="317" t="s">
        <v>1499</v>
      </c>
      <c r="B130" s="317" t="s">
        <v>1600</v>
      </c>
      <c r="C130" s="275">
        <v>1.2000000000000002</v>
      </c>
      <c r="D130" s="275">
        <v>1.2000000000000002</v>
      </c>
      <c r="E130" s="275">
        <v>1.2000000000000002</v>
      </c>
      <c r="F130" s="275">
        <v>1.2000000000000002</v>
      </c>
      <c r="G130" s="275">
        <v>1.2000000000000002</v>
      </c>
      <c r="H130" s="275">
        <v>1.2000000000000002</v>
      </c>
      <c r="I130" s="275">
        <v>1.2000000000000002</v>
      </c>
      <c r="J130" s="275">
        <v>1.2000000000000002</v>
      </c>
      <c r="K130" s="275">
        <v>1.2000000000000002</v>
      </c>
      <c r="L130" s="275">
        <v>1.2000000000000002</v>
      </c>
      <c r="M130" s="275">
        <v>1.2000000000000002</v>
      </c>
      <c r="N130" s="275">
        <v>1.8</v>
      </c>
      <c r="O130" s="275">
        <v>1.8</v>
      </c>
      <c r="P130" s="275">
        <v>2.4000000000000004</v>
      </c>
      <c r="Q130" s="275">
        <v>2.4000000000000004</v>
      </c>
      <c r="R130" s="275">
        <v>2.4000000000000004</v>
      </c>
      <c r="S130" s="275">
        <v>2.4000000000000004</v>
      </c>
      <c r="T130" s="275">
        <v>2.4000000000000004</v>
      </c>
      <c r="U130" s="275">
        <v>6</v>
      </c>
      <c r="V130" s="275">
        <v>6.6000000000000005</v>
      </c>
      <c r="W130" s="275">
        <v>6.6000000000000005</v>
      </c>
      <c r="X130" s="275">
        <v>6.6000000000000005</v>
      </c>
      <c r="Y130" s="275">
        <v>6.6000000000000005</v>
      </c>
      <c r="Z130" s="275">
        <v>6.6000000000000005</v>
      </c>
      <c r="AA130" s="275">
        <v>6.6000000000000005</v>
      </c>
      <c r="AB130" s="275">
        <v>6.6000000000000005</v>
      </c>
    </row>
    <row r="131" spans="1:28" x14ac:dyDescent="0.2">
      <c r="A131" s="314" t="s">
        <v>1500</v>
      </c>
      <c r="B131" s="303"/>
      <c r="C131" s="307"/>
      <c r="D131" s="307"/>
      <c r="E131" s="307"/>
      <c r="F131" s="307"/>
      <c r="G131" s="307"/>
      <c r="H131" s="307"/>
      <c r="I131" s="307"/>
      <c r="J131" s="307"/>
      <c r="K131" s="307"/>
      <c r="L131" s="307"/>
      <c r="M131" s="307"/>
      <c r="N131" s="307"/>
      <c r="O131" s="307"/>
      <c r="P131" s="307"/>
      <c r="Q131" s="307"/>
      <c r="R131" s="307"/>
      <c r="S131" s="307"/>
      <c r="T131" s="307"/>
      <c r="U131" s="307"/>
      <c r="V131" s="307"/>
      <c r="W131" s="307"/>
      <c r="X131" s="307"/>
      <c r="Y131" s="307"/>
      <c r="Z131" s="307"/>
      <c r="AA131" s="307"/>
      <c r="AB131" s="308"/>
    </row>
    <row r="132" spans="1:28" x14ac:dyDescent="0.2">
      <c r="A132" s="315" t="s">
        <v>1501</v>
      </c>
      <c r="B132" s="315" t="s">
        <v>1616</v>
      </c>
      <c r="C132" s="271">
        <v>375.42364109589045</v>
      </c>
      <c r="D132" s="271">
        <v>291.45559726027403</v>
      </c>
      <c r="E132" s="271">
        <v>207.96452876712331</v>
      </c>
      <c r="F132" s="271">
        <v>365.1992465753425</v>
      </c>
      <c r="G132" s="271">
        <v>239.20029863013701</v>
      </c>
      <c r="H132" s="271">
        <v>105.23953150684932</v>
      </c>
      <c r="I132" s="271">
        <v>196.37851232876716</v>
      </c>
      <c r="J132" s="271">
        <v>349.27153150684933</v>
      </c>
      <c r="K132" s="271">
        <v>380.56029863013697</v>
      </c>
      <c r="L132" s="271">
        <v>698.45009589041103</v>
      </c>
      <c r="M132" s="271">
        <v>953.67674794520553</v>
      </c>
      <c r="N132" s="271">
        <v>1016.1042</v>
      </c>
      <c r="O132" s="271">
        <v>977.7994109589041</v>
      </c>
      <c r="P132" s="271">
        <v>2126.6902520547947</v>
      </c>
      <c r="Q132" s="271">
        <v>2719.8355890410962</v>
      </c>
      <c r="R132" s="271">
        <v>2635.2234246575345</v>
      </c>
      <c r="S132" s="271">
        <v>2440.6704821917806</v>
      </c>
      <c r="T132" s="271">
        <v>3204.1367835616438</v>
      </c>
      <c r="U132" s="271">
        <v>1495.52957260274</v>
      </c>
      <c r="V132" s="271">
        <v>1904.2566739726028</v>
      </c>
      <c r="W132" s="271">
        <v>1818.861780821918</v>
      </c>
      <c r="X132" s="271">
        <v>1484.2819232876714</v>
      </c>
      <c r="Y132" s="271">
        <v>773.75173150684952</v>
      </c>
      <c r="Z132" s="271">
        <v>456.62427945205485</v>
      </c>
      <c r="AA132" s="271">
        <v>303.40512328767124</v>
      </c>
      <c r="AB132" s="271">
        <v>434.82202191780823</v>
      </c>
    </row>
    <row r="133" spans="1:28" x14ac:dyDescent="0.2">
      <c r="A133" s="316" t="s">
        <v>1502</v>
      </c>
      <c r="B133" s="316" t="s">
        <v>1616</v>
      </c>
      <c r="C133" s="273">
        <v>85.807660273972616</v>
      </c>
      <c r="D133" s="273">
        <v>64.815649315068512</v>
      </c>
      <c r="E133" s="273">
        <v>43.942882191780825</v>
      </c>
      <c r="F133" s="273">
        <v>83.251561643835629</v>
      </c>
      <c r="G133" s="273">
        <v>51.75182465753425</v>
      </c>
      <c r="H133" s="273">
        <v>18.26163287671233</v>
      </c>
      <c r="I133" s="273">
        <v>41.046378082191787</v>
      </c>
      <c r="J133" s="273">
        <v>79.269632876712336</v>
      </c>
      <c r="K133" s="273">
        <v>87.091824657534247</v>
      </c>
      <c r="L133" s="273">
        <v>166.56427397260276</v>
      </c>
      <c r="M133" s="273">
        <v>230.37093698630139</v>
      </c>
      <c r="N133" s="273">
        <v>242.69280000000001</v>
      </c>
      <c r="O133" s="273">
        <v>233.11660273972603</v>
      </c>
      <c r="P133" s="273">
        <v>516.23306301369871</v>
      </c>
      <c r="Q133" s="273">
        <v>664.5193972602741</v>
      </c>
      <c r="R133" s="273">
        <v>643.36635616438366</v>
      </c>
      <c r="S133" s="273">
        <v>594.7281205479452</v>
      </c>
      <c r="T133" s="273">
        <v>785.594695890411</v>
      </c>
      <c r="U133" s="273">
        <v>358.44289315068499</v>
      </c>
      <c r="V133" s="273">
        <v>460.62466849315069</v>
      </c>
      <c r="W133" s="273">
        <v>439.2759452054795</v>
      </c>
      <c r="X133" s="273">
        <v>355.63098082191783</v>
      </c>
      <c r="Y133" s="273">
        <v>177.99843287671237</v>
      </c>
      <c r="Z133" s="273">
        <v>98.716569863013717</v>
      </c>
      <c r="AA133" s="273">
        <v>60.411780821917809</v>
      </c>
      <c r="AB133" s="273">
        <v>93.266005479452062</v>
      </c>
    </row>
    <row r="134" spans="1:28" x14ac:dyDescent="0.2">
      <c r="A134" s="317" t="s">
        <v>1503</v>
      </c>
      <c r="B134" s="317" t="s">
        <v>1650</v>
      </c>
      <c r="C134" s="275">
        <v>1.4</v>
      </c>
      <c r="D134" s="275">
        <v>1.4</v>
      </c>
      <c r="E134" s="275">
        <v>1.4</v>
      </c>
      <c r="F134" s="275">
        <v>1.4</v>
      </c>
      <c r="G134" s="275">
        <v>1.4</v>
      </c>
      <c r="H134" s="275">
        <v>1.4</v>
      </c>
      <c r="I134" s="275">
        <v>1.4</v>
      </c>
      <c r="J134" s="275">
        <v>1.4</v>
      </c>
      <c r="K134" s="275">
        <v>1.4</v>
      </c>
      <c r="L134" s="275">
        <v>1.4</v>
      </c>
      <c r="M134" s="275">
        <v>1.4</v>
      </c>
      <c r="N134" s="275">
        <v>2.0999999999999996</v>
      </c>
      <c r="O134" s="275">
        <v>2.0999999999999996</v>
      </c>
      <c r="P134" s="275">
        <v>2.8</v>
      </c>
      <c r="Q134" s="275">
        <v>2.8</v>
      </c>
      <c r="R134" s="275">
        <v>2.8</v>
      </c>
      <c r="S134" s="275">
        <v>2.8</v>
      </c>
      <c r="T134" s="275">
        <v>2.8</v>
      </c>
      <c r="U134" s="275">
        <v>7</v>
      </c>
      <c r="V134" s="275">
        <v>7.6999999999999993</v>
      </c>
      <c r="W134" s="275">
        <v>7.6999999999999993</v>
      </c>
      <c r="X134" s="275">
        <v>7.6999999999999993</v>
      </c>
      <c r="Y134" s="275">
        <v>7.6999999999999993</v>
      </c>
      <c r="Z134" s="275">
        <v>7.6999999999999993</v>
      </c>
      <c r="AA134" s="275">
        <v>7.6999999999999993</v>
      </c>
      <c r="AB134" s="275">
        <v>7.6999999999999993</v>
      </c>
    </row>
    <row r="135" spans="1:28" ht="12.75" x14ac:dyDescent="0.2">
      <c r="A135" s="224" t="s">
        <v>1505</v>
      </c>
      <c r="B135" s="291"/>
      <c r="C135" s="292"/>
      <c r="D135" s="292"/>
      <c r="E135" s="292"/>
      <c r="F135" s="292"/>
      <c r="G135" s="292"/>
      <c r="H135" s="292"/>
      <c r="I135" s="292"/>
      <c r="J135" s="292"/>
      <c r="K135" s="292"/>
      <c r="L135" s="292"/>
      <c r="M135" s="292"/>
      <c r="N135" s="292"/>
      <c r="O135" s="292"/>
      <c r="P135" s="292"/>
      <c r="Q135" s="292"/>
      <c r="R135" s="292"/>
      <c r="S135" s="292"/>
      <c r="T135" s="292"/>
      <c r="U135" s="292"/>
      <c r="V135" s="292"/>
      <c r="W135" s="292"/>
      <c r="X135" s="292"/>
      <c r="Y135" s="292"/>
      <c r="Z135" s="292"/>
      <c r="AA135" s="292"/>
      <c r="AB135" s="324"/>
    </row>
    <row r="136" spans="1:28" x14ac:dyDescent="0.2">
      <c r="A136" s="322" t="s">
        <v>1394</v>
      </c>
      <c r="B136" s="323"/>
      <c r="C136" s="277"/>
      <c r="D136" s="277"/>
      <c r="E136" s="277"/>
      <c r="F136" s="277"/>
      <c r="G136" s="277"/>
      <c r="H136" s="277"/>
      <c r="I136" s="277"/>
      <c r="J136" s="277"/>
      <c r="K136" s="277"/>
      <c r="L136" s="277"/>
      <c r="M136" s="277"/>
      <c r="N136" s="277"/>
      <c r="O136" s="277"/>
      <c r="P136" s="277"/>
      <c r="Q136" s="277"/>
      <c r="R136" s="277"/>
      <c r="S136" s="277"/>
      <c r="T136" s="277"/>
      <c r="U136" s="277"/>
      <c r="V136" s="277"/>
      <c r="W136" s="277"/>
      <c r="X136" s="277"/>
      <c r="Y136" s="277"/>
      <c r="Z136" s="277"/>
      <c r="AA136" s="277"/>
      <c r="AB136" s="278"/>
    </row>
    <row r="137" spans="1:28" x14ac:dyDescent="0.2">
      <c r="A137" s="314" t="s">
        <v>1406</v>
      </c>
      <c r="B137" s="303"/>
      <c r="C137" s="307"/>
      <c r="D137" s="307"/>
      <c r="E137" s="307"/>
      <c r="F137" s="307"/>
      <c r="G137" s="307"/>
      <c r="H137" s="307"/>
      <c r="I137" s="307"/>
      <c r="J137" s="307"/>
      <c r="K137" s="307"/>
      <c r="L137" s="307"/>
      <c r="M137" s="307"/>
      <c r="N137" s="307"/>
      <c r="O137" s="307"/>
      <c r="P137" s="307"/>
      <c r="Q137" s="307"/>
      <c r="R137" s="307"/>
      <c r="S137" s="307"/>
      <c r="T137" s="307"/>
      <c r="U137" s="307"/>
      <c r="V137" s="307"/>
      <c r="W137" s="307"/>
      <c r="X137" s="307"/>
      <c r="Y137" s="307"/>
      <c r="Z137" s="307"/>
      <c r="AA137" s="307"/>
      <c r="AB137" s="308"/>
    </row>
    <row r="138" spans="1:28" x14ac:dyDescent="0.2">
      <c r="A138" s="315" t="s">
        <v>1506</v>
      </c>
      <c r="B138" s="315" t="s">
        <v>1602</v>
      </c>
      <c r="C138" s="271">
        <v>58292</v>
      </c>
      <c r="D138" s="271">
        <v>56158</v>
      </c>
      <c r="E138" s="271">
        <v>52917</v>
      </c>
      <c r="F138" s="271">
        <v>54190</v>
      </c>
      <c r="G138" s="271">
        <v>58148</v>
      </c>
      <c r="H138" s="271">
        <v>50625</v>
      </c>
      <c r="I138" s="271">
        <v>51542</v>
      </c>
      <c r="J138" s="271">
        <v>48699</v>
      </c>
      <c r="K138" s="271">
        <v>47587</v>
      </c>
      <c r="L138" s="271">
        <v>45865</v>
      </c>
      <c r="M138" s="271">
        <v>44750</v>
      </c>
      <c r="N138" s="271">
        <v>44283</v>
      </c>
      <c r="O138" s="271">
        <v>42025</v>
      </c>
      <c r="P138" s="271">
        <v>41091</v>
      </c>
      <c r="Q138" s="271">
        <v>40605</v>
      </c>
      <c r="R138" s="271">
        <v>39645</v>
      </c>
      <c r="S138" s="271">
        <v>38704</v>
      </c>
      <c r="T138" s="271">
        <v>37720</v>
      </c>
      <c r="U138" s="271">
        <v>36813</v>
      </c>
      <c r="V138" s="271">
        <v>35623</v>
      </c>
      <c r="W138" s="271">
        <v>34592</v>
      </c>
      <c r="X138" s="271">
        <v>33669</v>
      </c>
      <c r="Y138" s="271">
        <v>32406</v>
      </c>
      <c r="Z138" s="271">
        <v>30904</v>
      </c>
      <c r="AA138" s="271">
        <v>29359</v>
      </c>
      <c r="AB138" s="271">
        <v>27770</v>
      </c>
    </row>
    <row r="139" spans="1:28" x14ac:dyDescent="0.2">
      <c r="A139" s="316" t="s">
        <v>1507</v>
      </c>
      <c r="B139" s="316" t="s">
        <v>1602</v>
      </c>
      <c r="C139" s="273">
        <v>108941</v>
      </c>
      <c r="D139" s="273">
        <v>102816</v>
      </c>
      <c r="E139" s="273">
        <v>99619</v>
      </c>
      <c r="F139" s="273">
        <v>99335</v>
      </c>
      <c r="G139" s="273">
        <v>99224</v>
      </c>
      <c r="H139" s="273">
        <v>94058</v>
      </c>
      <c r="I139" s="273">
        <v>88412</v>
      </c>
      <c r="J139" s="273">
        <v>87650</v>
      </c>
      <c r="K139" s="273">
        <v>86639</v>
      </c>
      <c r="L139" s="273">
        <v>84534</v>
      </c>
      <c r="M139" s="273">
        <v>82800</v>
      </c>
      <c r="N139" s="273">
        <v>81291</v>
      </c>
      <c r="O139" s="273">
        <v>78119</v>
      </c>
      <c r="P139" s="273">
        <v>74042</v>
      </c>
      <c r="Q139" s="273">
        <v>75801</v>
      </c>
      <c r="R139" s="273">
        <v>72458</v>
      </c>
      <c r="S139" s="273">
        <v>72286</v>
      </c>
      <c r="T139" s="273">
        <v>71065</v>
      </c>
      <c r="U139" s="273">
        <v>70434</v>
      </c>
      <c r="V139" s="273">
        <v>67758</v>
      </c>
      <c r="W139" s="273">
        <v>67443</v>
      </c>
      <c r="X139" s="273">
        <v>64981</v>
      </c>
      <c r="Y139" s="273">
        <v>63703</v>
      </c>
      <c r="Z139" s="273">
        <v>60619</v>
      </c>
      <c r="AA139" s="273">
        <v>58520</v>
      </c>
      <c r="AB139" s="273">
        <v>55863</v>
      </c>
    </row>
    <row r="140" spans="1:28" x14ac:dyDescent="0.2">
      <c r="A140" s="316" t="s">
        <v>1508</v>
      </c>
      <c r="B140" s="316" t="s">
        <v>1602</v>
      </c>
      <c r="C140" s="273">
        <v>465538</v>
      </c>
      <c r="D140" s="273">
        <v>473727</v>
      </c>
      <c r="E140" s="273">
        <v>469106</v>
      </c>
      <c r="F140" s="273">
        <v>481702</v>
      </c>
      <c r="G140" s="273">
        <v>509301</v>
      </c>
      <c r="H140" s="273">
        <v>503288</v>
      </c>
      <c r="I140" s="273">
        <v>484526</v>
      </c>
      <c r="J140" s="273">
        <v>515575</v>
      </c>
      <c r="K140" s="273">
        <v>484963</v>
      </c>
      <c r="L140" s="273">
        <v>459298</v>
      </c>
      <c r="M140" s="273">
        <v>471510</v>
      </c>
      <c r="N140" s="273">
        <v>475329</v>
      </c>
      <c r="O140" s="273">
        <v>480982</v>
      </c>
      <c r="P140" s="273">
        <v>483782</v>
      </c>
      <c r="Q140" s="273">
        <v>498978</v>
      </c>
      <c r="R140" s="273">
        <v>490156</v>
      </c>
      <c r="S140" s="273">
        <v>491331</v>
      </c>
      <c r="T140" s="273">
        <v>489541</v>
      </c>
      <c r="U140" s="273">
        <v>487687</v>
      </c>
      <c r="V140" s="273">
        <v>488352</v>
      </c>
      <c r="W140" s="273">
        <v>488756</v>
      </c>
      <c r="X140" s="273">
        <v>488863</v>
      </c>
      <c r="Y140" s="273">
        <v>487688</v>
      </c>
      <c r="Z140" s="273">
        <v>486850</v>
      </c>
      <c r="AA140" s="273">
        <v>486530</v>
      </c>
      <c r="AB140" s="273">
        <v>484749</v>
      </c>
    </row>
    <row r="141" spans="1:28" x14ac:dyDescent="0.2">
      <c r="A141" s="316" t="s">
        <v>1509</v>
      </c>
      <c r="B141" s="316" t="s">
        <v>1602</v>
      </c>
      <c r="C141" s="273">
        <v>311386</v>
      </c>
      <c r="D141" s="273">
        <v>255681</v>
      </c>
      <c r="E141" s="273">
        <v>267283</v>
      </c>
      <c r="F141" s="273">
        <v>293547</v>
      </c>
      <c r="G141" s="273">
        <v>333689</v>
      </c>
      <c r="H141" s="273">
        <v>353735</v>
      </c>
      <c r="I141" s="273">
        <v>350699</v>
      </c>
      <c r="J141" s="273">
        <v>416896</v>
      </c>
      <c r="K141" s="273">
        <v>400627</v>
      </c>
      <c r="L141" s="273">
        <v>415210</v>
      </c>
      <c r="M141" s="273">
        <v>449425</v>
      </c>
      <c r="N141" s="273">
        <v>498234</v>
      </c>
      <c r="O141" s="273">
        <v>532499</v>
      </c>
      <c r="P141" s="273">
        <v>505768</v>
      </c>
      <c r="Q141" s="273">
        <v>542841</v>
      </c>
      <c r="R141" s="273">
        <v>560301</v>
      </c>
      <c r="S141" s="273">
        <v>582931</v>
      </c>
      <c r="T141" s="273">
        <v>602770</v>
      </c>
      <c r="U141" s="273">
        <v>612648</v>
      </c>
      <c r="V141" s="273">
        <v>626415</v>
      </c>
      <c r="W141" s="273">
        <v>637427</v>
      </c>
      <c r="X141" s="273">
        <v>649826</v>
      </c>
      <c r="Y141" s="273">
        <v>662020</v>
      </c>
      <c r="Z141" s="273">
        <v>675166</v>
      </c>
      <c r="AA141" s="273">
        <v>690291</v>
      </c>
      <c r="AB141" s="273">
        <v>706594</v>
      </c>
    </row>
    <row r="142" spans="1:28" x14ac:dyDescent="0.2">
      <c r="A142" s="316" t="s">
        <v>1651</v>
      </c>
      <c r="B142" s="316" t="s">
        <v>1602</v>
      </c>
      <c r="C142" s="273">
        <v>944157</v>
      </c>
      <c r="D142" s="273">
        <v>888382</v>
      </c>
      <c r="E142" s="273">
        <v>888925</v>
      </c>
      <c r="F142" s="273">
        <v>928774</v>
      </c>
      <c r="G142" s="273">
        <v>1000362</v>
      </c>
      <c r="H142" s="273">
        <v>1001706</v>
      </c>
      <c r="I142" s="273">
        <v>975179</v>
      </c>
      <c r="J142" s="273">
        <v>1068820</v>
      </c>
      <c r="K142" s="273">
        <v>1019816</v>
      </c>
      <c r="L142" s="273">
        <v>1004907</v>
      </c>
      <c r="M142" s="273">
        <v>1048485</v>
      </c>
      <c r="N142" s="273">
        <v>1099137</v>
      </c>
      <c r="O142" s="273">
        <v>1133625</v>
      </c>
      <c r="P142" s="273">
        <v>1104683</v>
      </c>
      <c r="Q142" s="273">
        <v>1158225</v>
      </c>
      <c r="R142" s="273">
        <v>1162560</v>
      </c>
      <c r="S142" s="273">
        <v>1185252</v>
      </c>
      <c r="T142" s="273">
        <v>1201096</v>
      </c>
      <c r="U142" s="273">
        <v>1207582</v>
      </c>
      <c r="V142" s="273">
        <v>1218148</v>
      </c>
      <c r="W142" s="273">
        <v>1228218</v>
      </c>
      <c r="X142" s="273">
        <v>1237339</v>
      </c>
      <c r="Y142" s="273">
        <v>1245817</v>
      </c>
      <c r="Z142" s="273">
        <v>1253539</v>
      </c>
      <c r="AA142" s="273">
        <v>1264700</v>
      </c>
      <c r="AB142" s="273">
        <v>1274976</v>
      </c>
    </row>
    <row r="143" spans="1:28" x14ac:dyDescent="0.2">
      <c r="A143" s="316" t="s">
        <v>1510</v>
      </c>
      <c r="B143" s="316" t="s">
        <v>1652</v>
      </c>
      <c r="C143" s="273">
        <v>7633526</v>
      </c>
      <c r="D143" s="273">
        <v>7201784</v>
      </c>
      <c r="E143" s="273">
        <v>7138563</v>
      </c>
      <c r="F143" s="273">
        <v>6933064</v>
      </c>
      <c r="G143" s="273">
        <v>6529108</v>
      </c>
      <c r="H143" s="273">
        <v>6151653</v>
      </c>
      <c r="I143" s="273">
        <v>5775613</v>
      </c>
      <c r="J143" s="273">
        <v>5619584</v>
      </c>
      <c r="K143" s="273">
        <v>5463253</v>
      </c>
      <c r="L143" s="273">
        <v>5751250</v>
      </c>
      <c r="M143" s="273">
        <v>5675520</v>
      </c>
      <c r="N143" s="273">
        <v>5449653</v>
      </c>
      <c r="O143" s="273">
        <v>5186134</v>
      </c>
      <c r="P143" s="273">
        <v>4840347</v>
      </c>
      <c r="Q143" s="273">
        <v>4809606</v>
      </c>
      <c r="R143" s="273">
        <v>5507356</v>
      </c>
      <c r="S143" s="273">
        <v>5658533</v>
      </c>
      <c r="T143" s="273">
        <v>5457880</v>
      </c>
      <c r="U143" s="273">
        <v>5415333</v>
      </c>
      <c r="V143" s="273">
        <v>5221143</v>
      </c>
      <c r="W143" s="273">
        <v>4226682</v>
      </c>
      <c r="X143" s="273">
        <v>4142891</v>
      </c>
      <c r="Y143" s="273">
        <v>3917081</v>
      </c>
      <c r="Z143" s="273">
        <v>3669003</v>
      </c>
      <c r="AA143" s="273">
        <v>3432641</v>
      </c>
      <c r="AB143" s="273">
        <v>3297457</v>
      </c>
    </row>
    <row r="144" spans="1:28" x14ac:dyDescent="0.2">
      <c r="A144" s="316" t="s">
        <v>1511</v>
      </c>
      <c r="B144" s="316" t="s">
        <v>1652</v>
      </c>
      <c r="C144" s="273">
        <v>19781581</v>
      </c>
      <c r="D144" s="273">
        <v>23276047</v>
      </c>
      <c r="E144" s="273">
        <v>19742086</v>
      </c>
      <c r="F144" s="273">
        <v>19843107</v>
      </c>
      <c r="G144" s="273">
        <v>21520667</v>
      </c>
      <c r="H144" s="273">
        <v>21002455</v>
      </c>
      <c r="I144" s="273">
        <v>18593770</v>
      </c>
      <c r="J144" s="273">
        <v>20557061</v>
      </c>
      <c r="K144" s="273">
        <v>18478344</v>
      </c>
      <c r="L144" s="273">
        <v>18310719</v>
      </c>
      <c r="M144" s="273">
        <v>17855560</v>
      </c>
      <c r="N144" s="273">
        <v>17911402</v>
      </c>
      <c r="O144" s="273">
        <v>17778463</v>
      </c>
      <c r="P144" s="273">
        <v>17258710</v>
      </c>
      <c r="Q144" s="273">
        <v>18283248</v>
      </c>
      <c r="R144" s="273">
        <v>16529118</v>
      </c>
      <c r="S144" s="273">
        <v>16027531</v>
      </c>
      <c r="T144" s="273">
        <v>15781496</v>
      </c>
      <c r="U144" s="273">
        <v>15672810</v>
      </c>
      <c r="V144" s="273">
        <v>15470934</v>
      </c>
      <c r="W144" s="273">
        <v>15324950</v>
      </c>
      <c r="X144" s="273">
        <v>15276929</v>
      </c>
      <c r="Y144" s="273">
        <v>14954949</v>
      </c>
      <c r="Z144" s="273">
        <v>14757332</v>
      </c>
      <c r="AA144" s="273">
        <v>14593093</v>
      </c>
      <c r="AB144" s="273">
        <v>14330139</v>
      </c>
    </row>
    <row r="145" spans="1:28" x14ac:dyDescent="0.2">
      <c r="A145" s="316" t="s">
        <v>1512</v>
      </c>
      <c r="B145" s="316" t="s">
        <v>1652</v>
      </c>
      <c r="C145" s="273">
        <v>18879865</v>
      </c>
      <c r="D145" s="273">
        <v>19509092</v>
      </c>
      <c r="E145" s="273">
        <v>20692674</v>
      </c>
      <c r="F145" s="273">
        <v>22630182</v>
      </c>
      <c r="G145" s="273">
        <v>25112436</v>
      </c>
      <c r="H145" s="273">
        <v>26044545</v>
      </c>
      <c r="I145" s="273">
        <v>26187536</v>
      </c>
      <c r="J145" s="273">
        <v>29460189</v>
      </c>
      <c r="K145" s="273">
        <v>28629388</v>
      </c>
      <c r="L145" s="273">
        <v>28796952</v>
      </c>
      <c r="M145" s="273">
        <v>31795871</v>
      </c>
      <c r="N145" s="273">
        <v>32706753</v>
      </c>
      <c r="O145" s="273">
        <v>34547274</v>
      </c>
      <c r="P145" s="273">
        <v>35071961</v>
      </c>
      <c r="Q145" s="273">
        <v>37261819</v>
      </c>
      <c r="R145" s="273">
        <v>38549089</v>
      </c>
      <c r="S145" s="273">
        <v>39944585</v>
      </c>
      <c r="T145" s="273">
        <v>41130155</v>
      </c>
      <c r="U145" s="273">
        <v>42020192</v>
      </c>
      <c r="V145" s="273">
        <v>42719579</v>
      </c>
      <c r="W145" s="273">
        <v>43452685</v>
      </c>
      <c r="X145" s="273">
        <v>44301673</v>
      </c>
      <c r="Y145" s="273">
        <v>45178843</v>
      </c>
      <c r="Z145" s="273">
        <v>46162568</v>
      </c>
      <c r="AA145" s="273">
        <v>46762321</v>
      </c>
      <c r="AB145" s="273">
        <v>47517936</v>
      </c>
    </row>
    <row r="146" spans="1:28" x14ac:dyDescent="0.2">
      <c r="A146" s="316" t="s">
        <v>1513</v>
      </c>
      <c r="B146" s="316" t="s">
        <v>1652</v>
      </c>
      <c r="C146" s="273">
        <v>1588111</v>
      </c>
      <c r="D146" s="273">
        <v>1636252</v>
      </c>
      <c r="E146" s="273">
        <v>1568685</v>
      </c>
      <c r="F146" s="273">
        <v>1608674</v>
      </c>
      <c r="G146" s="273">
        <v>1577809</v>
      </c>
      <c r="H146" s="273">
        <v>1445380</v>
      </c>
      <c r="I146" s="273">
        <v>1519625</v>
      </c>
      <c r="J146" s="273">
        <v>1570346</v>
      </c>
      <c r="K146" s="273">
        <v>1464019</v>
      </c>
      <c r="L146" s="273">
        <v>1458518</v>
      </c>
      <c r="M146" s="273">
        <v>1434091</v>
      </c>
      <c r="N146" s="273">
        <v>1393987</v>
      </c>
      <c r="O146" s="273">
        <v>1364545</v>
      </c>
      <c r="P146" s="273">
        <v>1366377</v>
      </c>
      <c r="Q146" s="273">
        <v>1422685</v>
      </c>
      <c r="R146" s="273">
        <v>1247011</v>
      </c>
      <c r="S146" s="273">
        <v>1247236</v>
      </c>
      <c r="T146" s="273">
        <v>1229031</v>
      </c>
      <c r="U146" s="273">
        <v>1146843</v>
      </c>
      <c r="V146" s="273">
        <v>1086696</v>
      </c>
      <c r="W146" s="273">
        <v>1078351</v>
      </c>
      <c r="X146" s="273">
        <v>1056628</v>
      </c>
      <c r="Y146" s="273">
        <v>1009288</v>
      </c>
      <c r="Z146" s="273">
        <v>973107</v>
      </c>
      <c r="AA146" s="273">
        <v>935595</v>
      </c>
      <c r="AB146" s="273">
        <v>895398</v>
      </c>
    </row>
    <row r="147" spans="1:28" x14ac:dyDescent="0.2">
      <c r="A147" s="317" t="s">
        <v>1653</v>
      </c>
      <c r="B147" s="317" t="s">
        <v>1652</v>
      </c>
      <c r="C147" s="275">
        <v>47883083</v>
      </c>
      <c r="D147" s="275">
        <v>51623175</v>
      </c>
      <c r="E147" s="275">
        <v>49142008</v>
      </c>
      <c r="F147" s="275">
        <v>51015027</v>
      </c>
      <c r="G147" s="275">
        <v>54740020</v>
      </c>
      <c r="H147" s="275">
        <v>54644033</v>
      </c>
      <c r="I147" s="275">
        <v>52076544</v>
      </c>
      <c r="J147" s="275">
        <v>57207180</v>
      </c>
      <c r="K147" s="275">
        <v>54035004</v>
      </c>
      <c r="L147" s="275">
        <v>54317439</v>
      </c>
      <c r="M147" s="275">
        <v>56761042</v>
      </c>
      <c r="N147" s="275">
        <v>57461795</v>
      </c>
      <c r="O147" s="275">
        <v>58876416</v>
      </c>
      <c r="P147" s="275">
        <v>58537395</v>
      </c>
      <c r="Q147" s="275">
        <v>61777358</v>
      </c>
      <c r="R147" s="275">
        <v>61832574</v>
      </c>
      <c r="S147" s="275">
        <v>62877885</v>
      </c>
      <c r="T147" s="275">
        <v>63598562</v>
      </c>
      <c r="U147" s="275">
        <v>64255178</v>
      </c>
      <c r="V147" s="275">
        <v>64498352</v>
      </c>
      <c r="W147" s="275">
        <v>64082668</v>
      </c>
      <c r="X147" s="275">
        <v>64778121</v>
      </c>
      <c r="Y147" s="275">
        <v>65060161</v>
      </c>
      <c r="Z147" s="275">
        <v>65562010</v>
      </c>
      <c r="AA147" s="275">
        <v>65723650</v>
      </c>
      <c r="AB147" s="275">
        <v>66040930</v>
      </c>
    </row>
    <row r="148" spans="1:28" x14ac:dyDescent="0.2">
      <c r="A148" s="314" t="s">
        <v>1514</v>
      </c>
      <c r="B148" s="303"/>
      <c r="C148" s="307"/>
      <c r="D148" s="307"/>
      <c r="E148" s="307"/>
      <c r="F148" s="307"/>
      <c r="G148" s="307"/>
      <c r="H148" s="307"/>
      <c r="I148" s="307"/>
      <c r="J148" s="307"/>
      <c r="K148" s="307"/>
      <c r="L148" s="307"/>
      <c r="M148" s="307"/>
      <c r="N148" s="307"/>
      <c r="O148" s="307"/>
      <c r="P148" s="307"/>
      <c r="Q148" s="307"/>
      <c r="R148" s="307"/>
      <c r="S148" s="307"/>
      <c r="T148" s="307"/>
      <c r="U148" s="307"/>
      <c r="V148" s="307"/>
      <c r="W148" s="307"/>
      <c r="X148" s="307"/>
      <c r="Y148" s="307"/>
      <c r="Z148" s="307"/>
      <c r="AA148" s="307"/>
      <c r="AB148" s="308"/>
    </row>
    <row r="149" spans="1:28" x14ac:dyDescent="0.2">
      <c r="A149" s="315" t="s">
        <v>1515</v>
      </c>
      <c r="B149" s="315" t="s">
        <v>1601</v>
      </c>
      <c r="C149" s="271">
        <v>4634.551227610239</v>
      </c>
      <c r="D149" s="271">
        <v>4675.5287879795706</v>
      </c>
      <c r="E149" s="271">
        <v>4602.8756584420162</v>
      </c>
      <c r="F149" s="271">
        <v>4832.3342646478477</v>
      </c>
      <c r="G149" s="271">
        <v>5210.3567837569526</v>
      </c>
      <c r="H149" s="271">
        <v>5094.4060470041095</v>
      </c>
      <c r="I149" s="271">
        <v>5077.8561296161197</v>
      </c>
      <c r="J149" s="271">
        <v>5196.2494164305599</v>
      </c>
      <c r="K149" s="271">
        <v>5447.1323241220625</v>
      </c>
      <c r="L149" s="271">
        <v>5286.9679368048646</v>
      </c>
      <c r="M149" s="271">
        <v>5357.0027307137007</v>
      </c>
      <c r="N149" s="271">
        <v>5507.5726094454631</v>
      </c>
      <c r="O149" s="271">
        <v>5691.7807846955402</v>
      </c>
      <c r="P149" s="271">
        <v>5610.5994423999373</v>
      </c>
      <c r="Q149" s="271">
        <v>5769.3828978613828</v>
      </c>
      <c r="R149" s="271">
        <v>5879.0441329171554</v>
      </c>
      <c r="S149" s="271">
        <v>6059.1670099986504</v>
      </c>
      <c r="T149" s="271">
        <v>3913.8803161251049</v>
      </c>
      <c r="U149" s="271">
        <v>4054.7866383913624</v>
      </c>
      <c r="V149" s="271">
        <v>3961.1253771202614</v>
      </c>
      <c r="W149" s="271">
        <v>3963.6119592779014</v>
      </c>
      <c r="X149" s="271">
        <v>3971.9830873976875</v>
      </c>
      <c r="Y149" s="271">
        <v>3827.1634988819537</v>
      </c>
      <c r="Z149" s="271">
        <v>3919.326807598803</v>
      </c>
      <c r="AA149" s="271">
        <v>4171.7545686266994</v>
      </c>
      <c r="AB149" s="271">
        <v>4025.9435696132564</v>
      </c>
    </row>
    <row r="150" spans="1:28" x14ac:dyDescent="0.2">
      <c r="A150" s="316" t="s">
        <v>1516</v>
      </c>
      <c r="B150" s="316" t="s">
        <v>1601</v>
      </c>
      <c r="C150" s="273">
        <v>16913.14325260976</v>
      </c>
      <c r="D150" s="273">
        <v>17062.685099194619</v>
      </c>
      <c r="E150" s="273">
        <v>16797.547715385252</v>
      </c>
      <c r="F150" s="273">
        <v>17634.924645039893</v>
      </c>
      <c r="G150" s="273">
        <v>19014.464692049249</v>
      </c>
      <c r="H150" s="273">
        <v>18591.318776806515</v>
      </c>
      <c r="I150" s="273">
        <v>18530.92217962697</v>
      </c>
      <c r="J150" s="273">
        <v>18962.981837984109</v>
      </c>
      <c r="K150" s="273">
        <v>19878.543744418279</v>
      </c>
      <c r="L150" s="273">
        <v>19294.04632630277</v>
      </c>
      <c r="M150" s="273">
        <v>19549.628462279707</v>
      </c>
      <c r="N150" s="273">
        <v>20099.112069958268</v>
      </c>
      <c r="O150" s="273">
        <v>20771.353912436058</v>
      </c>
      <c r="P150" s="273">
        <v>20475.09401492864</v>
      </c>
      <c r="Q150" s="273">
        <v>21054.551916346329</v>
      </c>
      <c r="R150" s="273">
        <v>21454.745179225149</v>
      </c>
      <c r="S150" s="273">
        <v>22112.078300283869</v>
      </c>
      <c r="T150" s="273">
        <v>14283.156061763244</v>
      </c>
      <c r="U150" s="273">
        <v>14797.373878472212</v>
      </c>
      <c r="V150" s="273">
        <v>14455.570270895074</v>
      </c>
      <c r="W150" s="273">
        <v>14464.644702954643</v>
      </c>
      <c r="X150" s="273">
        <v>14495.193958345846</v>
      </c>
      <c r="Y150" s="273">
        <v>13966.695226525037</v>
      </c>
      <c r="Z150" s="273">
        <v>14303.03226681412</v>
      </c>
      <c r="AA150" s="273">
        <v>15224.231898348195</v>
      </c>
      <c r="AB150" s="273">
        <v>14692.115153272938</v>
      </c>
    </row>
    <row r="151" spans="1:28" x14ac:dyDescent="0.2">
      <c r="A151" s="316" t="s">
        <v>1517</v>
      </c>
      <c r="B151" s="316" t="s">
        <v>1601</v>
      </c>
      <c r="C151" s="273">
        <v>9040.1158374409624</v>
      </c>
      <c r="D151" s="273">
        <v>9120.0463149093284</v>
      </c>
      <c r="E151" s="273">
        <v>8978.3297441528612</v>
      </c>
      <c r="F151" s="273">
        <v>9425.9097315399213</v>
      </c>
      <c r="G151" s="273">
        <v>10163.277212030514</v>
      </c>
      <c r="H151" s="273">
        <v>9937.1047003453168</v>
      </c>
      <c r="I151" s="273">
        <v>9904.822573567606</v>
      </c>
      <c r="J151" s="273">
        <v>10135.759502433919</v>
      </c>
      <c r="K151" s="273">
        <v>10625.129548373548</v>
      </c>
      <c r="L151" s="273">
        <v>10312.714269467067</v>
      </c>
      <c r="M151" s="273">
        <v>10449.323537224293</v>
      </c>
      <c r="N151" s="273">
        <v>10743.023850051872</v>
      </c>
      <c r="O151" s="273">
        <v>11102.338735286834</v>
      </c>
      <c r="P151" s="273">
        <v>10943.987105938329</v>
      </c>
      <c r="Q151" s="273">
        <v>11253.708751022134</v>
      </c>
      <c r="R151" s="273">
        <v>11467.613014691738</v>
      </c>
      <c r="S151" s="273">
        <v>11818.959152390918</v>
      </c>
      <c r="T151" s="273">
        <v>7634.38134438215</v>
      </c>
      <c r="U151" s="273">
        <v>7909.2320069287325</v>
      </c>
      <c r="V151" s="273">
        <v>7726.5371547654158</v>
      </c>
      <c r="W151" s="273">
        <v>7731.3874605750616</v>
      </c>
      <c r="X151" s="273">
        <v>7747.7161112202602</v>
      </c>
      <c r="Y151" s="273">
        <v>7465.2322651224285</v>
      </c>
      <c r="Z151" s="273">
        <v>7645.0052238931885</v>
      </c>
      <c r="AA151" s="273">
        <v>8137.3886474883839</v>
      </c>
      <c r="AB151" s="273">
        <v>7852.970964584877</v>
      </c>
    </row>
    <row r="152" spans="1:28" x14ac:dyDescent="0.2">
      <c r="A152" s="316" t="s">
        <v>1518</v>
      </c>
      <c r="B152" s="316" t="s">
        <v>1601</v>
      </c>
      <c r="C152" s="273">
        <v>5066.9885209610411</v>
      </c>
      <c r="D152" s="273">
        <v>5111.7895853599894</v>
      </c>
      <c r="E152" s="273">
        <v>5032.3573911087869</v>
      </c>
      <c r="F152" s="273">
        <v>5283.2261519834374</v>
      </c>
      <c r="G152" s="273">
        <v>5696.5209179533213</v>
      </c>
      <c r="H152" s="273">
        <v>5569.7511352344491</v>
      </c>
      <c r="I152" s="273">
        <v>5551.6569903411491</v>
      </c>
      <c r="J152" s="273">
        <v>5681.0972307842239</v>
      </c>
      <c r="K152" s="273">
        <v>5955.3893360920474</v>
      </c>
      <c r="L152" s="273">
        <v>5780.2804480581417</v>
      </c>
      <c r="M152" s="273">
        <v>5856.8499969477607</v>
      </c>
      <c r="N152" s="273">
        <v>6021.4691390539401</v>
      </c>
      <c r="O152" s="273">
        <v>6222.8652750808178</v>
      </c>
      <c r="P152" s="273">
        <v>6134.1091238751842</v>
      </c>
      <c r="Q152" s="273">
        <v>6307.708229080572</v>
      </c>
      <c r="R152" s="273">
        <v>6427.6016539092207</v>
      </c>
      <c r="S152" s="273">
        <v>6624.5313037741607</v>
      </c>
      <c r="T152" s="273">
        <v>4279.0737787242542</v>
      </c>
      <c r="U152" s="273">
        <v>4433.1276843538863</v>
      </c>
      <c r="V152" s="273">
        <v>4330.7271470824244</v>
      </c>
      <c r="W152" s="273">
        <v>4333.4457454170652</v>
      </c>
      <c r="X152" s="273">
        <v>4342.5979605954744</v>
      </c>
      <c r="Y152" s="273">
        <v>4184.2656525506454</v>
      </c>
      <c r="Z152" s="273">
        <v>4285.028467413923</v>
      </c>
      <c r="AA152" s="273">
        <v>4561.0095720957179</v>
      </c>
      <c r="AB152" s="273">
        <v>4401.5933477524732</v>
      </c>
    </row>
    <row r="153" spans="1:28" x14ac:dyDescent="0.2">
      <c r="A153" s="316" t="s">
        <v>1519</v>
      </c>
      <c r="B153" s="316" t="s">
        <v>1601</v>
      </c>
      <c r="C153" s="273">
        <v>2975.8504011993409</v>
      </c>
      <c r="D153" s="273">
        <v>3002.1621374336441</v>
      </c>
      <c r="E153" s="273">
        <v>2955.511483667065</v>
      </c>
      <c r="F153" s="273">
        <v>3102.8471051331294</v>
      </c>
      <c r="G153" s="273">
        <v>3345.5757772106799</v>
      </c>
      <c r="H153" s="273">
        <v>3271.1236825980091</v>
      </c>
      <c r="I153" s="273">
        <v>3260.4969625813092</v>
      </c>
      <c r="J153" s="273">
        <v>3336.5174212542261</v>
      </c>
      <c r="K153" s="273">
        <v>3497.6096100858053</v>
      </c>
      <c r="L153" s="273">
        <v>3394.7678821928766</v>
      </c>
      <c r="M153" s="273">
        <v>3439.7372997947164</v>
      </c>
      <c r="N153" s="273">
        <v>3536.4183832539011</v>
      </c>
      <c r="O153" s="273">
        <v>3654.6986536188924</v>
      </c>
      <c r="P153" s="273">
        <v>3602.572025133044</v>
      </c>
      <c r="Q153" s="273">
        <v>3704.5270551743038</v>
      </c>
      <c r="R153" s="273">
        <v>3774.9406538831927</v>
      </c>
      <c r="S153" s="273">
        <v>3890.5977498356178</v>
      </c>
      <c r="T153" s="273">
        <v>2513.1068224253549</v>
      </c>
      <c r="U153" s="273">
        <v>2603.5829257316468</v>
      </c>
      <c r="V153" s="273">
        <v>2543.4429276515821</v>
      </c>
      <c r="W153" s="273">
        <v>2545.0395647687524</v>
      </c>
      <c r="X153" s="273">
        <v>1859.826175018809</v>
      </c>
      <c r="Y153" s="273">
        <v>1812.1351801869687</v>
      </c>
      <c r="Z153" s="273">
        <v>1488.9925012225592</v>
      </c>
      <c r="AA153" s="273">
        <v>1512.5533685491857</v>
      </c>
      <c r="AB153" s="273">
        <v>4328</v>
      </c>
    </row>
    <row r="154" spans="1:28" x14ac:dyDescent="0.2">
      <c r="A154" s="316" t="s">
        <v>1520</v>
      </c>
      <c r="B154" s="316" t="s">
        <v>1601</v>
      </c>
      <c r="C154" s="273">
        <v>15328.550876818888</v>
      </c>
      <c r="D154" s="273">
        <v>15464.082147934669</v>
      </c>
      <c r="E154" s="273">
        <v>15223.785485370692</v>
      </c>
      <c r="F154" s="273">
        <v>15982.708571255687</v>
      </c>
      <c r="G154" s="273">
        <v>17232.999512528775</v>
      </c>
      <c r="H154" s="273">
        <v>16849.498137696188</v>
      </c>
      <c r="I154" s="273">
        <v>16794.76009765088</v>
      </c>
      <c r="J154" s="273">
        <v>17186.340087013676</v>
      </c>
      <c r="K154" s="273">
        <v>18016.122999275591</v>
      </c>
      <c r="L154" s="273">
        <v>17486.387143726068</v>
      </c>
      <c r="M154" s="273">
        <v>17718.023789618248</v>
      </c>
      <c r="N154" s="273">
        <v>18216.026278598478</v>
      </c>
      <c r="O154" s="273">
        <v>18825.285783472431</v>
      </c>
      <c r="P154" s="273">
        <v>18556.78247549017</v>
      </c>
      <c r="Q154" s="273">
        <v>19081.950966656656</v>
      </c>
      <c r="R154" s="273">
        <v>19444.650123104209</v>
      </c>
      <c r="S154" s="273">
        <v>20040.397704655141</v>
      </c>
      <c r="T154" s="273">
        <v>12944.967183465364</v>
      </c>
      <c r="U154" s="273">
        <v>13411.007933399525</v>
      </c>
      <c r="V154" s="273">
        <v>13101.227905502112</v>
      </c>
      <c r="W154" s="273">
        <v>13109.452154030361</v>
      </c>
      <c r="X154" s="273">
        <v>13137.139249712041</v>
      </c>
      <c r="Y154" s="273">
        <v>12658.155563589738</v>
      </c>
      <c r="Z154" s="273">
        <v>12962.981186883291</v>
      </c>
      <c r="AA154" s="273">
        <v>13797.873625785682</v>
      </c>
      <c r="AB154" s="273">
        <v>13315.61089806742</v>
      </c>
    </row>
    <row r="155" spans="1:28" x14ac:dyDescent="0.2">
      <c r="A155" s="316" t="s">
        <v>1521</v>
      </c>
      <c r="B155" s="316" t="s">
        <v>1601</v>
      </c>
      <c r="C155" s="273">
        <v>6886.7402490055865</v>
      </c>
      <c r="D155" s="273">
        <v>6947.6311099416616</v>
      </c>
      <c r="E155" s="273">
        <v>6839.6717398042229</v>
      </c>
      <c r="F155" s="273">
        <v>7180.6371841873361</v>
      </c>
      <c r="G155" s="273">
        <v>7742.3620998317674</v>
      </c>
      <c r="H155" s="273">
        <v>7570.0643807040824</v>
      </c>
      <c r="I155" s="273">
        <v>7545.4719279301034</v>
      </c>
      <c r="J155" s="273">
        <v>7721.399169527881</v>
      </c>
      <c r="K155" s="273">
        <v>8094.2001880803355</v>
      </c>
      <c r="L155" s="273">
        <v>7856.2029196450439</v>
      </c>
      <c r="M155" s="273">
        <v>7960.2715576545734</v>
      </c>
      <c r="N155" s="273">
        <v>8184.011806326851</v>
      </c>
      <c r="O155" s="273">
        <v>8457.7370911252929</v>
      </c>
      <c r="P155" s="273">
        <v>8337.1051701477554</v>
      </c>
      <c r="Q155" s="273">
        <v>8573.0504342950171</v>
      </c>
      <c r="R155" s="273">
        <v>8736.0022292207304</v>
      </c>
      <c r="S155" s="273">
        <v>9003.656939772598</v>
      </c>
      <c r="T155" s="273">
        <v>5815.8548215569017</v>
      </c>
      <c r="U155" s="273">
        <v>6025.2354483389163</v>
      </c>
      <c r="V155" s="273">
        <v>5886.058914066165</v>
      </c>
      <c r="W155" s="273">
        <v>5889.7538663034957</v>
      </c>
      <c r="X155" s="273">
        <v>4304.0267650867618</v>
      </c>
      <c r="Y155" s="273">
        <v>4193.6598281294519</v>
      </c>
      <c r="Z155" s="273">
        <v>3445.8400813778017</v>
      </c>
      <c r="AA155" s="273">
        <v>3500.364856297389</v>
      </c>
      <c r="AB155" s="273">
        <v>12060</v>
      </c>
    </row>
    <row r="156" spans="1:28" x14ac:dyDescent="0.2">
      <c r="A156" s="316" t="s">
        <v>1522</v>
      </c>
      <c r="B156" s="316" t="s">
        <v>1601</v>
      </c>
      <c r="C156" s="273">
        <v>45998.999771106442</v>
      </c>
      <c r="D156" s="273">
        <v>46405.711596583729</v>
      </c>
      <c r="E156" s="273">
        <v>45684.612373630189</v>
      </c>
      <c r="F156" s="273">
        <v>47962.042453906368</v>
      </c>
      <c r="G156" s="273">
        <v>51714.003952655214</v>
      </c>
      <c r="H156" s="273">
        <v>50563.165899214626</v>
      </c>
      <c r="I156" s="273">
        <v>50398.904116626771</v>
      </c>
      <c r="J156" s="273">
        <v>51573.985048008799</v>
      </c>
      <c r="K156" s="273">
        <v>54064.056307708008</v>
      </c>
      <c r="L156" s="273">
        <v>52474.387480303085</v>
      </c>
      <c r="M156" s="273">
        <v>53169.499112641912</v>
      </c>
      <c r="N156" s="273">
        <v>54663.940208913758</v>
      </c>
      <c r="O156" s="273">
        <v>56492.249228497829</v>
      </c>
      <c r="P156" s="273">
        <v>55686.505508711809</v>
      </c>
      <c r="Q156" s="273">
        <v>57262.4682659932</v>
      </c>
      <c r="R156" s="273">
        <v>58350.881551011691</v>
      </c>
      <c r="S156" s="273">
        <v>60138.643035291381</v>
      </c>
      <c r="T156" s="273">
        <v>38846.173215871386</v>
      </c>
      <c r="U156" s="273">
        <v>40244.701264727402</v>
      </c>
      <c r="V156" s="273">
        <v>39315.09144401722</v>
      </c>
      <c r="W156" s="273">
        <v>39339.771350761745</v>
      </c>
      <c r="X156" s="273">
        <v>39422.856745993093</v>
      </c>
      <c r="Y156" s="273">
        <v>37985.488618675634</v>
      </c>
      <c r="Z156" s="273">
        <v>38900.23091158946</v>
      </c>
      <c r="AA156" s="273">
        <v>41405.635200265417</v>
      </c>
      <c r="AB156" s="273">
        <v>39958.427092976322</v>
      </c>
    </row>
    <row r="157" spans="1:28" x14ac:dyDescent="0.2">
      <c r="A157" s="316" t="s">
        <v>1523</v>
      </c>
      <c r="B157" s="316" t="s">
        <v>1601</v>
      </c>
      <c r="C157" s="273">
        <v>40791.565834754765</v>
      </c>
      <c r="D157" s="273">
        <v>41152.234812064809</v>
      </c>
      <c r="E157" s="273">
        <v>40512.769463407894</v>
      </c>
      <c r="F157" s="273">
        <v>42532.377270445264</v>
      </c>
      <c r="G157" s="273">
        <v>45859.588410845179</v>
      </c>
      <c r="H157" s="273">
        <v>44839.033910624283</v>
      </c>
      <c r="I157" s="273">
        <v>44693.367801536937</v>
      </c>
      <c r="J157" s="273">
        <v>45735.420702951189</v>
      </c>
      <c r="K157" s="273">
        <v>47943.597103061809</v>
      </c>
      <c r="L157" s="273">
        <v>46533.890784419717</v>
      </c>
      <c r="M157" s="273">
        <v>47150.310533852251</v>
      </c>
      <c r="N157" s="273">
        <v>48475.569619225404</v>
      </c>
      <c r="O157" s="273">
        <v>50096.900259233917</v>
      </c>
      <c r="P157" s="273">
        <v>49382.372809612352</v>
      </c>
      <c r="Q157" s="273">
        <v>50779.924688710948</v>
      </c>
      <c r="R157" s="273">
        <v>51745.121375425457</v>
      </c>
      <c r="S157" s="273">
        <v>53330.494767145181</v>
      </c>
      <c r="T157" s="273">
        <v>34448.493229168955</v>
      </c>
      <c r="U157" s="273">
        <v>35688.697347965805</v>
      </c>
      <c r="V157" s="273">
        <v>34864.326374883196</v>
      </c>
      <c r="W157" s="273">
        <v>34886.212329920789</v>
      </c>
      <c r="X157" s="273">
        <v>25493.627579163367</v>
      </c>
      <c r="Y157" s="273">
        <v>24839.901721632377</v>
      </c>
      <c r="Z157" s="273">
        <v>20410.412975261508</v>
      </c>
      <c r="AA157" s="273">
        <v>20733.374327851903</v>
      </c>
      <c r="AB157" s="273">
        <v>8144</v>
      </c>
    </row>
    <row r="158" spans="1:28" x14ac:dyDescent="0.2">
      <c r="A158" s="317" t="s">
        <v>1524</v>
      </c>
      <c r="B158" s="317" t="s">
        <v>1601</v>
      </c>
      <c r="C158" s="275">
        <v>19504.831092762266</v>
      </c>
      <c r="D158" s="275">
        <v>19677.288004843787</v>
      </c>
      <c r="E158" s="275">
        <v>19371.522257440174</v>
      </c>
      <c r="F158" s="275">
        <v>20337.214756459798</v>
      </c>
      <c r="G158" s="275">
        <v>21928.148812934895</v>
      </c>
      <c r="H158" s="275">
        <v>21440.162074980177</v>
      </c>
      <c r="I158" s="275">
        <v>21370.510596897722</v>
      </c>
      <c r="J158" s="275">
        <v>21868.776976622979</v>
      </c>
      <c r="K158" s="275">
        <v>22924.635138127665</v>
      </c>
      <c r="L158" s="275">
        <v>22250.572177492628</v>
      </c>
      <c r="M158" s="275">
        <v>22545.318477343681</v>
      </c>
      <c r="N158" s="275">
        <v>23179.002281467921</v>
      </c>
      <c r="O158" s="275">
        <v>23954.255195440215</v>
      </c>
      <c r="P158" s="275">
        <v>23612.597871657446</v>
      </c>
      <c r="Q158" s="275">
        <v>24280.849084558071</v>
      </c>
      <c r="R158" s="275">
        <v>24742.366017296663</v>
      </c>
      <c r="S158" s="275">
        <v>25500.425669865985</v>
      </c>
      <c r="T158" s="275">
        <v>16471.837451815351</v>
      </c>
      <c r="U158" s="275">
        <v>17064.851506624458</v>
      </c>
      <c r="V158" s="275">
        <v>16670.671576074874</v>
      </c>
      <c r="W158" s="275">
        <v>16681.136529983272</v>
      </c>
      <c r="X158" s="275">
        <v>16716.36700473983</v>
      </c>
      <c r="Y158" s="275">
        <v>16106.883696821094</v>
      </c>
      <c r="Z158" s="275">
        <v>16494.75938988991</v>
      </c>
      <c r="AA158" s="275">
        <v>17557.119174078132</v>
      </c>
      <c r="AB158" s="275">
        <v>16943.463446144662</v>
      </c>
    </row>
    <row r="159" spans="1:28" x14ac:dyDescent="0.2">
      <c r="A159" s="314" t="s">
        <v>1525</v>
      </c>
      <c r="B159" s="303"/>
      <c r="C159" s="307"/>
      <c r="D159" s="307"/>
      <c r="E159" s="307"/>
      <c r="F159" s="307"/>
      <c r="G159" s="307"/>
      <c r="H159" s="307"/>
      <c r="I159" s="307"/>
      <c r="J159" s="307"/>
      <c r="K159" s="307"/>
      <c r="L159" s="307"/>
      <c r="M159" s="307"/>
      <c r="N159" s="307"/>
      <c r="O159" s="307"/>
      <c r="P159" s="307"/>
      <c r="Q159" s="307"/>
      <c r="R159" s="307"/>
      <c r="S159" s="307"/>
      <c r="T159" s="307"/>
      <c r="U159" s="307"/>
      <c r="V159" s="307"/>
      <c r="W159" s="307"/>
      <c r="X159" s="307"/>
      <c r="Y159" s="307"/>
      <c r="Z159" s="307"/>
      <c r="AA159" s="307"/>
      <c r="AB159" s="308"/>
    </row>
    <row r="160" spans="1:28" x14ac:dyDescent="0.2">
      <c r="A160" s="315" t="s">
        <v>1526</v>
      </c>
      <c r="B160" s="315" t="s">
        <v>1654</v>
      </c>
      <c r="C160" s="271">
        <v>39214235.450000003</v>
      </c>
      <c r="D160" s="271">
        <v>40165941.449999996</v>
      </c>
      <c r="E160" s="271">
        <v>40730299.109999999</v>
      </c>
      <c r="F160" s="271">
        <v>41127972.129999995</v>
      </c>
      <c r="G160" s="271">
        <v>41840912.429999992</v>
      </c>
      <c r="H160" s="271">
        <v>42633445.839999996</v>
      </c>
      <c r="I160" s="271">
        <v>43430787.340000004</v>
      </c>
      <c r="J160" s="271">
        <v>44184846.980000004</v>
      </c>
      <c r="K160" s="271">
        <v>45085084.410000004</v>
      </c>
      <c r="L160" s="271">
        <v>45874915.190000005</v>
      </c>
      <c r="M160" s="271">
        <v>46682526.400000006</v>
      </c>
      <c r="N160" s="271">
        <v>47499263.720000006</v>
      </c>
      <c r="O160" s="271">
        <v>48213748.330000006</v>
      </c>
      <c r="P160" s="271">
        <v>48833118.529999994</v>
      </c>
      <c r="Q160" s="271">
        <v>49393447.479999989</v>
      </c>
      <c r="R160" s="271">
        <v>50371424.009999998</v>
      </c>
      <c r="S160" s="271">
        <v>50803342.340000004</v>
      </c>
      <c r="T160" s="271">
        <v>51469798.660000004</v>
      </c>
      <c r="U160" s="271">
        <v>51671972.689999998</v>
      </c>
      <c r="V160" s="271">
        <v>51818178.259999998</v>
      </c>
      <c r="W160" s="271">
        <v>51979220.839999996</v>
      </c>
      <c r="X160" s="271">
        <v>52304182.660000004</v>
      </c>
      <c r="Y160" s="271">
        <v>52645216.579999998</v>
      </c>
      <c r="Z160" s="271">
        <v>52991568.639999993</v>
      </c>
      <c r="AA160" s="271">
        <v>53339362.879999995</v>
      </c>
      <c r="AB160" s="271">
        <v>53339362.879999995</v>
      </c>
    </row>
    <row r="161" spans="1:28" x14ac:dyDescent="0.2">
      <c r="A161" s="317" t="s">
        <v>1527</v>
      </c>
      <c r="B161" s="317" t="s">
        <v>1599</v>
      </c>
      <c r="C161" s="275">
        <v>4454621</v>
      </c>
      <c r="D161" s="275">
        <v>4573781</v>
      </c>
      <c r="E161" s="275">
        <v>4619315</v>
      </c>
      <c r="F161" s="275">
        <v>4674572</v>
      </c>
      <c r="G161" s="275">
        <v>4736845</v>
      </c>
      <c r="H161" s="275">
        <v>4845898</v>
      </c>
      <c r="I161" s="275">
        <v>4926276</v>
      </c>
      <c r="J161" s="275">
        <v>4996264</v>
      </c>
      <c r="K161" s="275">
        <v>5270688</v>
      </c>
      <c r="L161" s="275">
        <v>5238520</v>
      </c>
      <c r="M161" s="275">
        <v>5231069</v>
      </c>
      <c r="N161" s="275">
        <v>5213472</v>
      </c>
      <c r="O161" s="275">
        <v>5270299</v>
      </c>
      <c r="P161" s="275">
        <v>5357691</v>
      </c>
      <c r="Q161" s="275">
        <v>5349007</v>
      </c>
      <c r="R161" s="275">
        <v>5404251</v>
      </c>
      <c r="S161" s="275">
        <v>5467209</v>
      </c>
      <c r="T161" s="275">
        <v>5507074</v>
      </c>
      <c r="U161" s="275">
        <v>5669379</v>
      </c>
      <c r="V161" s="275">
        <v>5529956</v>
      </c>
      <c r="W161" s="275">
        <v>5494306</v>
      </c>
      <c r="X161" s="275">
        <v>5509118</v>
      </c>
      <c r="Y161" s="275">
        <v>5545769</v>
      </c>
      <c r="Z161" s="275">
        <v>5564810</v>
      </c>
      <c r="AA161" s="275">
        <v>5611121</v>
      </c>
      <c r="AB161" s="275">
        <v>5611121</v>
      </c>
    </row>
    <row r="162" spans="1:28" x14ac:dyDescent="0.2">
      <c r="A162" s="322" t="s">
        <v>1528</v>
      </c>
      <c r="B162" s="323"/>
      <c r="C162" s="277"/>
      <c r="D162" s="277"/>
      <c r="E162" s="277"/>
      <c r="F162" s="277"/>
      <c r="G162" s="277"/>
      <c r="H162" s="277"/>
      <c r="I162" s="277"/>
      <c r="J162" s="277"/>
      <c r="K162" s="277"/>
      <c r="L162" s="277"/>
      <c r="M162" s="277"/>
      <c r="N162" s="277"/>
      <c r="O162" s="277"/>
      <c r="P162" s="277"/>
      <c r="Q162" s="277"/>
      <c r="R162" s="277"/>
      <c r="S162" s="277"/>
      <c r="T162" s="277"/>
      <c r="U162" s="277"/>
      <c r="V162" s="277"/>
      <c r="W162" s="277"/>
      <c r="X162" s="277"/>
      <c r="Y162" s="277"/>
      <c r="Z162" s="277"/>
      <c r="AA162" s="277"/>
      <c r="AB162" s="278"/>
    </row>
    <row r="163" spans="1:28" x14ac:dyDescent="0.2">
      <c r="A163" s="314" t="s">
        <v>1465</v>
      </c>
      <c r="B163" s="303"/>
      <c r="C163" s="307"/>
      <c r="D163" s="307"/>
      <c r="E163" s="307"/>
      <c r="F163" s="307"/>
      <c r="G163" s="307"/>
      <c r="H163" s="307"/>
      <c r="I163" s="307"/>
      <c r="J163" s="307"/>
      <c r="K163" s="307"/>
      <c r="L163" s="307"/>
      <c r="M163" s="307"/>
      <c r="N163" s="307"/>
      <c r="O163" s="307"/>
      <c r="P163" s="307"/>
      <c r="Q163" s="307"/>
      <c r="R163" s="307"/>
      <c r="S163" s="307"/>
      <c r="T163" s="307"/>
      <c r="U163" s="307"/>
      <c r="V163" s="307"/>
      <c r="W163" s="307"/>
      <c r="X163" s="307"/>
      <c r="Y163" s="307"/>
      <c r="Z163" s="307"/>
      <c r="AA163" s="307"/>
      <c r="AB163" s="308"/>
    </row>
    <row r="164" spans="1:28" ht="24" x14ac:dyDescent="0.2">
      <c r="A164" s="315" t="s">
        <v>1530</v>
      </c>
      <c r="B164" s="315" t="s">
        <v>1655</v>
      </c>
      <c r="C164" s="271">
        <v>944157</v>
      </c>
      <c r="D164" s="271">
        <v>888382</v>
      </c>
      <c r="E164" s="271">
        <v>888925</v>
      </c>
      <c r="F164" s="271">
        <v>928774</v>
      </c>
      <c r="G164" s="271">
        <v>1000362</v>
      </c>
      <c r="H164" s="271">
        <v>1001706</v>
      </c>
      <c r="I164" s="271">
        <v>975179</v>
      </c>
      <c r="J164" s="271">
        <v>1068820</v>
      </c>
      <c r="K164" s="271">
        <v>1019816</v>
      </c>
      <c r="L164" s="271">
        <v>1004907</v>
      </c>
      <c r="M164" s="271">
        <v>1048485</v>
      </c>
      <c r="N164" s="271">
        <v>1099137</v>
      </c>
      <c r="O164" s="271">
        <v>1133625</v>
      </c>
      <c r="P164" s="271">
        <v>1104683</v>
      </c>
      <c r="Q164" s="271">
        <v>1158225</v>
      </c>
      <c r="R164" s="271">
        <v>1162560</v>
      </c>
      <c r="S164" s="271">
        <v>1185252</v>
      </c>
      <c r="T164" s="271">
        <v>1201096</v>
      </c>
      <c r="U164" s="271">
        <v>1207582</v>
      </c>
      <c r="V164" s="271">
        <v>1218148</v>
      </c>
      <c r="W164" s="271">
        <v>1228218</v>
      </c>
      <c r="X164" s="271">
        <v>1237339</v>
      </c>
      <c r="Y164" s="271">
        <v>1245817</v>
      </c>
      <c r="Z164" s="271">
        <v>1253539</v>
      </c>
      <c r="AA164" s="271">
        <v>1264700</v>
      </c>
      <c r="AB164" s="271">
        <v>1274976</v>
      </c>
    </row>
    <row r="165" spans="1:28" x14ac:dyDescent="0.2">
      <c r="A165" s="317" t="s">
        <v>1531</v>
      </c>
      <c r="B165" s="317" t="s">
        <v>1602</v>
      </c>
      <c r="C165" s="275">
        <v>1546955.1085227272</v>
      </c>
      <c r="D165" s="275">
        <v>1560632.904545455</v>
      </c>
      <c r="E165" s="275">
        <v>1536382.2005681819</v>
      </c>
      <c r="F165" s="275">
        <v>1612972.6071969699</v>
      </c>
      <c r="G165" s="275">
        <v>1739151.7857954549</v>
      </c>
      <c r="H165" s="275">
        <v>1700448.883238636</v>
      </c>
      <c r="I165" s="275">
        <v>1694924.728257576</v>
      </c>
      <c r="J165" s="275">
        <v>1734442.9234090908</v>
      </c>
      <c r="K165" s="275">
        <v>1818184.4933333332</v>
      </c>
      <c r="L165" s="275">
        <v>1764723.6284090909</v>
      </c>
      <c r="M165" s="275">
        <v>1788100.364772727</v>
      </c>
      <c r="N165" s="275">
        <v>1838358.7029924241</v>
      </c>
      <c r="O165" s="275">
        <v>1899845.082954545</v>
      </c>
      <c r="P165" s="275">
        <v>1872747.7684545452</v>
      </c>
      <c r="Q165" s="275">
        <v>1925747.6956344699</v>
      </c>
      <c r="R165" s="275">
        <v>1962351.2413598481</v>
      </c>
      <c r="S165" s="275">
        <v>2022474</v>
      </c>
      <c r="T165" s="275">
        <v>2025731</v>
      </c>
      <c r="U165" s="275">
        <v>2075191</v>
      </c>
      <c r="V165" s="275">
        <v>2086689</v>
      </c>
      <c r="W165" s="275">
        <v>2102366</v>
      </c>
      <c r="X165" s="275">
        <v>2121105</v>
      </c>
      <c r="Y165" s="275">
        <v>2137769</v>
      </c>
      <c r="Z165" s="275">
        <v>2149598</v>
      </c>
      <c r="AA165" s="275">
        <v>2169156</v>
      </c>
      <c r="AB165" s="275">
        <v>2190825</v>
      </c>
    </row>
    <row r="166" spans="1:28" x14ac:dyDescent="0.2">
      <c r="A166" s="314" t="s">
        <v>1445</v>
      </c>
      <c r="B166" s="303"/>
      <c r="C166" s="307"/>
      <c r="D166" s="307"/>
      <c r="E166" s="307"/>
      <c r="F166" s="307"/>
      <c r="G166" s="307"/>
      <c r="H166" s="307"/>
      <c r="I166" s="307"/>
      <c r="J166" s="307"/>
      <c r="K166" s="307"/>
      <c r="L166" s="307"/>
      <c r="M166" s="307"/>
      <c r="N166" s="307"/>
      <c r="O166" s="307"/>
      <c r="P166" s="307"/>
      <c r="Q166" s="307"/>
      <c r="R166" s="307"/>
      <c r="S166" s="307"/>
      <c r="T166" s="307"/>
      <c r="U166" s="307"/>
      <c r="V166" s="307"/>
      <c r="W166" s="307"/>
      <c r="X166" s="307"/>
      <c r="Y166" s="307"/>
      <c r="Z166" s="307"/>
      <c r="AA166" s="307"/>
      <c r="AB166" s="308"/>
    </row>
    <row r="167" spans="1:28" x14ac:dyDescent="0.2">
      <c r="A167" s="315" t="s">
        <v>1532</v>
      </c>
      <c r="B167" s="315" t="s">
        <v>1602</v>
      </c>
      <c r="C167" s="271">
        <v>1546955.1085227272</v>
      </c>
      <c r="D167" s="271">
        <v>1560632.904545455</v>
      </c>
      <c r="E167" s="271">
        <v>1536382.2005681819</v>
      </c>
      <c r="F167" s="271">
        <v>1612972.6071969699</v>
      </c>
      <c r="G167" s="271">
        <v>1739151.7857954549</v>
      </c>
      <c r="H167" s="271">
        <v>1700448.883238636</v>
      </c>
      <c r="I167" s="271">
        <v>1694924.728257576</v>
      </c>
      <c r="J167" s="271">
        <v>1734442.9234090908</v>
      </c>
      <c r="K167" s="271">
        <v>1818184.4933333332</v>
      </c>
      <c r="L167" s="271">
        <v>1764723.6284090909</v>
      </c>
      <c r="M167" s="271">
        <v>1788100.364772727</v>
      </c>
      <c r="N167" s="271">
        <v>1838358.7029924241</v>
      </c>
      <c r="O167" s="271">
        <v>1899845.082954545</v>
      </c>
      <c r="P167" s="271">
        <v>1872747.7684545452</v>
      </c>
      <c r="Q167" s="271">
        <v>1925747.6956344699</v>
      </c>
      <c r="R167" s="271">
        <v>1962351.2413598481</v>
      </c>
      <c r="S167" s="271">
        <v>2022474</v>
      </c>
      <c r="T167" s="271">
        <v>2025731</v>
      </c>
      <c r="U167" s="271">
        <v>2075191</v>
      </c>
      <c r="V167" s="271">
        <v>2086689</v>
      </c>
      <c r="W167" s="271">
        <v>2102366</v>
      </c>
      <c r="X167" s="271">
        <v>2121105</v>
      </c>
      <c r="Y167" s="271">
        <v>2137769</v>
      </c>
      <c r="Z167" s="271">
        <v>2149598</v>
      </c>
      <c r="AA167" s="271">
        <v>2169156</v>
      </c>
      <c r="AB167" s="271">
        <v>2190825</v>
      </c>
    </row>
    <row r="169" spans="1:28" s="213" customFormat="1" x14ac:dyDescent="0.2">
      <c r="B169" s="258"/>
    </row>
    <row r="170" spans="1:28" s="213" customFormat="1" x14ac:dyDescent="0.2">
      <c r="A170" s="258"/>
      <c r="B170" s="258"/>
    </row>
    <row r="171" spans="1:28" s="213" customFormat="1" x14ac:dyDescent="0.2">
      <c r="A171" s="258"/>
      <c r="B171" s="258"/>
    </row>
  </sheetData>
  <pageMargins left="0.7" right="0.7" top="0.75" bottom="0.75" header="0.3" footer="0.3"/>
  <pageSetup orientation="portrait" verticalDpi="597"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5" tint="0.79998168889431442"/>
  </sheetPr>
  <dimension ref="A1:AB179"/>
  <sheetViews>
    <sheetView workbookViewId="0">
      <pane xSplit="1" ySplit="6" topLeftCell="B7" activePane="bottomRight" state="frozen"/>
      <selection pane="topRight" activeCell="B1" sqref="B1"/>
      <selection pane="bottomLeft" activeCell="A7" sqref="A7"/>
      <selection pane="bottomRight" activeCell="J29" sqref="J29"/>
    </sheetView>
  </sheetViews>
  <sheetFormatPr defaultColWidth="9.140625" defaultRowHeight="12" x14ac:dyDescent="0.2"/>
  <cols>
    <col min="1" max="1" width="29.140625" style="243" customWidth="1"/>
    <col min="2" max="2" width="7.7109375" style="245" customWidth="1"/>
    <col min="3" max="9" width="8.7109375" style="245" customWidth="1"/>
    <col min="10" max="19" width="7.7109375" style="245" customWidth="1"/>
    <col min="20" max="20" width="8.7109375" style="245" customWidth="1"/>
    <col min="21" max="22" width="7.7109375" style="245" customWidth="1"/>
    <col min="23" max="27" width="8.7109375" style="245" customWidth="1"/>
    <col min="28" max="16384" width="9.140625" style="180"/>
  </cols>
  <sheetData>
    <row r="1" spans="1:27" s="167" customFormat="1" ht="15.75" x14ac:dyDescent="0.25">
      <c r="A1" s="167" t="s">
        <v>1945</v>
      </c>
      <c r="B1" s="168"/>
      <c r="C1" s="168"/>
      <c r="D1" s="168"/>
      <c r="E1" s="168"/>
      <c r="F1" s="168"/>
      <c r="G1" s="168"/>
      <c r="H1" s="168"/>
      <c r="I1" s="168"/>
      <c r="J1" s="168"/>
      <c r="K1" s="168"/>
      <c r="L1" s="168"/>
      <c r="M1" s="168"/>
      <c r="N1" s="168"/>
      <c r="O1" s="168"/>
      <c r="P1" s="168"/>
      <c r="Q1" s="168"/>
      <c r="R1" s="168"/>
      <c r="S1" s="168"/>
      <c r="T1" s="168"/>
      <c r="U1" s="168"/>
      <c r="V1" s="168"/>
      <c r="W1" s="168"/>
      <c r="X1" s="168"/>
    </row>
    <row r="2" spans="1:27" s="171" customFormat="1" ht="12.75" x14ac:dyDescent="0.2">
      <c r="A2" s="169"/>
      <c r="B2" s="170"/>
      <c r="C2" s="170"/>
      <c r="D2" s="170"/>
      <c r="E2" s="170"/>
      <c r="F2" s="170"/>
      <c r="G2" s="170"/>
      <c r="H2" s="170"/>
      <c r="I2" s="170"/>
      <c r="J2" s="170"/>
      <c r="K2" s="170"/>
      <c r="L2" s="170"/>
      <c r="M2" s="170"/>
      <c r="N2" s="170"/>
      <c r="O2" s="170"/>
      <c r="P2" s="170"/>
      <c r="Q2" s="170"/>
      <c r="R2" s="170"/>
      <c r="S2" s="170"/>
      <c r="T2" s="170"/>
      <c r="U2" s="170"/>
      <c r="V2" s="170"/>
      <c r="W2" s="170"/>
      <c r="X2" s="170"/>
      <c r="Y2" s="170"/>
      <c r="Z2" s="170"/>
      <c r="AA2" s="170"/>
    </row>
    <row r="3" spans="1:27" s="171" customFormat="1" ht="12.75" x14ac:dyDescent="0.2">
      <c r="A3" s="172" t="s">
        <v>1386</v>
      </c>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row>
    <row r="4" spans="1:27" s="171" customFormat="1" ht="12.75" x14ac:dyDescent="0.2">
      <c r="A4" s="343" t="s">
        <v>1387</v>
      </c>
      <c r="B4" s="170"/>
      <c r="C4" s="170"/>
      <c r="D4" s="170"/>
      <c r="E4" s="170"/>
      <c r="F4" s="170"/>
      <c r="G4" s="170"/>
      <c r="H4" s="170"/>
      <c r="I4" s="170"/>
      <c r="J4" s="170"/>
      <c r="K4" s="170"/>
      <c r="L4" s="170"/>
      <c r="M4" s="170"/>
      <c r="N4" s="170"/>
      <c r="O4" s="170"/>
      <c r="P4" s="170"/>
      <c r="Q4" s="170"/>
      <c r="R4" s="170"/>
      <c r="S4" s="170"/>
      <c r="T4" s="170"/>
      <c r="U4" s="170"/>
      <c r="V4" s="170"/>
      <c r="W4" s="170"/>
      <c r="X4" s="170"/>
      <c r="Y4" s="170"/>
      <c r="Z4" s="170"/>
      <c r="AA4" s="170"/>
    </row>
    <row r="5" spans="1:27" s="171" customFormat="1" ht="12.75" x14ac:dyDescent="0.2">
      <c r="A5" s="344"/>
      <c r="B5" s="170"/>
      <c r="C5" s="170"/>
      <c r="D5" s="170"/>
      <c r="E5" s="170"/>
      <c r="F5" s="170"/>
      <c r="G5" s="170"/>
      <c r="H5" s="170"/>
      <c r="I5" s="170"/>
      <c r="J5" s="170"/>
      <c r="K5" s="170"/>
      <c r="L5" s="170"/>
      <c r="M5" s="170"/>
      <c r="N5" s="170"/>
      <c r="O5" s="170"/>
      <c r="P5" s="170"/>
      <c r="Q5" s="170"/>
      <c r="R5" s="170"/>
      <c r="S5" s="170"/>
      <c r="T5" s="170"/>
      <c r="U5" s="170"/>
      <c r="V5" s="170"/>
      <c r="W5" s="170"/>
      <c r="X5" s="170"/>
      <c r="Y5" s="170"/>
      <c r="Z5" s="170"/>
      <c r="AA5" s="170"/>
    </row>
    <row r="6" spans="1:27" s="176" customFormat="1" x14ac:dyDescent="0.2">
      <c r="A6" s="174" t="s">
        <v>1389</v>
      </c>
      <c r="B6" s="175">
        <v>1990</v>
      </c>
      <c r="C6" s="175">
        <v>1991</v>
      </c>
      <c r="D6" s="175">
        <v>1992</v>
      </c>
      <c r="E6" s="175">
        <v>1993</v>
      </c>
      <c r="F6" s="175">
        <v>1994</v>
      </c>
      <c r="G6" s="175">
        <v>1995</v>
      </c>
      <c r="H6" s="175">
        <v>1996</v>
      </c>
      <c r="I6" s="175">
        <v>1997</v>
      </c>
      <c r="J6" s="175">
        <v>1998</v>
      </c>
      <c r="K6" s="175">
        <v>1999</v>
      </c>
      <c r="L6" s="175">
        <v>2000</v>
      </c>
      <c r="M6" s="175">
        <v>2001</v>
      </c>
      <c r="N6" s="175">
        <v>2002</v>
      </c>
      <c r="O6" s="175">
        <v>2003</v>
      </c>
      <c r="P6" s="175">
        <v>2004</v>
      </c>
      <c r="Q6" s="175">
        <v>2005</v>
      </c>
      <c r="R6" s="175">
        <v>2006</v>
      </c>
      <c r="S6" s="175">
        <v>2007</v>
      </c>
      <c r="T6" s="175">
        <v>2008</v>
      </c>
      <c r="U6" s="175">
        <v>2009</v>
      </c>
      <c r="V6" s="175">
        <v>2010</v>
      </c>
      <c r="W6" s="175">
        <v>2011</v>
      </c>
      <c r="X6" s="175">
        <v>2012</v>
      </c>
      <c r="Y6" s="175">
        <v>2013</v>
      </c>
      <c r="Z6" s="175">
        <v>2014</v>
      </c>
      <c r="AA6" s="175">
        <v>2015</v>
      </c>
    </row>
    <row r="7" spans="1:27" ht="12.75" x14ac:dyDescent="0.2">
      <c r="A7" s="177" t="s">
        <v>467</v>
      </c>
      <c r="B7" s="178"/>
      <c r="C7" s="178"/>
      <c r="D7" s="178"/>
      <c r="E7" s="178"/>
      <c r="F7" s="178"/>
      <c r="G7" s="178"/>
      <c r="H7" s="178"/>
      <c r="I7" s="178"/>
      <c r="J7" s="178"/>
      <c r="K7" s="178"/>
      <c r="L7" s="178"/>
      <c r="M7" s="178"/>
      <c r="N7" s="178"/>
      <c r="O7" s="178"/>
      <c r="P7" s="178"/>
      <c r="Q7" s="178"/>
      <c r="R7" s="178"/>
      <c r="S7" s="178"/>
      <c r="T7" s="178"/>
      <c r="U7" s="178"/>
      <c r="V7" s="178"/>
      <c r="W7" s="178"/>
      <c r="X7" s="178"/>
      <c r="Y7" s="178"/>
      <c r="Z7" s="178"/>
      <c r="AA7" s="179"/>
    </row>
    <row r="8" spans="1:27" s="187" customFormat="1" x14ac:dyDescent="0.2">
      <c r="A8" s="345" t="s">
        <v>943</v>
      </c>
      <c r="B8" s="228">
        <v>9857.3671411735995</v>
      </c>
      <c r="C8" s="228">
        <v>11060.561518511249</v>
      </c>
      <c r="D8" s="228">
        <v>10860.510465246602</v>
      </c>
      <c r="E8" s="228">
        <v>14429.915277720433</v>
      </c>
      <c r="F8" s="228">
        <v>14527.851422848857</v>
      </c>
      <c r="G8" s="228">
        <v>17908.763853646771</v>
      </c>
      <c r="H8" s="228">
        <v>17312.160211016755</v>
      </c>
      <c r="I8" s="228">
        <v>16435.26426068665</v>
      </c>
      <c r="J8" s="228">
        <v>7166.2510005416098</v>
      </c>
      <c r="K8" s="228">
        <v>7555.7908638537419</v>
      </c>
      <c r="L8" s="228">
        <v>6441.3912777808691</v>
      </c>
      <c r="M8" s="228">
        <v>6858.3067891266564</v>
      </c>
      <c r="N8" s="228">
        <v>6959.8534906491386</v>
      </c>
      <c r="O8" s="228">
        <v>6862.3166730188395</v>
      </c>
      <c r="P8" s="228">
        <v>6813.2153600240927</v>
      </c>
      <c r="Q8" s="228">
        <v>8259.9530559300365</v>
      </c>
      <c r="R8" s="228">
        <v>8893.4245725121109</v>
      </c>
      <c r="S8" s="228">
        <v>9722.3971938870418</v>
      </c>
      <c r="T8" s="228">
        <v>11330.699323602765</v>
      </c>
      <c r="U8" s="228">
        <v>11057.699583162397</v>
      </c>
      <c r="V8" s="228">
        <v>11040.787075434166</v>
      </c>
      <c r="W8" s="228">
        <v>14145.779906949574</v>
      </c>
      <c r="X8" s="228">
        <v>13683.963655152986</v>
      </c>
      <c r="Y8" s="228">
        <v>16649.284726365753</v>
      </c>
      <c r="Z8" s="228">
        <v>18585.047709904709</v>
      </c>
      <c r="AA8" s="228">
        <v>18585.047709904709</v>
      </c>
    </row>
    <row r="9" spans="1:27" x14ac:dyDescent="0.2">
      <c r="A9" s="188" t="s">
        <v>1394</v>
      </c>
      <c r="B9" s="189"/>
      <c r="C9" s="189"/>
      <c r="D9" s="189"/>
      <c r="E9" s="189"/>
      <c r="F9" s="189"/>
      <c r="G9" s="189"/>
      <c r="H9" s="189"/>
      <c r="I9" s="189"/>
      <c r="J9" s="189"/>
      <c r="K9" s="189"/>
      <c r="L9" s="189"/>
      <c r="M9" s="189"/>
      <c r="N9" s="189"/>
      <c r="O9" s="189"/>
      <c r="P9" s="189"/>
      <c r="Q9" s="189"/>
      <c r="R9" s="189"/>
      <c r="S9" s="189"/>
      <c r="T9" s="189"/>
      <c r="U9" s="189"/>
      <c r="V9" s="189"/>
      <c r="W9" s="189"/>
      <c r="X9" s="189"/>
      <c r="Y9" s="189"/>
      <c r="Z9" s="189"/>
      <c r="AA9" s="190"/>
    </row>
    <row r="10" spans="1:27" x14ac:dyDescent="0.2">
      <c r="A10" s="191" t="s">
        <v>1395</v>
      </c>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3"/>
    </row>
    <row r="11" spans="1:27" ht="24" x14ac:dyDescent="0.2">
      <c r="A11" s="194" t="s">
        <v>1396</v>
      </c>
      <c r="B11" s="195">
        <v>1.352663574097944</v>
      </c>
      <c r="C11" s="195">
        <v>1.3683275329418889</v>
      </c>
      <c r="D11" s="195">
        <v>1.3156200959069864</v>
      </c>
      <c r="E11" s="195">
        <v>1.3154071742155531</v>
      </c>
      <c r="F11" s="195">
        <v>1.3504972133490378</v>
      </c>
      <c r="G11" s="195">
        <v>1.3098663454886987</v>
      </c>
      <c r="H11" s="195">
        <v>1.3481541736181597</v>
      </c>
      <c r="I11" s="195">
        <v>1.3390661333296416</v>
      </c>
      <c r="J11" s="195">
        <v>1.4196975578419582</v>
      </c>
      <c r="K11" s="195">
        <v>1.4894633898059737</v>
      </c>
      <c r="L11" s="195">
        <v>1.4993615375357114</v>
      </c>
      <c r="M11" s="195">
        <v>1.5823214311176763</v>
      </c>
      <c r="N11" s="195">
        <v>1.5774605072228394</v>
      </c>
      <c r="O11" s="195">
        <v>1.5835402889522643</v>
      </c>
      <c r="P11" s="195">
        <v>1.6238527684698709</v>
      </c>
      <c r="Q11" s="195">
        <v>1.6287243516494088</v>
      </c>
      <c r="R11" s="195">
        <v>1.6643089308677073</v>
      </c>
      <c r="S11" s="195">
        <v>1.6871003390435135</v>
      </c>
      <c r="T11" s="195">
        <v>1.7210477406287423</v>
      </c>
      <c r="U11" s="195">
        <v>1.7288670627140228</v>
      </c>
      <c r="V11" s="195">
        <v>1.7066432189088878</v>
      </c>
      <c r="W11" s="195">
        <v>1.7085654127748184</v>
      </c>
      <c r="X11" s="195">
        <v>1.6744007783977197</v>
      </c>
      <c r="Y11" s="195">
        <v>1.6683892724743137</v>
      </c>
      <c r="Z11" s="195">
        <v>1.6750323230025785</v>
      </c>
      <c r="AA11" s="195">
        <v>1.6750323230025785</v>
      </c>
    </row>
    <row r="12" spans="1:27" ht="15.75" customHeight="1" x14ac:dyDescent="0.2">
      <c r="A12" s="196" t="s">
        <v>1397</v>
      </c>
      <c r="B12" s="197">
        <v>0.38140558244986911</v>
      </c>
      <c r="C12" s="197">
        <v>0.56312670750052762</v>
      </c>
      <c r="D12" s="197">
        <v>0.52774521898089821</v>
      </c>
      <c r="E12" s="197">
        <v>0.5798129812167282</v>
      </c>
      <c r="F12" s="197">
        <v>0.6295737205722125</v>
      </c>
      <c r="G12" s="197">
        <v>0.63358716772056189</v>
      </c>
      <c r="H12" s="197">
        <v>0.72266820560076384</v>
      </c>
      <c r="I12" s="197">
        <v>0.76446235341276159</v>
      </c>
      <c r="J12" s="197">
        <v>0.79768826806999737</v>
      </c>
      <c r="K12" s="197">
        <v>0.81565522266174684</v>
      </c>
      <c r="L12" s="197">
        <v>0.87162993701276537</v>
      </c>
      <c r="M12" s="197">
        <v>0.95944235943055078</v>
      </c>
      <c r="N12" s="197">
        <v>0.97803369889613279</v>
      </c>
      <c r="O12" s="197">
        <v>1.0411200709011303</v>
      </c>
      <c r="P12" s="197">
        <v>1.0505103002679819</v>
      </c>
      <c r="Q12" s="197">
        <v>1.1500595422293449</v>
      </c>
      <c r="R12" s="197">
        <v>1.2325067611545768</v>
      </c>
      <c r="S12" s="197">
        <v>1.2493587705144631</v>
      </c>
      <c r="T12" s="197">
        <v>1.3704040110724496</v>
      </c>
      <c r="U12" s="197">
        <v>1.3979929506420985</v>
      </c>
      <c r="V12" s="197">
        <v>1.4629943824115823</v>
      </c>
      <c r="W12" s="197">
        <v>1.4790386215337579</v>
      </c>
      <c r="X12" s="197">
        <v>1.4931509479147875</v>
      </c>
      <c r="Y12" s="197">
        <v>1.4781485430560286</v>
      </c>
      <c r="Z12" s="197">
        <v>1.5065713197880253</v>
      </c>
      <c r="AA12" s="197">
        <v>1.5065713197880253</v>
      </c>
    </row>
    <row r="13" spans="1:27" x14ac:dyDescent="0.2">
      <c r="A13" s="191" t="s">
        <v>1398</v>
      </c>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3"/>
    </row>
    <row r="14" spans="1:27" x14ac:dyDescent="0.2">
      <c r="A14" s="194" t="s">
        <v>1399</v>
      </c>
      <c r="B14" s="195">
        <v>1.862717043112821</v>
      </c>
      <c r="C14" s="195">
        <v>1.9024412356406246</v>
      </c>
      <c r="D14" s="195">
        <v>1.9124033679724055</v>
      </c>
      <c r="E14" s="195">
        <v>1.9474715934230902</v>
      </c>
      <c r="F14" s="195">
        <v>1.9888656281551076</v>
      </c>
      <c r="G14" s="195">
        <v>1.9975023924103061</v>
      </c>
      <c r="H14" s="195">
        <v>2.0527888697257115</v>
      </c>
      <c r="I14" s="195">
        <v>2.0768343584405491</v>
      </c>
      <c r="J14" s="195">
        <v>2.1406958980980941</v>
      </c>
      <c r="K14" s="195">
        <v>2.1890112005560551</v>
      </c>
      <c r="L14" s="195">
        <v>2.2419519856520047</v>
      </c>
      <c r="M14" s="195">
        <v>2.3999912328817268</v>
      </c>
      <c r="N14" s="195">
        <v>2.471651739437223</v>
      </c>
      <c r="O14" s="195">
        <v>2.5669645262831757</v>
      </c>
      <c r="P14" s="195">
        <v>2.6532335206962672</v>
      </c>
      <c r="Q14" s="195">
        <v>2.7654238036211631</v>
      </c>
      <c r="R14" s="195">
        <v>2.9035295087855242</v>
      </c>
      <c r="S14" s="195">
        <v>2.9981206704852852</v>
      </c>
      <c r="T14" s="195">
        <v>3.1522455759979162</v>
      </c>
      <c r="U14" s="195">
        <v>3.1891022578684476</v>
      </c>
      <c r="V14" s="195">
        <v>3.2288360243593948</v>
      </c>
      <c r="W14" s="195">
        <v>3.2606062868800629</v>
      </c>
      <c r="X14" s="195">
        <v>3.239210784129499</v>
      </c>
      <c r="Y14" s="195">
        <v>3.1802706779742338</v>
      </c>
      <c r="Z14" s="195">
        <v>3.1565426679306241</v>
      </c>
      <c r="AA14" s="195">
        <v>3.1565426679306241</v>
      </c>
    </row>
    <row r="15" spans="1:27" x14ac:dyDescent="0.2">
      <c r="A15" s="183" t="s">
        <v>1400</v>
      </c>
      <c r="B15" s="198">
        <v>6.0436790215980247</v>
      </c>
      <c r="C15" s="198">
        <v>6.1745988200965236</v>
      </c>
      <c r="D15" s="198">
        <v>6.1457291899696198</v>
      </c>
      <c r="E15" s="198">
        <v>6.3231589284044505</v>
      </c>
      <c r="F15" s="198">
        <v>6.638080464737679</v>
      </c>
      <c r="G15" s="198">
        <v>6.7437195507067518</v>
      </c>
      <c r="H15" s="198">
        <v>6.9656662102621016</v>
      </c>
      <c r="I15" s="198">
        <v>7.1424988402338752</v>
      </c>
      <c r="J15" s="198">
        <v>7.6849534220771076</v>
      </c>
      <c r="K15" s="198">
        <v>8.3691512659062699</v>
      </c>
      <c r="L15" s="198">
        <v>9.2143100140880172</v>
      </c>
      <c r="M15" s="198">
        <v>10.494982760898182</v>
      </c>
      <c r="N15" s="198">
        <v>11.426001557828938</v>
      </c>
      <c r="O15" s="198">
        <v>12.243129497592335</v>
      </c>
      <c r="P15" s="198">
        <v>13.267248411707154</v>
      </c>
      <c r="Q15" s="198">
        <v>14.345645574388403</v>
      </c>
      <c r="R15" s="198">
        <v>15.661087089085758</v>
      </c>
      <c r="S15" s="198">
        <v>16.872335588028079</v>
      </c>
      <c r="T15" s="198">
        <v>18.033269548194887</v>
      </c>
      <c r="U15" s="198">
        <v>18.426778171752115</v>
      </c>
      <c r="V15" s="198">
        <v>18.451785204096431</v>
      </c>
      <c r="W15" s="198">
        <v>18.680140090759799</v>
      </c>
      <c r="X15" s="198">
        <v>18.540009075264091</v>
      </c>
      <c r="Y15" s="198">
        <v>18.170146661927152</v>
      </c>
      <c r="Z15" s="198">
        <v>17.972838131684451</v>
      </c>
      <c r="AA15" s="198">
        <v>17.972838131684451</v>
      </c>
    </row>
    <row r="16" spans="1:27" x14ac:dyDescent="0.2">
      <c r="A16" s="183" t="s">
        <v>1401</v>
      </c>
      <c r="B16" s="198">
        <v>1.4272416031911965</v>
      </c>
      <c r="C16" s="198">
        <v>1.4962194849056214</v>
      </c>
      <c r="D16" s="198">
        <v>1.4886006436719665</v>
      </c>
      <c r="E16" s="198">
        <v>1.4817795356911148</v>
      </c>
      <c r="F16" s="198">
        <v>1.4590157922259797</v>
      </c>
      <c r="G16" s="198">
        <v>1.4576439536796861</v>
      </c>
      <c r="H16" s="198">
        <v>1.4331139319892152</v>
      </c>
      <c r="I16" s="198">
        <v>1.4275059856333852</v>
      </c>
      <c r="J16" s="198">
        <v>1.3854123747485885</v>
      </c>
      <c r="K16" s="198">
        <v>1.3537544807553874</v>
      </c>
      <c r="L16" s="198">
        <v>1.3390192530187963</v>
      </c>
      <c r="M16" s="198">
        <v>1.2777212621808358</v>
      </c>
      <c r="N16" s="198">
        <v>1.2629805927804731</v>
      </c>
      <c r="O16" s="198">
        <v>1.2335980721444877</v>
      </c>
      <c r="P16" s="198">
        <v>1.1937577801282018</v>
      </c>
      <c r="Q16" s="198">
        <v>1.1594199469702717</v>
      </c>
      <c r="R16" s="198">
        <v>1.1023337904148041</v>
      </c>
      <c r="S16" s="198">
        <v>1.0522900721698583</v>
      </c>
      <c r="T16" s="198">
        <v>0.98251497746316407</v>
      </c>
      <c r="U16" s="198">
        <v>0.96541530852077573</v>
      </c>
      <c r="V16" s="198">
        <v>0.9518395735765891</v>
      </c>
      <c r="W16" s="198">
        <v>0.9375717744085823</v>
      </c>
      <c r="X16" s="198">
        <v>0.93104921441944388</v>
      </c>
      <c r="Y16" s="198">
        <v>0.91413420721541161</v>
      </c>
      <c r="Z16" s="198">
        <v>0.9081170274643916</v>
      </c>
      <c r="AA16" s="198">
        <v>0.9081170274643916</v>
      </c>
    </row>
    <row r="17" spans="1:27" x14ac:dyDescent="0.2">
      <c r="A17" s="183" t="s">
        <v>1402</v>
      </c>
      <c r="B17" s="198">
        <v>6.713944664527566</v>
      </c>
      <c r="C17" s="198">
        <v>6.8282753825416496</v>
      </c>
      <c r="D17" s="198">
        <v>6.8053713672774032</v>
      </c>
      <c r="E17" s="198">
        <v>6.9975065272826971</v>
      </c>
      <c r="F17" s="198">
        <v>7.1991335485298986</v>
      </c>
      <c r="G17" s="198">
        <v>7.2925809194924431</v>
      </c>
      <c r="H17" s="198">
        <v>7.5170451456017693</v>
      </c>
      <c r="I17" s="198">
        <v>7.6765236280381783</v>
      </c>
      <c r="J17" s="198">
        <v>7.9712780032109025</v>
      </c>
      <c r="K17" s="198">
        <v>8.2992181373425513</v>
      </c>
      <c r="L17" s="198">
        <v>8.7890652130273281</v>
      </c>
      <c r="M17" s="198">
        <v>9.699688285913874</v>
      </c>
      <c r="N17" s="198">
        <v>10.296751788693413</v>
      </c>
      <c r="O17" s="198">
        <v>10.90327509273439</v>
      </c>
      <c r="P17" s="198">
        <v>11.515544397830503</v>
      </c>
      <c r="Q17" s="198">
        <v>12.269630318886074</v>
      </c>
      <c r="R17" s="198">
        <v>13.149283471026703</v>
      </c>
      <c r="S17" s="198">
        <v>13.827359666207967</v>
      </c>
      <c r="T17" s="198">
        <v>14.665082151847296</v>
      </c>
      <c r="U17" s="198">
        <v>14.911315091518652</v>
      </c>
      <c r="V17" s="198">
        <v>15.01721968704495</v>
      </c>
      <c r="W17" s="198">
        <v>15.186720225133767</v>
      </c>
      <c r="X17" s="198">
        <v>15.082930224568159</v>
      </c>
      <c r="Y17" s="198">
        <v>14.800821406598843</v>
      </c>
      <c r="Z17" s="198">
        <v>14.675841054381575</v>
      </c>
      <c r="AA17" s="198">
        <v>14.675841054381575</v>
      </c>
    </row>
    <row r="18" spans="1:27" x14ac:dyDescent="0.2">
      <c r="A18" s="196" t="s">
        <v>1403</v>
      </c>
      <c r="B18" s="197">
        <v>3.1029189897612102</v>
      </c>
      <c r="C18" s="197">
        <v>3.1655660996673665</v>
      </c>
      <c r="D18" s="197">
        <v>3.1570464783688705</v>
      </c>
      <c r="E18" s="197">
        <v>3.4236628898862929</v>
      </c>
      <c r="F18" s="197">
        <v>3.6713591200568421</v>
      </c>
      <c r="G18" s="197">
        <v>3.7296594888332026</v>
      </c>
      <c r="H18" s="197">
        <v>4.1475350037350829</v>
      </c>
      <c r="I18" s="197">
        <v>4.3089552759784873</v>
      </c>
      <c r="J18" s="197">
        <v>4.6393555939253641</v>
      </c>
      <c r="K18" s="197">
        <v>4.8025189457945183</v>
      </c>
      <c r="L18" s="197">
        <v>4.9671642098408952</v>
      </c>
      <c r="M18" s="197">
        <v>5.8926397321808315</v>
      </c>
      <c r="N18" s="197">
        <v>6.1870190102726665</v>
      </c>
      <c r="O18" s="197">
        <v>6.7191696194841084</v>
      </c>
      <c r="P18" s="197">
        <v>7.0743113541348972</v>
      </c>
      <c r="Q18" s="197">
        <v>7.6643223485896304</v>
      </c>
      <c r="R18" s="197">
        <v>8.3992826540562326</v>
      </c>
      <c r="S18" s="197">
        <v>8.7362755634980616</v>
      </c>
      <c r="T18" s="197">
        <v>9.6484114725896521</v>
      </c>
      <c r="U18" s="197">
        <v>9.8229666618361744</v>
      </c>
      <c r="V18" s="197">
        <v>10.126483767250052</v>
      </c>
      <c r="W18" s="197">
        <v>10.309539209758629</v>
      </c>
      <c r="X18" s="197">
        <v>10.261136156726531</v>
      </c>
      <c r="Y18" s="197">
        <v>10.11006951655899</v>
      </c>
      <c r="Z18" s="197">
        <v>10.102326081937672</v>
      </c>
      <c r="AA18" s="197">
        <v>10.102326081937672</v>
      </c>
    </row>
    <row r="19" spans="1:27" x14ac:dyDescent="0.2">
      <c r="A19" s="191" t="s">
        <v>1404</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3"/>
    </row>
    <row r="20" spans="1:27" x14ac:dyDescent="0.2">
      <c r="A20" s="194" t="s">
        <v>1405</v>
      </c>
      <c r="B20" s="195">
        <v>88.688398701338002</v>
      </c>
      <c r="C20" s="195">
        <v>91.819815623342805</v>
      </c>
      <c r="D20" s="195">
        <v>97.151885834380138</v>
      </c>
      <c r="E20" s="195">
        <v>97.372775426816744</v>
      </c>
      <c r="F20" s="195">
        <v>102.41720609444343</v>
      </c>
      <c r="G20" s="195">
        <v>104.18882062465075</v>
      </c>
      <c r="H20" s="195">
        <v>103.83442996214188</v>
      </c>
      <c r="I20" s="195">
        <v>106.12958654844067</v>
      </c>
      <c r="J20" s="195">
        <v>110.52321460126171</v>
      </c>
      <c r="K20" s="195">
        <v>123.75430658125735</v>
      </c>
      <c r="L20" s="195">
        <v>118.83717117395703</v>
      </c>
      <c r="M20" s="195">
        <v>124.70703358715095</v>
      </c>
      <c r="N20" s="195">
        <v>126.65811216994119</v>
      </c>
      <c r="O20" s="195">
        <v>129.92063885387293</v>
      </c>
      <c r="P20" s="195">
        <v>131.93662693732233</v>
      </c>
      <c r="Q20" s="195">
        <v>135.42647994501652</v>
      </c>
      <c r="R20" s="195">
        <v>143.13955070596677</v>
      </c>
      <c r="S20" s="195">
        <v>151.70786327422508</v>
      </c>
      <c r="T20" s="195">
        <v>163.37295290688331</v>
      </c>
      <c r="U20" s="195">
        <v>167.11193050372981</v>
      </c>
      <c r="V20" s="195">
        <v>171.56770788097253</v>
      </c>
      <c r="W20" s="195">
        <v>182.56485454827606</v>
      </c>
      <c r="X20" s="195">
        <v>192.60315906460337</v>
      </c>
      <c r="Y20" s="195">
        <v>194.45738439670359</v>
      </c>
      <c r="Z20" s="195">
        <v>207.54412447797856</v>
      </c>
      <c r="AA20" s="195">
        <v>207.54412447797856</v>
      </c>
    </row>
    <row r="21" spans="1:27" x14ac:dyDescent="0.2">
      <c r="A21" s="196" t="s">
        <v>1406</v>
      </c>
      <c r="B21" s="197">
        <v>9.9252439990616104</v>
      </c>
      <c r="C21" s="197">
        <v>10.339430543899436</v>
      </c>
      <c r="D21" s="197">
        <v>10.283845251118372</v>
      </c>
      <c r="E21" s="197">
        <v>10.477988655133032</v>
      </c>
      <c r="F21" s="197">
        <v>10.738473765195538</v>
      </c>
      <c r="G21" s="197">
        <v>10.826057287262746</v>
      </c>
      <c r="H21" s="197">
        <v>11.100163712219928</v>
      </c>
      <c r="I21" s="197">
        <v>11.261630703886388</v>
      </c>
      <c r="J21" s="197">
        <v>11.672750824624899</v>
      </c>
      <c r="K21" s="197">
        <v>12.099684785322282</v>
      </c>
      <c r="L21" s="197">
        <v>12.623562323349052</v>
      </c>
      <c r="M21" s="197">
        <v>13.662763771388429</v>
      </c>
      <c r="N21" s="197">
        <v>14.280715071993136</v>
      </c>
      <c r="O21" s="197">
        <v>14.930852262358425</v>
      </c>
      <c r="P21" s="197">
        <v>15.632493664242309</v>
      </c>
      <c r="Q21" s="197">
        <v>16.444353103734823</v>
      </c>
      <c r="R21" s="197">
        <v>17.443861751519915</v>
      </c>
      <c r="S21" s="197">
        <v>18.243965960928094</v>
      </c>
      <c r="T21" s="197">
        <v>19.226452847521053</v>
      </c>
      <c r="U21" s="197">
        <v>19.51033269405594</v>
      </c>
      <c r="V21" s="197">
        <v>19.633024198260866</v>
      </c>
      <c r="W21" s="197">
        <v>19.829657992834232</v>
      </c>
      <c r="X21" s="197">
        <v>19.725010651860433</v>
      </c>
      <c r="Y21" s="197">
        <v>19.435930701728783</v>
      </c>
      <c r="Z21" s="197">
        <v>19.33973898036631</v>
      </c>
      <c r="AA21" s="197">
        <v>19.33973898036631</v>
      </c>
    </row>
    <row r="22" spans="1:27" x14ac:dyDescent="0.2">
      <c r="A22" s="188" t="s">
        <v>1407</v>
      </c>
      <c r="B22" s="189"/>
      <c r="C22" s="189"/>
      <c r="D22" s="189"/>
      <c r="E22" s="189"/>
      <c r="F22" s="189"/>
      <c r="G22" s="189"/>
      <c r="H22" s="189"/>
      <c r="I22" s="189"/>
      <c r="J22" s="189"/>
      <c r="K22" s="189"/>
      <c r="L22" s="189"/>
      <c r="M22" s="189"/>
      <c r="N22" s="189"/>
      <c r="O22" s="189"/>
      <c r="P22" s="189"/>
      <c r="Q22" s="189"/>
      <c r="R22" s="189"/>
      <c r="S22" s="189"/>
      <c r="T22" s="189"/>
      <c r="U22" s="189"/>
      <c r="V22" s="189"/>
      <c r="W22" s="189"/>
      <c r="X22" s="189"/>
      <c r="Y22" s="189"/>
      <c r="Z22" s="189"/>
      <c r="AA22" s="190"/>
    </row>
    <row r="23" spans="1:27" x14ac:dyDescent="0.2">
      <c r="A23" s="199" t="s">
        <v>1946</v>
      </c>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3"/>
    </row>
    <row r="24" spans="1:27" ht="24" x14ac:dyDescent="0.2">
      <c r="A24" s="215" t="s">
        <v>1409</v>
      </c>
      <c r="B24" s="326">
        <v>5.0076973305881133E-4</v>
      </c>
      <c r="C24" s="326">
        <v>5.5511065361508809E-4</v>
      </c>
      <c r="D24" s="326">
        <v>5.4732345864786703E-4</v>
      </c>
      <c r="E24" s="326">
        <v>5.6628933595767952E-4</v>
      </c>
      <c r="F24" s="326">
        <v>5.8746620477961344E-4</v>
      </c>
      <c r="G24" s="326">
        <v>5.9339146066678399E-4</v>
      </c>
      <c r="H24" s="326">
        <v>6.2265980623577195E-4</v>
      </c>
      <c r="I24" s="326">
        <v>6.3593789723924107E-4</v>
      </c>
      <c r="J24" s="326">
        <v>6.6640402417960255E-4</v>
      </c>
      <c r="K24" s="326">
        <v>6.9024016060433133E-4</v>
      </c>
      <c r="L24" s="326">
        <v>7.1688762774996251E-4</v>
      </c>
      <c r="M24" s="326">
        <v>7.9720885230292777E-4</v>
      </c>
      <c r="N24" s="326">
        <v>8.3255208794281359E-4</v>
      </c>
      <c r="O24" s="326">
        <v>8.8003529514859321E-4</v>
      </c>
      <c r="P24" s="326">
        <v>9.2188934775332414E-4</v>
      </c>
      <c r="Q24" s="326">
        <v>9.7796541763777584E-4</v>
      </c>
      <c r="R24" s="326">
        <v>1.0482557003401872E-3</v>
      </c>
      <c r="S24" s="326">
        <v>1.0933041968975721E-3</v>
      </c>
      <c r="T24" s="326">
        <v>1.1712163264666012E-3</v>
      </c>
      <c r="U24" s="326">
        <v>1.1895912238601134E-3</v>
      </c>
      <c r="V24" s="326">
        <v>1.2072369232561059E-3</v>
      </c>
      <c r="W24" s="326">
        <v>1.2227736967033739E-3</v>
      </c>
      <c r="X24" s="326">
        <v>1.2170328018987089E-3</v>
      </c>
      <c r="Y24" s="326">
        <v>1.1991153848068404E-3</v>
      </c>
      <c r="Z24" s="326">
        <v>1.198196966632716E-3</v>
      </c>
      <c r="AA24" s="326">
        <v>1.198196966632716E-3</v>
      </c>
    </row>
    <row r="25" spans="1:27" ht="24" x14ac:dyDescent="0.2">
      <c r="A25" s="214" t="s">
        <v>1947</v>
      </c>
      <c r="B25" s="198">
        <v>73.562475323153279</v>
      </c>
      <c r="C25" s="198">
        <v>70.145591816908393</v>
      </c>
      <c r="D25" s="198">
        <v>55.117902907612603</v>
      </c>
      <c r="E25" s="198">
        <v>73.406102775193432</v>
      </c>
      <c r="F25" s="198">
        <v>73.774278320401763</v>
      </c>
      <c r="G25" s="198">
        <v>64.364262122147437</v>
      </c>
      <c r="H25" s="198">
        <v>75.856282086738688</v>
      </c>
      <c r="I25" s="198">
        <v>119.56381993455926</v>
      </c>
      <c r="J25" s="198">
        <v>108.8255606616305</v>
      </c>
      <c r="K25" s="198">
        <v>127.72674704679963</v>
      </c>
      <c r="L25" s="198">
        <v>193.80169611428315</v>
      </c>
      <c r="M25" s="198">
        <v>237.54222917603298</v>
      </c>
      <c r="N25" s="198">
        <v>199.30924192994763</v>
      </c>
      <c r="O25" s="198">
        <v>214.12588270001655</v>
      </c>
      <c r="P25" s="198">
        <v>251.05148955266901</v>
      </c>
      <c r="Q25" s="198">
        <v>305.48600752856561</v>
      </c>
      <c r="R25" s="198">
        <v>343.64401813414912</v>
      </c>
      <c r="S25" s="198">
        <v>327.56383983878561</v>
      </c>
      <c r="T25" s="198">
        <v>336.49141126718882</v>
      </c>
      <c r="U25" s="198">
        <v>179.87626905972297</v>
      </c>
      <c r="V25" s="198">
        <v>184.9568917488312</v>
      </c>
      <c r="W25" s="198">
        <v>160.7907275908068</v>
      </c>
      <c r="X25" s="198">
        <v>98.56919182342105</v>
      </c>
      <c r="Y25" s="198">
        <v>74.983772866884152</v>
      </c>
      <c r="Z25" s="198">
        <v>65.814989599847053</v>
      </c>
      <c r="AA25" s="198">
        <v>65.814989599847053</v>
      </c>
    </row>
    <row r="26" spans="1:27" x14ac:dyDescent="0.2">
      <c r="A26" s="208" t="s">
        <v>1415</v>
      </c>
      <c r="B26" s="197">
        <v>7.1293122683554838E-2</v>
      </c>
      <c r="C26" s="197">
        <v>6.2009014079589642E-2</v>
      </c>
      <c r="D26" s="197">
        <v>5.1681448796054533E-2</v>
      </c>
      <c r="E26" s="197">
        <v>6.2425210826707656E-2</v>
      </c>
      <c r="F26" s="197">
        <v>5.8946109163558733E-2</v>
      </c>
      <c r="G26" s="197">
        <v>5.0414463009563502E-2</v>
      </c>
      <c r="H26" s="197">
        <v>5.5594471053818588E-2</v>
      </c>
      <c r="I26" s="197">
        <v>7.0179828886771142E-2</v>
      </c>
      <c r="J26" s="197">
        <v>7.0891438660774547E-2</v>
      </c>
      <c r="K26" s="197">
        <v>7.2271858197167943E-2</v>
      </c>
      <c r="L26" s="197">
        <v>0.10058372967612848</v>
      </c>
      <c r="M26" s="197">
        <v>0.13090119565433575</v>
      </c>
      <c r="N26" s="197">
        <v>0.10542972005779622</v>
      </c>
      <c r="O26" s="197">
        <v>0.12496002029088096</v>
      </c>
      <c r="P26" s="197">
        <v>0.14497326544402722</v>
      </c>
      <c r="Q26" s="197">
        <v>0.17246776403800856</v>
      </c>
      <c r="R26" s="197">
        <v>0.19870092220725741</v>
      </c>
      <c r="S26" s="197">
        <v>0.19808900809741353</v>
      </c>
      <c r="T26" s="197">
        <v>0.1956802000649753</v>
      </c>
      <c r="U26" s="197">
        <v>0.11083657557253883</v>
      </c>
      <c r="V26" s="197">
        <v>0.10267707103326078</v>
      </c>
      <c r="W26" s="197">
        <v>0.10256907899835213</v>
      </c>
      <c r="X26" s="197">
        <v>0.10266601573544799</v>
      </c>
      <c r="Y26" s="197">
        <v>0.10251153364062401</v>
      </c>
      <c r="Z26" s="197">
        <v>0.10206271124804948</v>
      </c>
      <c r="AA26" s="197">
        <v>0.10206271124804948</v>
      </c>
    </row>
    <row r="27" spans="1:27" x14ac:dyDescent="0.2">
      <c r="A27" s="199" t="s">
        <v>1416</v>
      </c>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3"/>
    </row>
    <row r="28" spans="1:27" x14ac:dyDescent="0.2">
      <c r="A28" s="215" t="s">
        <v>1417</v>
      </c>
      <c r="B28" s="195" t="s">
        <v>1455</v>
      </c>
      <c r="C28" s="195" t="s">
        <v>1455</v>
      </c>
      <c r="D28" s="195" t="s">
        <v>1455</v>
      </c>
      <c r="E28" s="195" t="s">
        <v>1455</v>
      </c>
      <c r="F28" s="195" t="s">
        <v>1455</v>
      </c>
      <c r="G28" s="195" t="s">
        <v>1455</v>
      </c>
      <c r="H28" s="195" t="s">
        <v>1455</v>
      </c>
      <c r="I28" s="195" t="s">
        <v>1455</v>
      </c>
      <c r="J28" s="195" t="s">
        <v>1455</v>
      </c>
      <c r="K28" s="195" t="s">
        <v>1455</v>
      </c>
      <c r="L28" s="195" t="s">
        <v>1455</v>
      </c>
      <c r="M28" s="195" t="s">
        <v>1455</v>
      </c>
      <c r="N28" s="195" t="s">
        <v>1455</v>
      </c>
      <c r="O28" s="195" t="s">
        <v>1455</v>
      </c>
      <c r="P28" s="195" t="s">
        <v>1455</v>
      </c>
      <c r="Q28" s="195" t="s">
        <v>1455</v>
      </c>
      <c r="R28" s="195" t="s">
        <v>1455</v>
      </c>
      <c r="S28" s="195" t="s">
        <v>1455</v>
      </c>
      <c r="T28" s="195" t="s">
        <v>1455</v>
      </c>
      <c r="U28" s="195" t="s">
        <v>1455</v>
      </c>
      <c r="V28" s="195" t="s">
        <v>1455</v>
      </c>
      <c r="W28" s="195" t="s">
        <v>1455</v>
      </c>
      <c r="X28" s="195" t="s">
        <v>1455</v>
      </c>
      <c r="Y28" s="195" t="s">
        <v>1455</v>
      </c>
      <c r="Z28" s="195" t="s">
        <v>1455</v>
      </c>
      <c r="AA28" s="195" t="s">
        <v>1455</v>
      </c>
    </row>
    <row r="29" spans="1:27" x14ac:dyDescent="0.2">
      <c r="A29" s="208" t="s">
        <v>1418</v>
      </c>
      <c r="B29" s="197" t="s">
        <v>1455</v>
      </c>
      <c r="C29" s="197" t="s">
        <v>1455</v>
      </c>
      <c r="D29" s="197" t="s">
        <v>1455</v>
      </c>
      <c r="E29" s="197" t="s">
        <v>1455</v>
      </c>
      <c r="F29" s="197" t="s">
        <v>1455</v>
      </c>
      <c r="G29" s="197" t="s">
        <v>1455</v>
      </c>
      <c r="H29" s="197" t="s">
        <v>1455</v>
      </c>
      <c r="I29" s="197" t="s">
        <v>1455</v>
      </c>
      <c r="J29" s="197" t="s">
        <v>1455</v>
      </c>
      <c r="K29" s="197" t="s">
        <v>1455</v>
      </c>
      <c r="L29" s="197" t="s">
        <v>1455</v>
      </c>
      <c r="M29" s="197" t="s">
        <v>1455</v>
      </c>
      <c r="N29" s="197" t="s">
        <v>1455</v>
      </c>
      <c r="O29" s="197" t="s">
        <v>1455</v>
      </c>
      <c r="P29" s="197" t="s">
        <v>1455</v>
      </c>
      <c r="Q29" s="197" t="s">
        <v>1455</v>
      </c>
      <c r="R29" s="197" t="s">
        <v>1455</v>
      </c>
      <c r="S29" s="197" t="s">
        <v>1455</v>
      </c>
      <c r="T29" s="197" t="s">
        <v>1455</v>
      </c>
      <c r="U29" s="197" t="s">
        <v>1455</v>
      </c>
      <c r="V29" s="197" t="s">
        <v>1455</v>
      </c>
      <c r="W29" s="197" t="s">
        <v>1455</v>
      </c>
      <c r="X29" s="197" t="s">
        <v>1455</v>
      </c>
      <c r="Y29" s="197" t="s">
        <v>1455</v>
      </c>
      <c r="Z29" s="197" t="s">
        <v>1455</v>
      </c>
      <c r="AA29" s="197" t="s">
        <v>1455</v>
      </c>
    </row>
    <row r="30" spans="1:27" x14ac:dyDescent="0.2">
      <c r="A30" s="209" t="s">
        <v>1419</v>
      </c>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3"/>
    </row>
    <row r="31" spans="1:27" x14ac:dyDescent="0.2">
      <c r="A31" s="215" t="s">
        <v>1420</v>
      </c>
      <c r="B31" s="195">
        <v>50.279347407619284</v>
      </c>
      <c r="C31" s="195">
        <v>54.826802375702641</v>
      </c>
      <c r="D31" s="195">
        <v>56.344423367644325</v>
      </c>
      <c r="E31" s="195">
        <v>60.040808683604403</v>
      </c>
      <c r="F31" s="195">
        <v>65.294845787813998</v>
      </c>
      <c r="G31" s="195">
        <v>65.879345099169484</v>
      </c>
      <c r="H31" s="195">
        <v>74.040632864622552</v>
      </c>
      <c r="I31" s="195">
        <v>75.075177520007912</v>
      </c>
      <c r="J31" s="195">
        <v>80.946477009651147</v>
      </c>
      <c r="K31" s="195">
        <v>83.280390249308581</v>
      </c>
      <c r="L31" s="195">
        <v>85.234831666393703</v>
      </c>
      <c r="M31" s="195">
        <v>99.949717756040727</v>
      </c>
      <c r="N31" s="195">
        <v>102.88130945626834</v>
      </c>
      <c r="O31" s="195">
        <v>107.45830930811886</v>
      </c>
      <c r="P31" s="195">
        <v>112.96422349746486</v>
      </c>
      <c r="Q31" s="195">
        <v>119.24939570414777</v>
      </c>
      <c r="R31" s="195">
        <v>127.39588052045272</v>
      </c>
      <c r="S31" s="195">
        <v>131.59816571556246</v>
      </c>
      <c r="T31" s="195">
        <v>141.45063523600555</v>
      </c>
      <c r="U31" s="195">
        <v>138.37112138784263</v>
      </c>
      <c r="V31" s="195">
        <v>136.38768014614578</v>
      </c>
      <c r="W31" s="195">
        <v>134.00692570083137</v>
      </c>
      <c r="X31" s="195">
        <v>136.16412835124942</v>
      </c>
      <c r="Y31" s="195">
        <v>137.40207565137058</v>
      </c>
      <c r="Z31" s="195">
        <v>119.96957630315464</v>
      </c>
      <c r="AA31" s="195">
        <v>119.96957630315464</v>
      </c>
    </row>
    <row r="32" spans="1:27" x14ac:dyDescent="0.2">
      <c r="A32" s="214" t="s">
        <v>1424</v>
      </c>
      <c r="B32" s="198">
        <v>2.5624131630612768</v>
      </c>
      <c r="C32" s="198">
        <v>2.7071356660865544</v>
      </c>
      <c r="D32" s="198">
        <v>2.8444838735393674</v>
      </c>
      <c r="E32" s="198">
        <v>3.3104829506754876</v>
      </c>
      <c r="F32" s="198">
        <v>3.8395353966856054</v>
      </c>
      <c r="G32" s="198">
        <v>3.9611042716095084</v>
      </c>
      <c r="H32" s="198">
        <v>4.7645246967038215</v>
      </c>
      <c r="I32" s="198">
        <v>4.9728924567553756</v>
      </c>
      <c r="J32" s="198">
        <v>5.6576155964480659</v>
      </c>
      <c r="K32" s="198">
        <v>6.0291617568316322</v>
      </c>
      <c r="L32" s="198">
        <v>6.3114126977023162</v>
      </c>
      <c r="M32" s="198">
        <v>7.8541275424970447</v>
      </c>
      <c r="N32" s="198">
        <v>6.0154177837842671</v>
      </c>
      <c r="O32" s="198">
        <v>8.9669988206689233</v>
      </c>
      <c r="P32" s="198">
        <v>9.719265437580928</v>
      </c>
      <c r="Q32" s="198">
        <v>10.613270586153613</v>
      </c>
      <c r="R32" s="198">
        <v>11.778633318532595</v>
      </c>
      <c r="S32" s="198">
        <v>12.568851374803355</v>
      </c>
      <c r="T32" s="198">
        <v>14.094646985506847</v>
      </c>
      <c r="U32" s="198">
        <v>14.240616052038733</v>
      </c>
      <c r="V32" s="198">
        <v>14.563825514095546</v>
      </c>
      <c r="W32" s="198">
        <v>14.358946268319951</v>
      </c>
      <c r="X32" s="198">
        <v>14.312920981716635</v>
      </c>
      <c r="Y32" s="198">
        <v>14.066903309010744</v>
      </c>
      <c r="Z32" s="198">
        <v>14.020754505332816</v>
      </c>
      <c r="AA32" s="198">
        <v>14.020754505332816</v>
      </c>
    </row>
    <row r="33" spans="1:27" x14ac:dyDescent="0.2">
      <c r="A33" s="214" t="s">
        <v>1425</v>
      </c>
      <c r="B33" s="198">
        <v>16.441886951329529</v>
      </c>
      <c r="C33" s="198">
        <v>18.226074799824257</v>
      </c>
      <c r="D33" s="198">
        <v>17.970396049958651</v>
      </c>
      <c r="E33" s="198">
        <v>17.762076740220412</v>
      </c>
      <c r="F33" s="198">
        <v>17.444412205539109</v>
      </c>
      <c r="G33" s="198">
        <v>17.424202028864741</v>
      </c>
      <c r="H33" s="198">
        <v>16.954120363224735</v>
      </c>
      <c r="I33" s="198">
        <v>16.832656256465285</v>
      </c>
      <c r="J33" s="198">
        <v>16.335236225431416</v>
      </c>
      <c r="K33" s="198">
        <v>16.068211904040218</v>
      </c>
      <c r="L33" s="198">
        <v>16.004132993426914</v>
      </c>
      <c r="M33" s="198">
        <v>15.075066683009211</v>
      </c>
      <c r="N33" s="198">
        <v>14.947602894550554</v>
      </c>
      <c r="O33" s="198">
        <v>14.503616624218193</v>
      </c>
      <c r="P33" s="198">
        <v>14.139038012305098</v>
      </c>
      <c r="Q33" s="198">
        <v>13.662240851400588</v>
      </c>
      <c r="R33" s="198">
        <v>12.930221753789077</v>
      </c>
      <c r="S33" s="198">
        <v>12.524350510490979</v>
      </c>
      <c r="T33" s="198">
        <v>11.519923113597033</v>
      </c>
      <c r="U33" s="198">
        <v>11.336989110691338</v>
      </c>
      <c r="V33" s="198">
        <v>11.013393700937991</v>
      </c>
      <c r="W33" s="198">
        <v>10.811945649226258</v>
      </c>
      <c r="X33" s="198">
        <v>10.761183809342633</v>
      </c>
      <c r="Y33" s="198">
        <v>10.60275536073102</v>
      </c>
      <c r="Z33" s="198">
        <v>10.594634571570554</v>
      </c>
      <c r="AA33" s="198">
        <v>10.594634571570554</v>
      </c>
    </row>
    <row r="34" spans="1:27" x14ac:dyDescent="0.2">
      <c r="A34" s="208" t="s">
        <v>1426</v>
      </c>
      <c r="B34" s="197">
        <v>5.1267423832709014</v>
      </c>
      <c r="C34" s="197">
        <v>5.683069737282735</v>
      </c>
      <c r="D34" s="197">
        <v>5.6033465834064256</v>
      </c>
      <c r="E34" s="197">
        <v>5.5383905696806162</v>
      </c>
      <c r="F34" s="197">
        <v>5.4393396372399829</v>
      </c>
      <c r="G34" s="197">
        <v>5.4330379049852509</v>
      </c>
      <c r="H34" s="197">
        <v>5.2864618090682107</v>
      </c>
      <c r="I34" s="197">
        <v>5.248588103573633</v>
      </c>
      <c r="J34" s="197">
        <v>5.0934876359120995</v>
      </c>
      <c r="K34" s="197">
        <v>5.0102268210255376</v>
      </c>
      <c r="L34" s="197">
        <v>4.990246385210142</v>
      </c>
      <c r="M34" s="197">
        <v>4.7005543538400785</v>
      </c>
      <c r="N34" s="197">
        <v>4.6608098884659013</v>
      </c>
      <c r="O34" s="197">
        <v>4.5223705939712247</v>
      </c>
      <c r="P34" s="197">
        <v>4.4086913899199036</v>
      </c>
      <c r="Q34" s="197">
        <v>4.2600213363993911</v>
      </c>
      <c r="R34" s="197">
        <v>4.031770567847234</v>
      </c>
      <c r="S34" s="197">
        <v>3.9052159143985938</v>
      </c>
      <c r="T34" s="197">
        <v>3.5920255535952519</v>
      </c>
      <c r="U34" s="197">
        <v>3.534984928707475</v>
      </c>
      <c r="V34" s="197">
        <v>3.4340846909716674</v>
      </c>
      <c r="W34" s="197">
        <v>3.3712712032135386</v>
      </c>
      <c r="X34" s="197">
        <v>3.3554431612889988</v>
      </c>
      <c r="Y34" s="197">
        <v>3.3060436097279586</v>
      </c>
      <c r="Z34" s="197">
        <v>3.3035114676388035</v>
      </c>
      <c r="AA34" s="197">
        <v>3.3035114676388035</v>
      </c>
    </row>
    <row r="35" spans="1:27" x14ac:dyDescent="0.2">
      <c r="A35" s="209" t="s">
        <v>1427</v>
      </c>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3"/>
    </row>
    <row r="36" spans="1:27" ht="24" x14ac:dyDescent="0.2">
      <c r="A36" s="215" t="s">
        <v>1948</v>
      </c>
      <c r="B36" s="195">
        <v>10.251832039096572</v>
      </c>
      <c r="C36" s="195">
        <v>9.8856951805574074</v>
      </c>
      <c r="D36" s="195">
        <v>9.4280241073834556</v>
      </c>
      <c r="E36" s="195">
        <v>9.7026267512878253</v>
      </c>
      <c r="F36" s="195">
        <v>9.9772293951921984</v>
      </c>
      <c r="G36" s="195">
        <v>8.78728460493992</v>
      </c>
      <c r="H36" s="195">
        <v>9.3364898927486646</v>
      </c>
      <c r="I36" s="195">
        <v>9.5195583220182449</v>
      </c>
      <c r="J36" s="195">
        <v>9.702626751287827</v>
      </c>
      <c r="K36" s="195">
        <v>10.251832039096572</v>
      </c>
      <c r="L36" s="195">
        <v>9.3364898927486628</v>
      </c>
      <c r="M36" s="195">
        <v>10.343366253731361</v>
      </c>
      <c r="N36" s="195">
        <v>10.617968897635734</v>
      </c>
      <c r="O36" s="195">
        <v>10.251832039096572</v>
      </c>
      <c r="P36" s="195">
        <v>9.7941609659226163</v>
      </c>
      <c r="Q36" s="195">
        <v>10.251832039096572</v>
      </c>
      <c r="R36" s="195">
        <v>11.258708400079271</v>
      </c>
      <c r="S36" s="195">
        <v>11.167174185444479</v>
      </c>
      <c r="T36" s="195">
        <v>11.899447902522805</v>
      </c>
      <c r="U36" s="195">
        <v>11.624845258618432</v>
      </c>
      <c r="V36" s="195">
        <v>15.743884917184019</v>
      </c>
      <c r="W36" s="195">
        <v>17.208432351340672</v>
      </c>
      <c r="X36" s="195">
        <v>20.961335151367095</v>
      </c>
      <c r="Y36" s="195">
        <v>24.897306380663103</v>
      </c>
      <c r="Z36" s="195">
        <v>25.354977453837055</v>
      </c>
      <c r="AA36" s="195">
        <v>25.354977453837055</v>
      </c>
    </row>
    <row r="37" spans="1:27" ht="24" x14ac:dyDescent="0.2">
      <c r="A37" s="208" t="s">
        <v>1949</v>
      </c>
      <c r="B37" s="197">
        <v>2.0503664078193133</v>
      </c>
      <c r="C37" s="197">
        <v>1.9771390361114807</v>
      </c>
      <c r="D37" s="197">
        <v>1.8856048214766903</v>
      </c>
      <c r="E37" s="197">
        <v>1.9405253502575646</v>
      </c>
      <c r="F37" s="197">
        <v>1.9954458790384391</v>
      </c>
      <c r="G37" s="197">
        <v>1.7574569209879833</v>
      </c>
      <c r="H37" s="197">
        <v>1.8672979785497319</v>
      </c>
      <c r="I37" s="197">
        <v>1.9039116644036482</v>
      </c>
      <c r="J37" s="197">
        <v>1.9405253502575646</v>
      </c>
      <c r="K37" s="197">
        <v>2.0503664078193138</v>
      </c>
      <c r="L37" s="197">
        <v>1.8672979785497319</v>
      </c>
      <c r="M37" s="197">
        <v>2.0686732507462717</v>
      </c>
      <c r="N37" s="197">
        <v>2.123593779527146</v>
      </c>
      <c r="O37" s="197">
        <v>2.0503664078193133</v>
      </c>
      <c r="P37" s="197">
        <v>1.9588321931845227</v>
      </c>
      <c r="Q37" s="197">
        <v>2.0503664078193133</v>
      </c>
      <c r="R37" s="197">
        <v>2.2517416800158534</v>
      </c>
      <c r="S37" s="197">
        <v>2.2334348370888946</v>
      </c>
      <c r="T37" s="197">
        <v>2.3798895805045603</v>
      </c>
      <c r="U37" s="197">
        <v>2.3249690517236861</v>
      </c>
      <c r="V37" s="197">
        <v>3.1487769834368029</v>
      </c>
      <c r="W37" s="197">
        <v>3.4416864702681331</v>
      </c>
      <c r="X37" s="197">
        <v>4.1922670302734177</v>
      </c>
      <c r="Y37" s="197">
        <v>4.9794612761326187</v>
      </c>
      <c r="Z37" s="197">
        <v>5.0709954907674089</v>
      </c>
      <c r="AA37" s="197">
        <v>5.0709954907674089</v>
      </c>
    </row>
    <row r="38" spans="1:27" x14ac:dyDescent="0.2">
      <c r="A38" s="209" t="s">
        <v>1434</v>
      </c>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3"/>
    </row>
    <row r="39" spans="1:27" x14ac:dyDescent="0.2">
      <c r="A39" s="219" t="s">
        <v>1435</v>
      </c>
      <c r="B39" s="220" t="s">
        <v>1455</v>
      </c>
      <c r="C39" s="220" t="s">
        <v>1455</v>
      </c>
      <c r="D39" s="220" t="s">
        <v>1455</v>
      </c>
      <c r="E39" s="220" t="s">
        <v>1455</v>
      </c>
      <c r="F39" s="220" t="s">
        <v>1455</v>
      </c>
      <c r="G39" s="220" t="s">
        <v>1455</v>
      </c>
      <c r="H39" s="220" t="s">
        <v>1455</v>
      </c>
      <c r="I39" s="220" t="s">
        <v>1455</v>
      </c>
      <c r="J39" s="220" t="s">
        <v>1455</v>
      </c>
      <c r="K39" s="220" t="s">
        <v>1455</v>
      </c>
      <c r="L39" s="220" t="s">
        <v>1455</v>
      </c>
      <c r="M39" s="220" t="s">
        <v>1455</v>
      </c>
      <c r="N39" s="220" t="s">
        <v>1455</v>
      </c>
      <c r="O39" s="220" t="s">
        <v>1455</v>
      </c>
      <c r="P39" s="220" t="s">
        <v>1455</v>
      </c>
      <c r="Q39" s="220" t="s">
        <v>1455</v>
      </c>
      <c r="R39" s="220" t="s">
        <v>1455</v>
      </c>
      <c r="S39" s="220" t="s">
        <v>1455</v>
      </c>
      <c r="T39" s="220" t="s">
        <v>1455</v>
      </c>
      <c r="U39" s="220" t="s">
        <v>1455</v>
      </c>
      <c r="V39" s="220" t="s">
        <v>1455</v>
      </c>
      <c r="W39" s="220" t="s">
        <v>1455</v>
      </c>
      <c r="X39" s="220" t="s">
        <v>1455</v>
      </c>
      <c r="Y39" s="220" t="s">
        <v>1455</v>
      </c>
      <c r="Z39" s="220" t="s">
        <v>1455</v>
      </c>
      <c r="AA39" s="220" t="s">
        <v>1455</v>
      </c>
    </row>
    <row r="40" spans="1:27" x14ac:dyDescent="0.2">
      <c r="A40" s="209" t="s">
        <v>1950</v>
      </c>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3"/>
    </row>
    <row r="41" spans="1:27" ht="24" x14ac:dyDescent="0.2">
      <c r="A41" s="215" t="s">
        <v>1410</v>
      </c>
      <c r="B41" s="346">
        <v>2.5091264732333113E-2</v>
      </c>
      <c r="C41" s="346">
        <v>2.6269393261390411E-2</v>
      </c>
      <c r="D41" s="346">
        <v>2.5740767498288655E-2</v>
      </c>
      <c r="E41" s="346">
        <v>2.5940987243885247E-2</v>
      </c>
      <c r="F41" s="346">
        <v>2.6358887723809146E-2</v>
      </c>
      <c r="G41" s="346">
        <v>2.6116447943037066E-2</v>
      </c>
      <c r="H41" s="346">
        <v>2.6779201273892949E-2</v>
      </c>
      <c r="I41" s="346">
        <v>2.6622657766143431E-2</v>
      </c>
      <c r="J41" s="346">
        <v>2.7899225711145687E-2</v>
      </c>
      <c r="K41" s="346">
        <v>2.8309691534736541E-2</v>
      </c>
      <c r="L41" s="346">
        <v>2.747541223720748E-2</v>
      </c>
      <c r="M41" s="346">
        <v>3.0113462357890284E-2</v>
      </c>
      <c r="N41" s="346">
        <v>3.0279215066382016E-2</v>
      </c>
      <c r="O41" s="346">
        <v>3.1094524467168132E-2</v>
      </c>
      <c r="P41" s="346">
        <v>3.2020725806241976E-2</v>
      </c>
      <c r="Q41" s="346">
        <v>3.215384637032348E-2</v>
      </c>
      <c r="R41" s="346">
        <v>3.3330130534508819E-2</v>
      </c>
      <c r="S41" s="346">
        <v>3.3707627923418096E-2</v>
      </c>
      <c r="T41" s="346">
        <v>3.5303836970114646E-2</v>
      </c>
      <c r="U41" s="346">
        <v>3.5191077163568438E-2</v>
      </c>
      <c r="V41" s="346">
        <v>3.5253189645835077E-2</v>
      </c>
      <c r="W41" s="346">
        <v>3.5509589776972016E-2</v>
      </c>
      <c r="X41" s="346">
        <v>3.4816214198965405E-2</v>
      </c>
      <c r="Y41" s="346">
        <v>3.4458244436202948E-2</v>
      </c>
      <c r="Z41" s="346">
        <v>3.4401592207208391E-2</v>
      </c>
      <c r="AA41" s="346">
        <v>3.4401592207208391E-2</v>
      </c>
    </row>
    <row r="42" spans="1:27" ht="24" x14ac:dyDescent="0.2">
      <c r="A42" s="214" t="s">
        <v>1951</v>
      </c>
      <c r="B42" s="217">
        <v>15.33433390673607</v>
      </c>
      <c r="C42" s="217">
        <v>18.336391801421119</v>
      </c>
      <c r="D42" s="217">
        <v>18.189451402860737</v>
      </c>
      <c r="E42" s="217">
        <v>19.402189983500943</v>
      </c>
      <c r="F42" s="217">
        <v>20.592788812654078</v>
      </c>
      <c r="G42" s="217">
        <v>21.271530660902741</v>
      </c>
      <c r="H42" s="217">
        <v>22.828721651504445</v>
      </c>
      <c r="I42" s="217">
        <v>23.936067100041171</v>
      </c>
      <c r="J42" s="217">
        <v>25.061483332376937</v>
      </c>
      <c r="K42" s="217">
        <v>26.478712967041275</v>
      </c>
      <c r="L42" s="217">
        <v>29.12154162038016</v>
      </c>
      <c r="M42" s="217">
        <v>32.753663619811817</v>
      </c>
      <c r="N42" s="217">
        <v>35.170371506372625</v>
      </c>
      <c r="O42" s="217">
        <v>37.994725789302976</v>
      </c>
      <c r="P42" s="217">
        <v>40.237509923262586</v>
      </c>
      <c r="Q42" s="217">
        <v>44.253093696309833</v>
      </c>
      <c r="R42" s="217">
        <v>48.393275358146511</v>
      </c>
      <c r="S42" s="217">
        <v>51.331404152137132</v>
      </c>
      <c r="T42" s="217">
        <v>55.689966344811971</v>
      </c>
      <c r="U42" s="217">
        <v>57.124980718039957</v>
      </c>
      <c r="V42" s="217">
        <v>58.34947642196159</v>
      </c>
      <c r="W42" s="217">
        <v>44.118160109483881</v>
      </c>
      <c r="X42" s="217">
        <v>26.149641254993799</v>
      </c>
      <c r="Y42" s="217">
        <v>26.149641254993799</v>
      </c>
      <c r="Z42" s="217">
        <v>26.149641254993799</v>
      </c>
      <c r="AA42" s="217">
        <v>26.149641254993799</v>
      </c>
    </row>
    <row r="43" spans="1:27" ht="24" x14ac:dyDescent="0.2">
      <c r="A43" s="214" t="s">
        <v>1437</v>
      </c>
      <c r="B43" s="217">
        <v>0</v>
      </c>
      <c r="C43" s="217">
        <v>0.28883588102863411</v>
      </c>
      <c r="D43" s="217">
        <v>0.57672206122914771</v>
      </c>
      <c r="E43" s="217">
        <v>0.90323269777315895</v>
      </c>
      <c r="F43" s="217">
        <v>1.2483386772956411</v>
      </c>
      <c r="G43" s="217">
        <v>1.5910866763397122</v>
      </c>
      <c r="H43" s="217">
        <v>2.0040377225130244</v>
      </c>
      <c r="I43" s="217">
        <v>2.4052108013858957</v>
      </c>
      <c r="J43" s="217">
        <v>2.8616325082569012</v>
      </c>
      <c r="K43" s="217">
        <v>3.3388417427670491</v>
      </c>
      <c r="L43" s="217">
        <v>3.9150550551788421</v>
      </c>
      <c r="M43" s="217">
        <v>4.8378155343972109</v>
      </c>
      <c r="N43" s="217">
        <v>5.5945699887486287</v>
      </c>
      <c r="O43" s="217">
        <v>6.4610410526903781</v>
      </c>
      <c r="P43" s="217">
        <v>7.3353153107734625</v>
      </c>
      <c r="Q43" s="217">
        <v>8.4150317862759376</v>
      </c>
      <c r="R43" s="217">
        <v>9.6894910852975471</v>
      </c>
      <c r="S43" s="217">
        <v>10.767212195471568</v>
      </c>
      <c r="T43" s="217">
        <v>12.215461092455371</v>
      </c>
      <c r="U43" s="217">
        <v>13.117011973608248</v>
      </c>
      <c r="V43" s="217">
        <v>13.946995048264039</v>
      </c>
      <c r="W43" s="217">
        <v>14.122137572728905</v>
      </c>
      <c r="X43" s="217">
        <v>14.05764665115839</v>
      </c>
      <c r="Y43" s="217">
        <v>13.801444532219907</v>
      </c>
      <c r="Z43" s="217">
        <v>13.779757108404111</v>
      </c>
      <c r="AA43" s="217">
        <v>13.779757108404111</v>
      </c>
    </row>
    <row r="44" spans="1:27" ht="24" x14ac:dyDescent="0.2">
      <c r="A44" s="208" t="s">
        <v>1438</v>
      </c>
      <c r="B44" s="218">
        <v>235.79364272171514</v>
      </c>
      <c r="C44" s="218">
        <v>231.42288810292331</v>
      </c>
      <c r="D44" s="218">
        <v>224.68649126784189</v>
      </c>
      <c r="E44" s="218">
        <v>222.20527204421919</v>
      </c>
      <c r="F44" s="218">
        <v>218.37279803616073</v>
      </c>
      <c r="G44" s="218">
        <v>211.45776441645938</v>
      </c>
      <c r="H44" s="218">
        <v>203.4294242001875</v>
      </c>
      <c r="I44" s="218">
        <v>196.59995975792992</v>
      </c>
      <c r="J44" s="218">
        <v>191.43729631759308</v>
      </c>
      <c r="K44" s="218">
        <v>191.10282419794089</v>
      </c>
      <c r="L44" s="218">
        <v>196.95691180705796</v>
      </c>
      <c r="M44" s="218">
        <v>204.71995093630849</v>
      </c>
      <c r="N44" s="218">
        <v>203.96395251088194</v>
      </c>
      <c r="O44" s="218">
        <v>194.99029998107318</v>
      </c>
      <c r="P44" s="218">
        <v>183.73858280003867</v>
      </c>
      <c r="Q44" s="218">
        <v>170.43968552293626</v>
      </c>
      <c r="R44" s="218">
        <v>153.58537649707074</v>
      </c>
      <c r="S44" s="218">
        <v>129.20485683753981</v>
      </c>
      <c r="T44" s="218">
        <v>100.1101089269102</v>
      </c>
      <c r="U44" s="218">
        <v>64.06587730565046</v>
      </c>
      <c r="V44" s="218">
        <v>26.143696457620255</v>
      </c>
      <c r="W44" s="218">
        <v>26.456779484814614</v>
      </c>
      <c r="X44" s="218">
        <v>26.331753890305496</v>
      </c>
      <c r="Y44" s="218">
        <v>25.843220119559941</v>
      </c>
      <c r="Z44" s="218">
        <v>25.705127585219358</v>
      </c>
      <c r="AA44" s="218">
        <v>25.705127585219358</v>
      </c>
    </row>
    <row r="45" spans="1:27" x14ac:dyDescent="0.2">
      <c r="A45" s="209" t="s">
        <v>1439</v>
      </c>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3"/>
    </row>
    <row r="46" spans="1:27" x14ac:dyDescent="0.2">
      <c r="A46" s="215" t="s">
        <v>1440</v>
      </c>
      <c r="B46" s="346">
        <v>3.0889823798917963E-2</v>
      </c>
      <c r="C46" s="346">
        <v>3.3904155379506168E-2</v>
      </c>
      <c r="D46" s="346">
        <v>3.3508723571984408E-2</v>
      </c>
      <c r="E46" s="346">
        <v>3.4650280806185395E-2</v>
      </c>
      <c r="F46" s="346">
        <v>3.5882336650815562E-2</v>
      </c>
      <c r="G46" s="346">
        <v>3.6207767092333143E-2</v>
      </c>
      <c r="H46" s="346">
        <v>3.7984210807936611E-2</v>
      </c>
      <c r="I46" s="346">
        <v>3.8754065883529927E-2</v>
      </c>
      <c r="J46" s="346">
        <v>4.0496249751608135E-2</v>
      </c>
      <c r="K46" s="346">
        <v>4.1768975274718449E-2</v>
      </c>
      <c r="L46" s="346">
        <v>4.3151168182153928E-2</v>
      </c>
      <c r="M46" s="346">
        <v>4.7779775458328289E-2</v>
      </c>
      <c r="N46" s="346">
        <v>4.9683476177436271E-2</v>
      </c>
      <c r="O46" s="346">
        <v>5.2384044729295164E-2</v>
      </c>
      <c r="P46" s="346">
        <v>5.4644879687820648E-2</v>
      </c>
      <c r="Q46" s="346">
        <v>5.7800049349183445E-2</v>
      </c>
      <c r="R46" s="346">
        <v>6.1761585203861644E-2</v>
      </c>
      <c r="S46" s="346">
        <v>6.4149650055580279E-2</v>
      </c>
      <c r="T46" s="346">
        <v>6.8643324958722898E-2</v>
      </c>
      <c r="U46" s="346">
        <v>6.9657472884388019E-2</v>
      </c>
      <c r="V46" s="346">
        <v>7.0767536885346261E-2</v>
      </c>
      <c r="W46" s="346">
        <v>7.1660582946712362E-2</v>
      </c>
      <c r="X46" s="346">
        <v>7.1324138133214032E-2</v>
      </c>
      <c r="Y46" s="346">
        <v>7.027408892364706E-2</v>
      </c>
      <c r="Z46" s="346">
        <v>7.022026507879002E-2</v>
      </c>
      <c r="AA46" s="346">
        <v>7.022026507879002E-2</v>
      </c>
    </row>
    <row r="47" spans="1:27" x14ac:dyDescent="0.2">
      <c r="A47" s="214" t="s">
        <v>1441</v>
      </c>
      <c r="B47" s="217">
        <v>0.15808477494250828</v>
      </c>
      <c r="C47" s="217">
        <v>0.16468174996207391</v>
      </c>
      <c r="D47" s="217">
        <v>0.16379641268469927</v>
      </c>
      <c r="E47" s="217">
        <v>0.16688864057684297</v>
      </c>
      <c r="F47" s="217">
        <v>0.17103752900759583</v>
      </c>
      <c r="G47" s="217">
        <v>0.17243251953639041</v>
      </c>
      <c r="H47" s="217">
        <v>0.17679836207927888</v>
      </c>
      <c r="I47" s="217">
        <v>0.1793701349284551</v>
      </c>
      <c r="J47" s="217">
        <v>0.18591826933879596</v>
      </c>
      <c r="K47" s="217">
        <v>0.19271827940389272</v>
      </c>
      <c r="L47" s="217">
        <v>0.20106236270342942</v>
      </c>
      <c r="M47" s="217">
        <v>0.21761429100350602</v>
      </c>
      <c r="N47" s="217">
        <v>0.22745673843258299</v>
      </c>
      <c r="O47" s="217">
        <v>0.2378118280838166</v>
      </c>
      <c r="P47" s="217">
        <v>0.24898725340511318</v>
      </c>
      <c r="Q47" s="217">
        <v>0.26191818153033192</v>
      </c>
      <c r="R47" s="217">
        <v>0.27783790095014027</v>
      </c>
      <c r="S47" s="217">
        <v>0.29058159711386211</v>
      </c>
      <c r="T47" s="217">
        <v>0.30623020165856646</v>
      </c>
      <c r="U47" s="217">
        <v>0.31075171081788017</v>
      </c>
      <c r="V47" s="217">
        <v>0.31270588532799082</v>
      </c>
      <c r="W47" s="217">
        <v>0.31583777902895777</v>
      </c>
      <c r="X47" s="217">
        <v>0.31417100374890022</v>
      </c>
      <c r="Y47" s="217">
        <v>0.30956666970318064</v>
      </c>
      <c r="Z47" s="217">
        <v>0.30803457168882892</v>
      </c>
      <c r="AA47" s="217">
        <v>0.30803457168882892</v>
      </c>
    </row>
    <row r="48" spans="1:27" x14ac:dyDescent="0.2">
      <c r="A48" s="214" t="s">
        <v>1442</v>
      </c>
      <c r="B48" s="217">
        <v>0.11982539744967008</v>
      </c>
      <c r="C48" s="217">
        <v>0.12224464038458023</v>
      </c>
      <c r="D48" s="217">
        <v>0.12191563823802679</v>
      </c>
      <c r="E48" s="217">
        <v>0.13221156203819612</v>
      </c>
      <c r="F48" s="217">
        <v>0.14177684534881682</v>
      </c>
      <c r="G48" s="217">
        <v>0.14402823021678832</v>
      </c>
      <c r="H48" s="217">
        <v>0.16016532558499733</v>
      </c>
      <c r="I48" s="217">
        <v>0.1663988909284124</v>
      </c>
      <c r="J48" s="217">
        <v>0.17915795732560777</v>
      </c>
      <c r="K48" s="217">
        <v>0.18545883516078657</v>
      </c>
      <c r="L48" s="217">
        <v>0.19181693998648852</v>
      </c>
      <c r="M48" s="217">
        <v>0.22755602072312683</v>
      </c>
      <c r="N48" s="217">
        <v>0.23892406291652468</v>
      </c>
      <c r="O48" s="217">
        <v>0.25947411867442655</v>
      </c>
      <c r="P48" s="217">
        <v>0.27318862415971823</v>
      </c>
      <c r="Q48" s="217">
        <v>0.29597307394506506</v>
      </c>
      <c r="R48" s="217">
        <v>0.32435503009759875</v>
      </c>
      <c r="S48" s="217">
        <v>0.33736868254706071</v>
      </c>
      <c r="T48" s="217">
        <v>0.37259262754712885</v>
      </c>
      <c r="U48" s="217">
        <v>0.37933342387387292</v>
      </c>
      <c r="V48" s="217">
        <v>0.39105434147081936</v>
      </c>
      <c r="W48" s="217">
        <v>0.39812339200881081</v>
      </c>
      <c r="X48" s="217">
        <v>0.39625421170262587</v>
      </c>
      <c r="Y48" s="217">
        <v>0.39042047248507233</v>
      </c>
      <c r="Z48" s="217">
        <v>0.39012144433313317</v>
      </c>
      <c r="AA48" s="217">
        <v>0.39012144433313317</v>
      </c>
    </row>
    <row r="49" spans="1:27" x14ac:dyDescent="0.2">
      <c r="A49" s="208" t="s">
        <v>1443</v>
      </c>
      <c r="B49" s="218">
        <v>0.26806725772855439</v>
      </c>
      <c r="C49" s="218">
        <v>0.27347946443217036</v>
      </c>
      <c r="D49" s="218">
        <v>0.27274343763742975</v>
      </c>
      <c r="E49" s="218">
        <v>0.29577695238168789</v>
      </c>
      <c r="F49" s="218">
        <v>0.31717591554850577</v>
      </c>
      <c r="G49" s="218">
        <v>0.32221259876002745</v>
      </c>
      <c r="H49" s="218">
        <v>0.35831368413199061</v>
      </c>
      <c r="I49" s="218">
        <v>0.37225909806798774</v>
      </c>
      <c r="J49" s="218">
        <v>0.40080302959727254</v>
      </c>
      <c r="K49" s="218">
        <v>0.41489903160109193</v>
      </c>
      <c r="L49" s="218">
        <v>0.4291230589045899</v>
      </c>
      <c r="M49" s="218">
        <v>0.50907670454831999</v>
      </c>
      <c r="N49" s="218">
        <v>0.53450870779126081</v>
      </c>
      <c r="O49" s="218">
        <v>0.58048224270487092</v>
      </c>
      <c r="P49" s="218">
        <v>0.61116363375212002</v>
      </c>
      <c r="Q49" s="218">
        <v>0.66213584083682675</v>
      </c>
      <c r="R49" s="218">
        <v>0.72563050320986366</v>
      </c>
      <c r="S49" s="218">
        <v>0.75474398164939926</v>
      </c>
      <c r="T49" s="218">
        <v>0.8335451919396949</v>
      </c>
      <c r="U49" s="218">
        <v>0.84862535711900067</v>
      </c>
      <c r="V49" s="218">
        <v>0.87484679518763309</v>
      </c>
      <c r="W49" s="218">
        <v>0.89066131391902204</v>
      </c>
      <c r="X49" s="218">
        <v>0.88647967922768145</v>
      </c>
      <c r="Y49" s="218">
        <v>0.87342873587479208</v>
      </c>
      <c r="Z49" s="218">
        <v>0.87275976536953992</v>
      </c>
      <c r="AA49" s="218">
        <v>0.87275976536953992</v>
      </c>
    </row>
    <row r="50" spans="1:27" x14ac:dyDescent="0.2">
      <c r="A50" s="209" t="s">
        <v>1445</v>
      </c>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3"/>
    </row>
    <row r="51" spans="1:27" x14ac:dyDescent="0.2">
      <c r="A51" s="215" t="s">
        <v>1446</v>
      </c>
      <c r="B51" s="346">
        <v>3.0744665532068012E-2</v>
      </c>
      <c r="C51" s="346">
        <v>3.4080916341401965E-2</v>
      </c>
      <c r="D51" s="346">
        <v>3.3602822940593143E-2</v>
      </c>
      <c r="E51" s="346">
        <v>3.4767229484995756E-2</v>
      </c>
      <c r="F51" s="346">
        <v>3.6067379446076506E-2</v>
      </c>
      <c r="G51" s="346">
        <v>3.6431159439987551E-2</v>
      </c>
      <c r="H51" s="346">
        <v>3.8228084125709015E-2</v>
      </c>
      <c r="I51" s="346">
        <v>3.9043290077379562E-2</v>
      </c>
      <c r="J51" s="346">
        <v>4.0913752329795557E-2</v>
      </c>
      <c r="K51" s="346">
        <v>4.2377167535580303E-2</v>
      </c>
      <c r="L51" s="346">
        <v>4.4013183873199059E-2</v>
      </c>
      <c r="M51" s="346">
        <v>4.8944490661496962E-2</v>
      </c>
      <c r="N51" s="346">
        <v>5.1114382104280584E-2</v>
      </c>
      <c r="O51" s="346">
        <v>5.4029604865477546E-2</v>
      </c>
      <c r="P51" s="346">
        <v>5.6599226716690577E-2</v>
      </c>
      <c r="Q51" s="346">
        <v>6.0042006699457355E-2</v>
      </c>
      <c r="R51" s="346">
        <v>6.4357465660285454E-2</v>
      </c>
      <c r="S51" s="346">
        <v>6.7123209809636139E-2</v>
      </c>
      <c r="T51" s="346">
        <v>7.1906610655089492E-2</v>
      </c>
      <c r="U51" s="346">
        <v>7.3034734096374301E-2</v>
      </c>
      <c r="V51" s="346">
        <v>7.4118088560901199E-2</v>
      </c>
      <c r="W51" s="346">
        <v>7.5071965905216795E-2</v>
      </c>
      <c r="X51" s="346">
        <v>7.4719504726011549E-2</v>
      </c>
      <c r="Y51" s="346">
        <v>7.3619468203589847E-2</v>
      </c>
      <c r="Z51" s="346">
        <v>7.3563082088938817E-2</v>
      </c>
      <c r="AA51" s="346">
        <v>7.3563082088938817E-2</v>
      </c>
    </row>
    <row r="52" spans="1:27" x14ac:dyDescent="0.2">
      <c r="A52" s="214" t="s">
        <v>1447</v>
      </c>
      <c r="B52" s="217">
        <v>8.556581778038827E-2</v>
      </c>
      <c r="C52" s="217">
        <v>8.9135076262975912E-2</v>
      </c>
      <c r="D52" s="217">
        <v>8.8659472550312687E-2</v>
      </c>
      <c r="E52" s="217">
        <v>9.0333030546095497E-2</v>
      </c>
      <c r="F52" s="217">
        <v>9.2578114724656269E-2</v>
      </c>
      <c r="G52" s="217">
        <v>9.3330463042960027E-2</v>
      </c>
      <c r="H52" s="217">
        <v>9.5693668175680757E-2</v>
      </c>
      <c r="I52" s="217">
        <v>9.7087460229780834E-2</v>
      </c>
      <c r="J52" s="217">
        <v>0.10063124205107481</v>
      </c>
      <c r="K52" s="217">
        <v>0.10431286035685972</v>
      </c>
      <c r="L52" s="217">
        <v>0.10882759478514785</v>
      </c>
      <c r="M52" s="217">
        <v>0.11778657682275837</v>
      </c>
      <c r="N52" s="217">
        <v>0.12311373436374315</v>
      </c>
      <c r="O52" s="217">
        <v>0.12872066427676851</v>
      </c>
      <c r="P52" s="217">
        <v>0.13476633160025278</v>
      </c>
      <c r="Q52" s="217">
        <v>0.14176650104200889</v>
      </c>
      <c r="R52" s="217">
        <v>0.15038410952129683</v>
      </c>
      <c r="S52" s="217">
        <v>0.15728260259425181</v>
      </c>
      <c r="T52" s="217">
        <v>0.16575099275954233</v>
      </c>
      <c r="U52" s="217">
        <v>0.16819976925050892</v>
      </c>
      <c r="V52" s="217">
        <v>0.16925694067340624</v>
      </c>
      <c r="W52" s="217">
        <v>0.17095009147753618</v>
      </c>
      <c r="X52" s="217">
        <v>0.17004938638901951</v>
      </c>
      <c r="Y52" s="217">
        <v>0.16755660424147215</v>
      </c>
      <c r="Z52" s="217">
        <v>0.16672689708974478</v>
      </c>
      <c r="AA52" s="217">
        <v>0.16672689708974478</v>
      </c>
    </row>
    <row r="53" spans="1:27" x14ac:dyDescent="0.2">
      <c r="A53" s="208" t="s">
        <v>1952</v>
      </c>
      <c r="B53" s="218">
        <v>9092.7171096666698</v>
      </c>
      <c r="C53" s="218">
        <v>10299.031769546667</v>
      </c>
      <c r="D53" s="218">
        <v>10172.490763600001</v>
      </c>
      <c r="E53" s="218">
        <v>13719.215214320002</v>
      </c>
      <c r="F53" s="218">
        <v>13803.109091200004</v>
      </c>
      <c r="G53" s="218">
        <v>17167.790872026668</v>
      </c>
      <c r="H53" s="218">
        <v>16509.254940786668</v>
      </c>
      <c r="I53" s="218">
        <v>15524.688338280004</v>
      </c>
      <c r="J53" s="218">
        <v>6250.1311375066671</v>
      </c>
      <c r="K53" s="218">
        <v>6678.8904798000012</v>
      </c>
      <c r="L53" s="218">
        <v>5525.0354649600013</v>
      </c>
      <c r="M53" s="218">
        <v>5858.4748412666668</v>
      </c>
      <c r="N53" s="218">
        <v>5984.544658693334</v>
      </c>
      <c r="O53" s="218">
        <v>5920.2810108933345</v>
      </c>
      <c r="P53" s="218">
        <v>5822.6729932800008</v>
      </c>
      <c r="Q53" s="218">
        <v>7193.00146752</v>
      </c>
      <c r="R53" s="218">
        <v>7812.3476216133349</v>
      </c>
      <c r="S53" s="218">
        <v>8648.5558165600014</v>
      </c>
      <c r="T53" s="218">
        <v>10044.138529333335</v>
      </c>
      <c r="U53" s="218">
        <v>9959.9701344000005</v>
      </c>
      <c r="V53" s="218">
        <v>9966.9498297600021</v>
      </c>
      <c r="W53" s="218">
        <v>13084.704317520001</v>
      </c>
      <c r="X53" s="218">
        <v>12703.827204053336</v>
      </c>
      <c r="Y53" s="218">
        <v>15684.061823760001</v>
      </c>
      <c r="Z53" s="218">
        <v>17628.522431519999</v>
      </c>
      <c r="AA53" s="218">
        <v>17628.522431519999</v>
      </c>
    </row>
    <row r="54" spans="1:27" x14ac:dyDescent="0.2">
      <c r="A54" s="221" t="s">
        <v>1448</v>
      </c>
      <c r="B54" s="222"/>
      <c r="C54" s="222"/>
      <c r="D54" s="222"/>
      <c r="E54" s="222"/>
      <c r="F54" s="222"/>
      <c r="G54" s="222"/>
      <c r="H54" s="222"/>
      <c r="I54" s="222"/>
      <c r="J54" s="222"/>
      <c r="K54" s="222"/>
      <c r="L54" s="222"/>
      <c r="M54" s="222"/>
      <c r="N54" s="222"/>
      <c r="O54" s="222"/>
      <c r="P54" s="222"/>
      <c r="Q54" s="222"/>
      <c r="R54" s="222"/>
      <c r="S54" s="222"/>
      <c r="T54" s="222"/>
      <c r="U54" s="222"/>
      <c r="V54" s="222"/>
      <c r="W54" s="222"/>
      <c r="X54" s="222"/>
      <c r="Y54" s="222"/>
      <c r="Z54" s="222"/>
      <c r="AA54" s="223"/>
    </row>
    <row r="55" spans="1:27" ht="24" x14ac:dyDescent="0.2">
      <c r="A55" s="215" t="s">
        <v>1449</v>
      </c>
      <c r="B55" s="195">
        <v>2.5143775331694549</v>
      </c>
      <c r="C55" s="195">
        <v>2.5645930291472729</v>
      </c>
      <c r="D55" s="195">
        <v>2.5780555432800005</v>
      </c>
      <c r="E55" s="195">
        <v>2.57017323595091</v>
      </c>
      <c r="F55" s="195">
        <v>2.6276111744989095</v>
      </c>
      <c r="G55" s="195">
        <v>2.6601142878163637</v>
      </c>
      <c r="H55" s="195">
        <v>2.7063366472145458</v>
      </c>
      <c r="I55" s="195">
        <v>2.7090928025901819</v>
      </c>
      <c r="J55" s="195">
        <v>2.782673027587637</v>
      </c>
      <c r="K55" s="195">
        <v>2.7754718025338185</v>
      </c>
      <c r="L55" s="195">
        <v>2.8021888991389092</v>
      </c>
      <c r="M55" s="195">
        <v>2.8630492230763638</v>
      </c>
      <c r="N55" s="195">
        <v>2.871476820576</v>
      </c>
      <c r="O55" s="195">
        <v>2.860787435832</v>
      </c>
      <c r="P55" s="195">
        <v>2.8086941896560003</v>
      </c>
      <c r="Q55" s="195">
        <v>2.7855416358</v>
      </c>
      <c r="R55" s="195">
        <v>2.7800015616606175</v>
      </c>
      <c r="S55" s="195">
        <v>2.6414546402456143</v>
      </c>
      <c r="T55" s="195">
        <v>2.5885582138799998</v>
      </c>
      <c r="U55" s="195">
        <v>2.4090790435642884</v>
      </c>
      <c r="V55" s="195">
        <v>2.3029952681196</v>
      </c>
      <c r="W55" s="195">
        <v>2.3029952681196</v>
      </c>
      <c r="X55" s="195">
        <v>2.3029952681196</v>
      </c>
      <c r="Y55" s="195">
        <v>2.3029952681196</v>
      </c>
      <c r="Z55" s="195">
        <v>2.3029952681196</v>
      </c>
      <c r="AA55" s="195">
        <v>2.3029952681196</v>
      </c>
    </row>
    <row r="56" spans="1:27" ht="24" x14ac:dyDescent="0.2">
      <c r="A56" s="214" t="s">
        <v>1450</v>
      </c>
      <c r="B56" s="198">
        <v>7.2183013200000021E-2</v>
      </c>
      <c r="C56" s="198">
        <v>7.2900063000000001E-2</v>
      </c>
      <c r="D56" s="198">
        <v>8.2277949599999997E-2</v>
      </c>
      <c r="E56" s="198">
        <v>8.3079358200000022E-2</v>
      </c>
      <c r="F56" s="198">
        <v>8.8295544000000004E-2</v>
      </c>
      <c r="G56" s="198">
        <v>0.10251000180000001</v>
      </c>
      <c r="H56" s="198">
        <v>0.11247840000000002</v>
      </c>
      <c r="I56" s="198">
        <v>0.12261551580000001</v>
      </c>
      <c r="J56" s="198">
        <v>0.13292134920000004</v>
      </c>
      <c r="K56" s="198">
        <v>0.16652427119999999</v>
      </c>
      <c r="L56" s="198">
        <v>0.17737843680000001</v>
      </c>
      <c r="M56" s="198">
        <v>0.18840132000000004</v>
      </c>
      <c r="N56" s="198">
        <v>0.20909734560000001</v>
      </c>
      <c r="O56" s="198">
        <v>0.22054202280000001</v>
      </c>
      <c r="P56" s="198">
        <v>0.23971959000000001</v>
      </c>
      <c r="Q56" s="198">
        <v>0.28286911619999999</v>
      </c>
      <c r="R56" s="198">
        <v>0.32116932224508887</v>
      </c>
      <c r="S56" s="198">
        <v>0.29211331136842106</v>
      </c>
      <c r="T56" s="198">
        <v>0.30158271000000003</v>
      </c>
      <c r="U56" s="198">
        <v>0.30997624844083727</v>
      </c>
      <c r="V56" s="198">
        <v>0.31774445010000002</v>
      </c>
      <c r="W56" s="198">
        <v>0.31774445010000002</v>
      </c>
      <c r="X56" s="198">
        <v>0.31774445010000002</v>
      </c>
      <c r="Y56" s="198">
        <v>0.31774445010000002</v>
      </c>
      <c r="Z56" s="198">
        <v>0.31774445010000002</v>
      </c>
      <c r="AA56" s="198">
        <v>0.31774445010000002</v>
      </c>
    </row>
    <row r="57" spans="1:27" x14ac:dyDescent="0.2">
      <c r="A57" s="208" t="s">
        <v>1953</v>
      </c>
      <c r="B57" s="197">
        <v>230.37215458323737</v>
      </c>
      <c r="C57" s="197">
        <v>220.92847052329392</v>
      </c>
      <c r="D57" s="197">
        <v>163.13207821574403</v>
      </c>
      <c r="E57" s="197">
        <v>163.0719783645568</v>
      </c>
      <c r="F57" s="197">
        <v>167.07479685124801</v>
      </c>
      <c r="G57" s="197">
        <v>197.2220778533339</v>
      </c>
      <c r="H57" s="197">
        <v>243.64671703507528</v>
      </c>
      <c r="I57" s="197">
        <v>308.5689569790564</v>
      </c>
      <c r="J57" s="197">
        <v>316.05990315665923</v>
      </c>
      <c r="K57" s="197">
        <v>238.36550189870877</v>
      </c>
      <c r="L57" s="197">
        <v>204.30662328853921</v>
      </c>
      <c r="M57" s="197">
        <v>204.9281780612734</v>
      </c>
      <c r="N57" s="197">
        <v>210.44335042738189</v>
      </c>
      <c r="O57" s="197">
        <v>155.01676398218564</v>
      </c>
      <c r="P57" s="197">
        <v>164.64199891659524</v>
      </c>
      <c r="Q57" s="197">
        <v>180.66293803461753</v>
      </c>
      <c r="R57" s="197">
        <v>146.48351213352723</v>
      </c>
      <c r="S57" s="197">
        <v>159.76449424461424</v>
      </c>
      <c r="T57" s="197">
        <v>360.00393190737339</v>
      </c>
      <c r="U57" s="197">
        <v>360.33120820910733</v>
      </c>
      <c r="V57" s="197">
        <v>359.34937930390544</v>
      </c>
      <c r="W57" s="197">
        <v>373.74953658020036</v>
      </c>
      <c r="X57" s="197">
        <v>357.05844519176759</v>
      </c>
      <c r="Y57" s="197">
        <v>360.33120820910733</v>
      </c>
      <c r="Z57" s="197">
        <v>365.24035273511703</v>
      </c>
      <c r="AA57" s="197">
        <v>365.24035273511703</v>
      </c>
    </row>
    <row r="58" spans="1:27" ht="12.75" x14ac:dyDescent="0.2">
      <c r="A58" s="177" t="s">
        <v>1954</v>
      </c>
      <c r="B58" s="225"/>
      <c r="C58" s="225"/>
      <c r="D58" s="225"/>
      <c r="E58" s="225"/>
      <c r="F58" s="225"/>
      <c r="G58" s="225"/>
      <c r="H58" s="225"/>
      <c r="I58" s="225"/>
      <c r="J58" s="225"/>
      <c r="K58" s="225"/>
      <c r="L58" s="225"/>
      <c r="M58" s="225"/>
      <c r="N58" s="225"/>
      <c r="O58" s="225"/>
      <c r="P58" s="225"/>
      <c r="Q58" s="225"/>
      <c r="R58" s="225"/>
      <c r="S58" s="225"/>
      <c r="T58" s="225"/>
      <c r="U58" s="225"/>
      <c r="V58" s="225"/>
      <c r="W58" s="225"/>
      <c r="X58" s="225"/>
      <c r="Y58" s="225"/>
      <c r="Z58" s="225"/>
      <c r="AA58" s="226"/>
    </row>
    <row r="59" spans="1:27" s="229" customFormat="1" x14ac:dyDescent="0.2">
      <c r="A59" s="227" t="s">
        <v>943</v>
      </c>
      <c r="B59" s="228">
        <v>27762.604047040073</v>
      </c>
      <c r="C59" s="228">
        <v>26778.804118924632</v>
      </c>
      <c r="D59" s="228">
        <v>26706.307443917714</v>
      </c>
      <c r="E59" s="228">
        <v>26488.446590545784</v>
      </c>
      <c r="F59" s="228">
        <v>26453.511968531697</v>
      </c>
      <c r="G59" s="228">
        <v>24632.007222824453</v>
      </c>
      <c r="H59" s="228">
        <v>22738.59035210482</v>
      </c>
      <c r="I59" s="228">
        <v>23169.866078356299</v>
      </c>
      <c r="J59" s="228">
        <v>22460.24930059956</v>
      </c>
      <c r="K59" s="228">
        <v>23118.5801926532</v>
      </c>
      <c r="L59" s="228">
        <v>23343.494090458618</v>
      </c>
      <c r="M59" s="228">
        <v>22398.242565291155</v>
      </c>
      <c r="N59" s="228">
        <v>23076.418267874767</v>
      </c>
      <c r="O59" s="228">
        <v>22012.830484274022</v>
      </c>
      <c r="P59" s="228">
        <v>21789.842528900241</v>
      </c>
      <c r="Q59" s="228">
        <v>21746.054353706932</v>
      </c>
      <c r="R59" s="228">
        <v>21213.873915145959</v>
      </c>
      <c r="S59" s="228">
        <v>21198.94315773412</v>
      </c>
      <c r="T59" s="228">
        <v>21384.71293516492</v>
      </c>
      <c r="U59" s="228">
        <v>21188.034950273995</v>
      </c>
      <c r="V59" s="228">
        <v>21345.84017353574</v>
      </c>
      <c r="W59" s="228">
        <v>21466.341691149843</v>
      </c>
      <c r="X59" s="228">
        <v>21468.72204663782</v>
      </c>
      <c r="Y59" s="228">
        <v>21756.440109787141</v>
      </c>
      <c r="Z59" s="228">
        <v>23712.955517108134</v>
      </c>
      <c r="AA59" s="228">
        <v>23712.955517108134</v>
      </c>
    </row>
    <row r="60" spans="1:27" x14ac:dyDescent="0.2">
      <c r="A60" s="221" t="s">
        <v>1394</v>
      </c>
      <c r="B60" s="222"/>
      <c r="C60" s="222"/>
      <c r="D60" s="222"/>
      <c r="E60" s="222"/>
      <c r="F60" s="222"/>
      <c r="G60" s="222"/>
      <c r="H60" s="222"/>
      <c r="I60" s="222"/>
      <c r="J60" s="222"/>
      <c r="K60" s="222"/>
      <c r="L60" s="222"/>
      <c r="M60" s="222"/>
      <c r="N60" s="222"/>
      <c r="O60" s="222"/>
      <c r="P60" s="222"/>
      <c r="Q60" s="222"/>
      <c r="R60" s="222"/>
      <c r="S60" s="222"/>
      <c r="T60" s="222"/>
      <c r="U60" s="222"/>
      <c r="V60" s="222"/>
      <c r="W60" s="222"/>
      <c r="X60" s="222"/>
      <c r="Y60" s="222"/>
      <c r="Z60" s="222"/>
      <c r="AA60" s="223"/>
    </row>
    <row r="61" spans="1:27" s="213" customFormat="1" x14ac:dyDescent="0.2">
      <c r="A61" s="210" t="s">
        <v>1955</v>
      </c>
      <c r="B61" s="230">
        <v>2.5601731226413058</v>
      </c>
      <c r="C61" s="230">
        <v>2.4693391222322187</v>
      </c>
      <c r="D61" s="230">
        <v>2.4626106777574717</v>
      </c>
      <c r="E61" s="230">
        <v>2.4424253443332304</v>
      </c>
      <c r="F61" s="230">
        <v>2.4390611220958567</v>
      </c>
      <c r="G61" s="230">
        <v>2.2708500102271767</v>
      </c>
      <c r="H61" s="230">
        <v>2.0959104538837501</v>
      </c>
      <c r="I61" s="230">
        <v>2.0689966759847613</v>
      </c>
      <c r="J61" s="230">
        <v>1.8772360084544661</v>
      </c>
      <c r="K61" s="230">
        <v>1.9546131199140586</v>
      </c>
      <c r="L61" s="230">
        <v>1.9680700088635532</v>
      </c>
      <c r="M61" s="230">
        <v>1.9176066753029493</v>
      </c>
      <c r="N61" s="230">
        <v>1.9848911200504211</v>
      </c>
      <c r="O61" s="230">
        <v>1.9310635642524439</v>
      </c>
      <c r="P61" s="230">
        <v>1.9243351197776963</v>
      </c>
      <c r="Q61" s="230">
        <v>1.9041497863534551</v>
      </c>
      <c r="R61" s="230">
        <v>1.920970897540323</v>
      </c>
      <c r="S61" s="230">
        <v>1.9310635642524439</v>
      </c>
      <c r="T61" s="230">
        <v>1.9411562309645645</v>
      </c>
      <c r="U61" s="230">
        <v>1.9478846754393115</v>
      </c>
      <c r="V61" s="230">
        <v>1.9680700088635532</v>
      </c>
      <c r="W61" s="230">
        <v>2.0387186758483988</v>
      </c>
      <c r="X61" s="230">
        <v>2.0387186758483988</v>
      </c>
      <c r="Y61" s="230">
        <v>2.1867444542928371</v>
      </c>
      <c r="Z61" s="230">
        <v>2.2473004545655617</v>
      </c>
      <c r="AA61" s="230">
        <v>2.2473004545655617</v>
      </c>
    </row>
    <row r="62" spans="1:27" x14ac:dyDescent="0.2">
      <c r="A62" s="211" t="s">
        <v>1956</v>
      </c>
      <c r="B62" s="212">
        <v>0.56845977240688128</v>
      </c>
      <c r="C62" s="212">
        <v>0.54829102883922576</v>
      </c>
      <c r="D62" s="212">
        <v>0.54679704783421423</v>
      </c>
      <c r="E62" s="212">
        <v>0.54231510481917966</v>
      </c>
      <c r="F62" s="212">
        <v>0.54156811431667407</v>
      </c>
      <c r="G62" s="212">
        <v>0.50421858919138607</v>
      </c>
      <c r="H62" s="212">
        <v>0.46537508306108666</v>
      </c>
      <c r="I62" s="212">
        <v>0.45939915904104067</v>
      </c>
      <c r="J62" s="212">
        <v>0.41682070039821251</v>
      </c>
      <c r="K62" s="212">
        <v>0.43400148195584487</v>
      </c>
      <c r="L62" s="212">
        <v>0.43698944396586792</v>
      </c>
      <c r="M62" s="212">
        <v>0.4257845864282816</v>
      </c>
      <c r="N62" s="212">
        <v>0.44072439647839678</v>
      </c>
      <c r="O62" s="212">
        <v>0.42877254843830465</v>
      </c>
      <c r="P62" s="212">
        <v>0.42727856743329312</v>
      </c>
      <c r="Q62" s="212">
        <v>0.4227966244182586</v>
      </c>
      <c r="R62" s="212">
        <v>0.42653157693078741</v>
      </c>
      <c r="S62" s="212">
        <v>0.42877254843830465</v>
      </c>
      <c r="T62" s="212">
        <v>0.43101351994582188</v>
      </c>
      <c r="U62" s="212">
        <v>0.43250750095083346</v>
      </c>
      <c r="V62" s="212">
        <v>0.43698944396586792</v>
      </c>
      <c r="W62" s="212">
        <v>0.45267624451848887</v>
      </c>
      <c r="X62" s="212">
        <v>0.45267624451848887</v>
      </c>
      <c r="Y62" s="212">
        <v>0.48554382662874224</v>
      </c>
      <c r="Z62" s="212">
        <v>0.49898965567384584</v>
      </c>
      <c r="AA62" s="212">
        <v>0.49898965567384584</v>
      </c>
    </row>
    <row r="63" spans="1:27" ht="24" x14ac:dyDescent="0.2">
      <c r="A63" s="211" t="s">
        <v>1957</v>
      </c>
      <c r="B63" s="212">
        <v>19.668944658340408</v>
      </c>
      <c r="C63" s="212">
        <v>19.503081268569993</v>
      </c>
      <c r="D63" s="212">
        <v>19.657124150254624</v>
      </c>
      <c r="E63" s="212">
        <v>19.960861828821841</v>
      </c>
      <c r="F63" s="212">
        <v>20.639417298864842</v>
      </c>
      <c r="G63" s="212">
        <v>20.485184583956013</v>
      </c>
      <c r="H63" s="212">
        <v>20.760943331186631</v>
      </c>
      <c r="I63" s="212">
        <v>20.829325100408269</v>
      </c>
      <c r="J63" s="212">
        <v>20.969059302818419</v>
      </c>
      <c r="K63" s="212">
        <v>20.756266428121251</v>
      </c>
      <c r="L63" s="212">
        <v>21.156240511683226</v>
      </c>
      <c r="M63" s="212">
        <v>21.632580659480158</v>
      </c>
      <c r="N63" s="212">
        <v>20.864365149709506</v>
      </c>
      <c r="O63" s="212">
        <v>21.027694039944848</v>
      </c>
      <c r="P63" s="212">
        <v>20.473853348406418</v>
      </c>
      <c r="Q63" s="212">
        <v>19.846292958175244</v>
      </c>
      <c r="R63" s="212">
        <v>20.406253511274965</v>
      </c>
      <c r="S63" s="212">
        <v>21.279982394913745</v>
      </c>
      <c r="T63" s="212">
        <v>22.328633554980421</v>
      </c>
      <c r="U63" s="212">
        <v>22.855607195495445</v>
      </c>
      <c r="V63" s="212">
        <v>23.663359994045535</v>
      </c>
      <c r="W63" s="212">
        <v>25.475816431299091</v>
      </c>
      <c r="X63" s="212">
        <v>26.759412195392237</v>
      </c>
      <c r="Y63" s="212">
        <v>26.969671700514006</v>
      </c>
      <c r="Z63" s="212">
        <v>28.681392233375259</v>
      </c>
      <c r="AA63" s="212">
        <v>28.681392233375259</v>
      </c>
    </row>
    <row r="64" spans="1:27" ht="24" x14ac:dyDescent="0.2">
      <c r="A64" s="211" t="s">
        <v>1958</v>
      </c>
      <c r="B64" s="212">
        <v>4.3672842688186631</v>
      </c>
      <c r="C64" s="212">
        <v>4.3304560309289348</v>
      </c>
      <c r="D64" s="212">
        <v>4.3646596481331503</v>
      </c>
      <c r="E64" s="212">
        <v>4.4321014356055466</v>
      </c>
      <c r="F64" s="212">
        <v>4.5827676091759235</v>
      </c>
      <c r="G64" s="212">
        <v>4.5485218414817785</v>
      </c>
      <c r="H64" s="212">
        <v>4.6097511987090742</v>
      </c>
      <c r="I64" s="212">
        <v>4.6249346582277822</v>
      </c>
      <c r="J64" s="212">
        <v>4.6559611822534634</v>
      </c>
      <c r="K64" s="212">
        <v>4.6087127411029822</v>
      </c>
      <c r="L64" s="212">
        <v>4.6975228198041128</v>
      </c>
      <c r="M64" s="212">
        <v>4.8032891875587822</v>
      </c>
      <c r="N64" s="212">
        <v>4.6327149361608466</v>
      </c>
      <c r="O64" s="212">
        <v>4.6689804148308438</v>
      </c>
      <c r="P64" s="212">
        <v>4.5460058586661454</v>
      </c>
      <c r="Q64" s="212">
        <v>4.4066626113492058</v>
      </c>
      <c r="R64" s="212">
        <v>4.5309960190226271</v>
      </c>
      <c r="S64" s="212">
        <v>4.7249984159488951</v>
      </c>
      <c r="T64" s="212">
        <v>4.957840482180222</v>
      </c>
      <c r="U64" s="212">
        <v>5.0748494895408438</v>
      </c>
      <c r="V64" s="212">
        <v>5.2542025840499669</v>
      </c>
      <c r="W64" s="212">
        <v>5.6566396554756633</v>
      </c>
      <c r="X64" s="212">
        <v>5.9416487235991609</v>
      </c>
      <c r="Y64" s="212">
        <v>5.9883346564256845</v>
      </c>
      <c r="Z64" s="212">
        <v>6.3684043696529722</v>
      </c>
      <c r="AA64" s="212">
        <v>6.3684043696529722</v>
      </c>
    </row>
    <row r="65" spans="1:28" ht="24" x14ac:dyDescent="0.2">
      <c r="A65" s="211" t="s">
        <v>1959</v>
      </c>
      <c r="B65" s="212">
        <v>14.545176575266835</v>
      </c>
      <c r="C65" s="212">
        <v>14.422520665990074</v>
      </c>
      <c r="D65" s="212">
        <v>14.536435314344926</v>
      </c>
      <c r="E65" s="212">
        <v>14.74267170404009</v>
      </c>
      <c r="F65" s="212">
        <v>15.162351862759332</v>
      </c>
      <c r="G65" s="212">
        <v>15.04829683281239</v>
      </c>
      <c r="H65" s="212">
        <v>15.18548172031509</v>
      </c>
      <c r="I65" s="212">
        <v>15.215362982899691</v>
      </c>
      <c r="J65" s="212">
        <v>15.267969070241952</v>
      </c>
      <c r="K65" s="212">
        <v>15.110608825948587</v>
      </c>
      <c r="L65" s="212">
        <v>15.212787603590124</v>
      </c>
      <c r="M65" s="212">
        <v>15.305654394693111</v>
      </c>
      <c r="N65" s="212">
        <v>14.737559337659404</v>
      </c>
      <c r="O65" s="212">
        <v>14.749637502449541</v>
      </c>
      <c r="P65" s="212">
        <v>14.340072536309968</v>
      </c>
      <c r="Q65" s="212">
        <v>13.87599188296972</v>
      </c>
      <c r="R65" s="212">
        <v>13.917400943097233</v>
      </c>
      <c r="S65" s="212">
        <v>13.982013158506808</v>
      </c>
      <c r="T65" s="212">
        <v>14.05956086914394</v>
      </c>
      <c r="U65" s="212">
        <v>14.098530548427432</v>
      </c>
      <c r="V65" s="212">
        <v>14.15826383502802</v>
      </c>
      <c r="W65" s="212">
        <v>14.292294914848325</v>
      </c>
      <c r="X65" s="212">
        <v>14.38721676939776</v>
      </c>
      <c r="Y65" s="212">
        <v>14.402765451250032</v>
      </c>
      <c r="Z65" s="212">
        <v>14.529347115037565</v>
      </c>
      <c r="AA65" s="212">
        <v>14.529347115037565</v>
      </c>
    </row>
    <row r="66" spans="1:28" ht="24" x14ac:dyDescent="0.2">
      <c r="A66" s="211" t="s">
        <v>1960</v>
      </c>
      <c r="B66" s="212">
        <v>3.2296049405689056</v>
      </c>
      <c r="C66" s="212">
        <v>3.2023704736279002</v>
      </c>
      <c r="D66" s="212">
        <v>3.2276640346394307</v>
      </c>
      <c r="E66" s="212">
        <v>3.2734566765945092</v>
      </c>
      <c r="F66" s="212">
        <v>3.3666422840049539</v>
      </c>
      <c r="G66" s="212">
        <v>3.3413175527232633</v>
      </c>
      <c r="H66" s="212">
        <v>3.3717780279301093</v>
      </c>
      <c r="I66" s="212">
        <v>3.3784128510121305</v>
      </c>
      <c r="J66" s="212">
        <v>3.3900934847057407</v>
      </c>
      <c r="K66" s="212">
        <v>3.3551532816914191</v>
      </c>
      <c r="L66" s="212">
        <v>3.3778410148643205</v>
      </c>
      <c r="M66" s="212">
        <v>3.398461118429855</v>
      </c>
      <c r="N66" s="212">
        <v>3.2723215288955028</v>
      </c>
      <c r="O66" s="212">
        <v>3.2750033595681924</v>
      </c>
      <c r="P66" s="212">
        <v>3.1840637252995005</v>
      </c>
      <c r="Q66" s="212">
        <v>3.0810194505810542</v>
      </c>
      <c r="R66" s="212">
        <v>3.0902139010217273</v>
      </c>
      <c r="S66" s="212">
        <v>3.1045603703841342</v>
      </c>
      <c r="T66" s="212">
        <v>3.121779031711998</v>
      </c>
      <c r="U66" s="212">
        <v>3.1304318430474312</v>
      </c>
      <c r="V66" s="212">
        <v>3.1436949970918935</v>
      </c>
      <c r="W66" s="212">
        <v>3.1734552021562661</v>
      </c>
      <c r="X66" s="212">
        <v>3.1945316111523669</v>
      </c>
      <c r="Y66" s="212">
        <v>3.1979840339861196</v>
      </c>
      <c r="Z66" s="212">
        <v>3.2260901738214249</v>
      </c>
      <c r="AA66" s="212">
        <v>3.2260901738214249</v>
      </c>
    </row>
    <row r="67" spans="1:28" ht="24" x14ac:dyDescent="0.2">
      <c r="A67" s="211" t="s">
        <v>1961</v>
      </c>
      <c r="B67" s="212">
        <v>0</v>
      </c>
      <c r="C67" s="212">
        <v>0</v>
      </c>
      <c r="D67" s="212">
        <v>0</v>
      </c>
      <c r="E67" s="347">
        <v>9.0113459018961589E-3</v>
      </c>
      <c r="F67" s="347">
        <v>4.9274365511614911E-2</v>
      </c>
      <c r="G67" s="347">
        <v>4.9274365511614911E-2</v>
      </c>
      <c r="H67" s="212">
        <v>8.1999412578420819E-2</v>
      </c>
      <c r="I67" s="212">
        <v>9.2143227773601899E-2</v>
      </c>
      <c r="J67" s="212">
        <v>0.11701718950630378</v>
      </c>
      <c r="K67" s="212">
        <v>0.11701718950630378</v>
      </c>
      <c r="L67" s="212">
        <v>0.21194923312428535</v>
      </c>
      <c r="M67" s="212">
        <v>0.33913856548193183</v>
      </c>
      <c r="N67" s="212">
        <v>0.33913856548193183</v>
      </c>
      <c r="O67" s="212">
        <v>0.39244095608058571</v>
      </c>
      <c r="P67" s="212">
        <v>0.39244095608058571</v>
      </c>
      <c r="Q67" s="212">
        <v>0.39244095608058571</v>
      </c>
      <c r="R67" s="212">
        <v>0.57518410751051774</v>
      </c>
      <c r="S67" s="212">
        <v>0.86032556757881784</v>
      </c>
      <c r="T67" s="212">
        <v>1.2025529203457725</v>
      </c>
      <c r="U67" s="212">
        <v>1.3745307913853275</v>
      </c>
      <c r="V67" s="212">
        <v>1.6381409531481017</v>
      </c>
      <c r="W67" s="212">
        <v>2.2296361921246892</v>
      </c>
      <c r="X67" s="212">
        <v>2.6485377268739052</v>
      </c>
      <c r="Y67" s="212">
        <v>2.7171559257297933</v>
      </c>
      <c r="Z67" s="212">
        <v>3.2757759978238385</v>
      </c>
      <c r="AA67" s="212">
        <v>3.2757759978238385</v>
      </c>
    </row>
    <row r="68" spans="1:28" ht="24" x14ac:dyDescent="0.2">
      <c r="A68" s="348" t="s">
        <v>1962</v>
      </c>
      <c r="B68" s="233">
        <v>0</v>
      </c>
      <c r="C68" s="233">
        <v>0</v>
      </c>
      <c r="D68" s="233">
        <v>0</v>
      </c>
      <c r="E68" s="349">
        <v>2.0008754857900575E-3</v>
      </c>
      <c r="F68" s="349">
        <v>1.0940859567859196E-2</v>
      </c>
      <c r="G68" s="349">
        <v>1.0940859567859196E-2</v>
      </c>
      <c r="H68" s="349">
        <v>1.8207115370282648E-2</v>
      </c>
      <c r="I68" s="349">
        <v>2.0459443865646666E-2</v>
      </c>
      <c r="J68" s="349">
        <v>2.5982447954854999E-2</v>
      </c>
      <c r="K68" s="349">
        <v>2.5982447954854999E-2</v>
      </c>
      <c r="L68" s="349">
        <v>4.7061119327485725E-2</v>
      </c>
      <c r="M68" s="233">
        <v>7.5302185638664573E-2</v>
      </c>
      <c r="N68" s="233">
        <v>7.5302185638664573E-2</v>
      </c>
      <c r="O68" s="233">
        <v>8.7137426216923955E-2</v>
      </c>
      <c r="P68" s="233">
        <v>8.7137426216923955E-2</v>
      </c>
      <c r="Q68" s="233">
        <v>8.7137426216923955E-2</v>
      </c>
      <c r="R68" s="233">
        <v>0.12771363934566782</v>
      </c>
      <c r="S68" s="233">
        <v>0.19102633021829271</v>
      </c>
      <c r="T68" s="233">
        <v>0.26701434889751585</v>
      </c>
      <c r="U68" s="233">
        <v>0.30520024365814225</v>
      </c>
      <c r="V68" s="233">
        <v>0.36373213403483962</v>
      </c>
      <c r="W68" s="233">
        <v>0.49506749020852209</v>
      </c>
      <c r="X68" s="233">
        <v>0.58808021227739427</v>
      </c>
      <c r="Y68" s="233">
        <v>0.60331616853348735</v>
      </c>
      <c r="Z68" s="233">
        <v>0.72735193636346918</v>
      </c>
      <c r="AA68" s="233">
        <v>0.72735193636346918</v>
      </c>
    </row>
    <row r="69" spans="1:28" x14ac:dyDescent="0.2">
      <c r="A69" s="188" t="s">
        <v>1407</v>
      </c>
      <c r="B69" s="189"/>
      <c r="C69" s="189"/>
      <c r="D69" s="189"/>
      <c r="E69" s="189"/>
      <c r="F69" s="189"/>
      <c r="G69" s="189"/>
      <c r="H69" s="189"/>
      <c r="I69" s="189"/>
      <c r="J69" s="189"/>
      <c r="K69" s="189"/>
      <c r="L69" s="189"/>
      <c r="M69" s="189"/>
      <c r="N69" s="189"/>
      <c r="O69" s="189"/>
      <c r="P69" s="189"/>
      <c r="Q69" s="189"/>
      <c r="R69" s="189"/>
      <c r="S69" s="189"/>
      <c r="T69" s="189"/>
      <c r="U69" s="189"/>
      <c r="V69" s="189"/>
      <c r="W69" s="189"/>
      <c r="X69" s="189"/>
      <c r="Y69" s="189"/>
      <c r="Z69" s="189"/>
      <c r="AA69" s="190"/>
    </row>
    <row r="70" spans="1:28" x14ac:dyDescent="0.2">
      <c r="A70" s="350" t="s">
        <v>1419</v>
      </c>
      <c r="B70" s="234"/>
      <c r="C70" s="234"/>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5"/>
    </row>
    <row r="71" spans="1:28" x14ac:dyDescent="0.2">
      <c r="A71" s="236" t="s">
        <v>1460</v>
      </c>
      <c r="B71" s="237"/>
      <c r="C71" s="237"/>
      <c r="D71" s="237"/>
      <c r="E71" s="237"/>
      <c r="F71" s="237"/>
      <c r="G71" s="237"/>
      <c r="H71" s="237"/>
      <c r="I71" s="237"/>
      <c r="J71" s="237"/>
      <c r="K71" s="237"/>
      <c r="L71" s="237"/>
      <c r="M71" s="237"/>
      <c r="N71" s="237"/>
      <c r="O71" s="237"/>
      <c r="P71" s="237"/>
      <c r="Q71" s="237"/>
      <c r="R71" s="237"/>
      <c r="S71" s="237"/>
      <c r="T71" s="237"/>
      <c r="U71" s="237"/>
      <c r="V71" s="237"/>
      <c r="W71" s="237"/>
      <c r="X71" s="237"/>
      <c r="Y71" s="237"/>
      <c r="Z71" s="237"/>
      <c r="AA71" s="238"/>
    </row>
    <row r="72" spans="1:28" x14ac:dyDescent="0.2">
      <c r="A72" s="210" t="s">
        <v>1461</v>
      </c>
      <c r="B72" s="230" t="s">
        <v>1455</v>
      </c>
      <c r="C72" s="230" t="s">
        <v>1455</v>
      </c>
      <c r="D72" s="230" t="s">
        <v>1455</v>
      </c>
      <c r="E72" s="230" t="s">
        <v>1455</v>
      </c>
      <c r="F72" s="230" t="s">
        <v>1455</v>
      </c>
      <c r="G72" s="230" t="s">
        <v>1455</v>
      </c>
      <c r="H72" s="230" t="s">
        <v>1455</v>
      </c>
      <c r="I72" s="230" t="s">
        <v>1455</v>
      </c>
      <c r="J72" s="230" t="s">
        <v>1455</v>
      </c>
      <c r="K72" s="230" t="s">
        <v>1455</v>
      </c>
      <c r="L72" s="230" t="s">
        <v>1455</v>
      </c>
      <c r="M72" s="230" t="s">
        <v>1455</v>
      </c>
      <c r="N72" s="230" t="s">
        <v>1455</v>
      </c>
      <c r="O72" s="230" t="s">
        <v>1455</v>
      </c>
      <c r="P72" s="230" t="s">
        <v>1455</v>
      </c>
      <c r="Q72" s="230" t="s">
        <v>1455</v>
      </c>
      <c r="R72" s="230" t="s">
        <v>1455</v>
      </c>
      <c r="S72" s="230" t="s">
        <v>1455</v>
      </c>
      <c r="T72" s="230" t="s">
        <v>1455</v>
      </c>
      <c r="U72" s="230" t="s">
        <v>1455</v>
      </c>
      <c r="V72" s="230" t="s">
        <v>1455</v>
      </c>
      <c r="W72" s="230" t="s">
        <v>1455</v>
      </c>
      <c r="X72" s="230" t="s">
        <v>1455</v>
      </c>
      <c r="Y72" s="230" t="s">
        <v>1455</v>
      </c>
      <c r="Z72" s="230" t="s">
        <v>1455</v>
      </c>
      <c r="AA72" s="230" t="s">
        <v>1455</v>
      </c>
    </row>
    <row r="73" spans="1:28" x14ac:dyDescent="0.2">
      <c r="A73" s="211" t="s">
        <v>1462</v>
      </c>
      <c r="B73" s="212" t="s">
        <v>1455</v>
      </c>
      <c r="C73" s="212" t="s">
        <v>1455</v>
      </c>
      <c r="D73" s="212" t="s">
        <v>1455</v>
      </c>
      <c r="E73" s="212" t="s">
        <v>1455</v>
      </c>
      <c r="F73" s="212" t="s">
        <v>1455</v>
      </c>
      <c r="G73" s="212" t="s">
        <v>1455</v>
      </c>
      <c r="H73" s="212" t="s">
        <v>1455</v>
      </c>
      <c r="I73" s="212" t="s">
        <v>1455</v>
      </c>
      <c r="J73" s="212" t="s">
        <v>1455</v>
      </c>
      <c r="K73" s="212" t="s">
        <v>1455</v>
      </c>
      <c r="L73" s="212" t="s">
        <v>1455</v>
      </c>
      <c r="M73" s="212" t="s">
        <v>1455</v>
      </c>
      <c r="N73" s="212" t="s">
        <v>1455</v>
      </c>
      <c r="O73" s="212" t="s">
        <v>1455</v>
      </c>
      <c r="P73" s="212" t="s">
        <v>1455</v>
      </c>
      <c r="Q73" s="212" t="s">
        <v>1455</v>
      </c>
      <c r="R73" s="212" t="s">
        <v>1455</v>
      </c>
      <c r="S73" s="212" t="s">
        <v>1455</v>
      </c>
      <c r="T73" s="212" t="s">
        <v>1455</v>
      </c>
      <c r="U73" s="212" t="s">
        <v>1455</v>
      </c>
      <c r="V73" s="212" t="s">
        <v>1455</v>
      </c>
      <c r="W73" s="212" t="s">
        <v>1455</v>
      </c>
      <c r="X73" s="212" t="s">
        <v>1455</v>
      </c>
      <c r="Y73" s="212" t="s">
        <v>1455</v>
      </c>
      <c r="Z73" s="212" t="s">
        <v>1455</v>
      </c>
      <c r="AA73" s="212" t="s">
        <v>1455</v>
      </c>
    </row>
    <row r="74" spans="1:28" x14ac:dyDescent="0.2">
      <c r="A74" s="211" t="s">
        <v>1463</v>
      </c>
      <c r="B74" s="212">
        <v>27708.198208973692</v>
      </c>
      <c r="C74" s="212">
        <v>26725.121531388551</v>
      </c>
      <c r="D74" s="212">
        <v>26652.301036752615</v>
      </c>
      <c r="E74" s="212">
        <v>26433.839552844813</v>
      </c>
      <c r="F74" s="212">
        <v>26397.429305526843</v>
      </c>
      <c r="G74" s="212">
        <v>24576.916939628441</v>
      </c>
      <c r="H74" s="212">
        <v>22683.584079094104</v>
      </c>
      <c r="I74" s="212">
        <v>23114.820323315009</v>
      </c>
      <c r="J74" s="212">
        <v>22405.650460916811</v>
      </c>
      <c r="K74" s="212">
        <v>23064.168652388198</v>
      </c>
      <c r="L74" s="212">
        <v>23288.244209460743</v>
      </c>
      <c r="M74" s="212">
        <v>22342.266168123999</v>
      </c>
      <c r="N74" s="212">
        <v>23021.927947000611</v>
      </c>
      <c r="O74" s="212">
        <v>21958.242857537618</v>
      </c>
      <c r="P74" s="212">
        <v>21736.537241031379</v>
      </c>
      <c r="Q74" s="212">
        <v>21694.25006622092</v>
      </c>
      <c r="R74" s="212">
        <v>21160.966969380497</v>
      </c>
      <c r="S74" s="212">
        <v>21144.377385416396</v>
      </c>
      <c r="T74" s="212">
        <v>21328.163952861833</v>
      </c>
      <c r="U74" s="212">
        <v>21130.483027978677</v>
      </c>
      <c r="V74" s="212">
        <v>21286.713227663018</v>
      </c>
      <c r="W74" s="212">
        <v>21403.583826177626</v>
      </c>
      <c r="X74" s="212">
        <v>21403.583826177626</v>
      </c>
      <c r="Y74" s="212">
        <v>21690.346634699952</v>
      </c>
      <c r="Z74" s="212">
        <v>23643.456477868564</v>
      </c>
      <c r="AA74" s="212">
        <v>23643.456477868564</v>
      </c>
    </row>
    <row r="75" spans="1:28" x14ac:dyDescent="0.2">
      <c r="A75" s="211" t="s">
        <v>1963</v>
      </c>
      <c r="B75" s="212">
        <v>0.39340468092533543</v>
      </c>
      <c r="C75" s="212">
        <v>0.39008719566807964</v>
      </c>
      <c r="D75" s="212">
        <v>0.39316825526586863</v>
      </c>
      <c r="E75" s="212">
        <v>0.39924340706467504</v>
      </c>
      <c r="F75" s="212">
        <v>0.41281540611289086</v>
      </c>
      <c r="G75" s="212">
        <v>0.40973054960172939</v>
      </c>
      <c r="H75" s="212">
        <v>0.41524608609090402</v>
      </c>
      <c r="I75" s="212">
        <v>0.41661381112999707</v>
      </c>
      <c r="J75" s="212">
        <v>0.41940867838232898</v>
      </c>
      <c r="K75" s="212">
        <v>0.41515254189775502</v>
      </c>
      <c r="L75" s="212">
        <v>0.42315254797105395</v>
      </c>
      <c r="M75" s="212">
        <v>0.43267997545184234</v>
      </c>
      <c r="N75" s="212">
        <v>0.41731465805668344</v>
      </c>
      <c r="O75" s="212">
        <v>0.42058145000028047</v>
      </c>
      <c r="P75" s="212">
        <v>0.40950391003446679</v>
      </c>
      <c r="Q75" s="212">
        <v>0.39695187944163152</v>
      </c>
      <c r="R75" s="212">
        <v>0.40815182466236094</v>
      </c>
      <c r="S75" s="212">
        <v>0.4256275478724218</v>
      </c>
      <c r="T75" s="212">
        <v>0.44660194594990471</v>
      </c>
      <c r="U75" s="212">
        <v>0.45714210967012597</v>
      </c>
      <c r="V75" s="212">
        <v>0.47329822467782134</v>
      </c>
      <c r="W75" s="212">
        <v>0.50954972971657553</v>
      </c>
      <c r="X75" s="212">
        <v>0.53522332790813121</v>
      </c>
      <c r="Y75" s="212">
        <v>0.53942879367972119</v>
      </c>
      <c r="Z75" s="212">
        <v>0.5736654485567827</v>
      </c>
      <c r="AA75" s="212">
        <v>0.5736654485567827</v>
      </c>
      <c r="AB75" s="213"/>
    </row>
    <row r="76" spans="1:28" x14ac:dyDescent="0.2">
      <c r="A76" s="211" t="s">
        <v>1964</v>
      </c>
      <c r="B76" s="212">
        <v>2.4236053251466414</v>
      </c>
      <c r="C76" s="212">
        <v>2.4031676554253028</v>
      </c>
      <c r="D76" s="212">
        <v>2.4221488033636844</v>
      </c>
      <c r="E76" s="212">
        <v>2.459575328681149</v>
      </c>
      <c r="F76" s="212">
        <v>2.5431868634721755</v>
      </c>
      <c r="G76" s="212">
        <v>2.5241823243035548</v>
      </c>
      <c r="H76" s="212">
        <v>2.558161288597427</v>
      </c>
      <c r="I76" s="212">
        <v>2.5665872831236878</v>
      </c>
      <c r="J76" s="212">
        <v>2.5838053170827573</v>
      </c>
      <c r="K76" s="212">
        <v>2.5575850010857497</v>
      </c>
      <c r="L76" s="212">
        <v>2.6068697662666018</v>
      </c>
      <c r="M76" s="212">
        <v>2.6655643499789119</v>
      </c>
      <c r="N76" s="212">
        <v>2.5709049143720866</v>
      </c>
      <c r="O76" s="212">
        <v>2.5910302833230241</v>
      </c>
      <c r="P76" s="212">
        <v>2.5227860906318691</v>
      </c>
      <c r="Q76" s="212">
        <v>2.4454581642974778</v>
      </c>
      <c r="R76" s="212">
        <v>2.5144564456968346</v>
      </c>
      <c r="S76" s="212">
        <v>2.6221172283114953</v>
      </c>
      <c r="T76" s="212">
        <v>2.7513319157238709</v>
      </c>
      <c r="U76" s="212">
        <v>2.8162655531685514</v>
      </c>
      <c r="V76" s="212">
        <v>2.9157967694068336</v>
      </c>
      <c r="W76" s="212">
        <v>3.1391274640235047</v>
      </c>
      <c r="X76" s="212">
        <v>3.2972920012282327</v>
      </c>
      <c r="Y76" s="212">
        <v>3.3232001556883519</v>
      </c>
      <c r="Z76" s="212">
        <v>3.5341181825915511</v>
      </c>
      <c r="AA76" s="212">
        <v>3.5341181825915511</v>
      </c>
      <c r="AB76" s="213"/>
    </row>
    <row r="77" spans="1:28" x14ac:dyDescent="0.2">
      <c r="A77" s="348" t="s">
        <v>1464</v>
      </c>
      <c r="B77" s="233">
        <v>0.28507154288100961</v>
      </c>
      <c r="C77" s="233">
        <v>0.27495730942793833</v>
      </c>
      <c r="D77" s="233">
        <v>0.27420810694993308</v>
      </c>
      <c r="E77" s="233">
        <v>0.27196049951591728</v>
      </c>
      <c r="F77" s="233">
        <v>0.27158589827691465</v>
      </c>
      <c r="G77" s="233">
        <v>0.25285583632678255</v>
      </c>
      <c r="H77" s="233">
        <v>0.23337657189864527</v>
      </c>
      <c r="I77" s="233">
        <v>0.2303797619866241</v>
      </c>
      <c r="J77" s="233">
        <v>0.20902749136347359</v>
      </c>
      <c r="K77" s="233">
        <v>0.21764331986053431</v>
      </c>
      <c r="L77" s="233">
        <v>0.2191417248165449</v>
      </c>
      <c r="M77" s="233">
        <v>0.21352270623150529</v>
      </c>
      <c r="N77" s="233">
        <v>0.22101473101155811</v>
      </c>
      <c r="O77" s="233">
        <v>0.21502111118751585</v>
      </c>
      <c r="P77" s="233">
        <v>0.21427190870951057</v>
      </c>
      <c r="Q77" s="233">
        <v>0.21202430127549474</v>
      </c>
      <c r="R77" s="233">
        <v>0.21389730747050792</v>
      </c>
      <c r="S77" s="233">
        <v>0.21502111118751585</v>
      </c>
      <c r="T77" s="233">
        <v>0.21614491490452375</v>
      </c>
      <c r="U77" s="233">
        <v>0.21689411738252903</v>
      </c>
      <c r="V77" s="233">
        <v>0.2191417248165449</v>
      </c>
      <c r="W77" s="233">
        <v>0.22700835083560036</v>
      </c>
      <c r="X77" s="233">
        <v>0.22700835083560036</v>
      </c>
      <c r="Y77" s="233">
        <v>0.24349080535171655</v>
      </c>
      <c r="Z77" s="233">
        <v>0.25023362765376411</v>
      </c>
      <c r="AA77" s="233">
        <v>0.25023362765376411</v>
      </c>
      <c r="AB77" s="213"/>
    </row>
    <row r="78" spans="1:28" x14ac:dyDescent="0.2">
      <c r="A78" s="221" t="s">
        <v>1465</v>
      </c>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A78" s="223"/>
    </row>
    <row r="79" spans="1:28" x14ac:dyDescent="0.2">
      <c r="A79" s="351" t="s">
        <v>1466</v>
      </c>
      <c r="B79" s="352">
        <v>6.3641131793827128</v>
      </c>
      <c r="C79" s="352">
        <v>6.1383167853704483</v>
      </c>
      <c r="D79" s="352">
        <v>6.1215911265547245</v>
      </c>
      <c r="E79" s="352">
        <v>6.0714141501075547</v>
      </c>
      <c r="F79" s="352">
        <v>6.0630513206996932</v>
      </c>
      <c r="G79" s="352">
        <v>5.6449098503066111</v>
      </c>
      <c r="H79" s="352">
        <v>5.210042721097806</v>
      </c>
      <c r="I79" s="352">
        <v>5.1431400858349123</v>
      </c>
      <c r="J79" s="352">
        <v>4.666458809586798</v>
      </c>
      <c r="K79" s="352">
        <v>4.8588038859676166</v>
      </c>
      <c r="L79" s="352">
        <v>4.8922552035990625</v>
      </c>
      <c r="M79" s="352">
        <v>4.7668127624811376</v>
      </c>
      <c r="N79" s="352">
        <v>4.9340693506383708</v>
      </c>
      <c r="O79" s="352">
        <v>4.8002640801125844</v>
      </c>
      <c r="P79" s="352">
        <v>4.7835384212968615</v>
      </c>
      <c r="Q79" s="352">
        <v>4.7333614448496917</v>
      </c>
      <c r="R79" s="352">
        <v>4.775175591889</v>
      </c>
      <c r="S79" s="352">
        <v>4.8002640801125844</v>
      </c>
      <c r="T79" s="352">
        <v>4.8253525683361698</v>
      </c>
      <c r="U79" s="352">
        <v>4.8420782271518927</v>
      </c>
      <c r="V79" s="352">
        <v>4.8922552035990625</v>
      </c>
      <c r="W79" s="352">
        <v>5.0678746211641572</v>
      </c>
      <c r="X79" s="352">
        <v>5.0678746211641572</v>
      </c>
      <c r="Y79" s="352">
        <v>5.4358391151100696</v>
      </c>
      <c r="Z79" s="352">
        <v>5.5863700444515789</v>
      </c>
      <c r="AA79" s="352">
        <v>5.5863700444515789</v>
      </c>
      <c r="AB79" s="213"/>
    </row>
    <row r="80" spans="1:28" ht="12.75" x14ac:dyDescent="0.2">
      <c r="A80" s="177" t="s">
        <v>1965</v>
      </c>
      <c r="B80" s="225"/>
      <c r="C80" s="225"/>
      <c r="D80" s="225"/>
      <c r="E80" s="225"/>
      <c r="F80" s="225"/>
      <c r="G80" s="225"/>
      <c r="H80" s="225"/>
      <c r="I80" s="225"/>
      <c r="J80" s="225"/>
      <c r="K80" s="225"/>
      <c r="L80" s="225"/>
      <c r="M80" s="225"/>
      <c r="N80" s="225"/>
      <c r="O80" s="225"/>
      <c r="P80" s="225"/>
      <c r="Q80" s="225"/>
      <c r="R80" s="225"/>
      <c r="S80" s="225"/>
      <c r="T80" s="225"/>
      <c r="U80" s="225"/>
      <c r="V80" s="225"/>
      <c r="W80" s="225"/>
      <c r="X80" s="225"/>
      <c r="Y80" s="225"/>
      <c r="Z80" s="225"/>
      <c r="AA80" s="226"/>
      <c r="AB80" s="213"/>
    </row>
    <row r="81" spans="1:28" s="187" customFormat="1" x14ac:dyDescent="0.2">
      <c r="A81" s="353" t="s">
        <v>943</v>
      </c>
      <c r="B81" s="228">
        <v>61.735631949205555</v>
      </c>
      <c r="C81" s="228">
        <v>62.457011029120423</v>
      </c>
      <c r="D81" s="228">
        <v>62.371563655168188</v>
      </c>
      <c r="E81" s="228">
        <v>60.783718200739976</v>
      </c>
      <c r="F81" s="228">
        <v>59.349689654682621</v>
      </c>
      <c r="G81" s="228">
        <v>57.608063151723002</v>
      </c>
      <c r="H81" s="228">
        <v>55.730459302496939</v>
      </c>
      <c r="I81" s="228">
        <v>54.389107258227035</v>
      </c>
      <c r="J81" s="228">
        <v>53.011392029999236</v>
      </c>
      <c r="K81" s="228">
        <v>51.334798356315019</v>
      </c>
      <c r="L81" s="228">
        <v>49.945383958300482</v>
      </c>
      <c r="M81" s="228">
        <v>48.231479905539295</v>
      </c>
      <c r="N81" s="228">
        <v>47.142772205767251</v>
      </c>
      <c r="O81" s="228">
        <v>45.725087100053194</v>
      </c>
      <c r="P81" s="228">
        <v>44.313296058715004</v>
      </c>
      <c r="Q81" s="228">
        <v>42.837123808640229</v>
      </c>
      <c r="R81" s="228">
        <v>41.494981499599305</v>
      </c>
      <c r="S81" s="228">
        <v>40.208301458129526</v>
      </c>
      <c r="T81" s="228">
        <v>39.266474791234067</v>
      </c>
      <c r="U81" s="228">
        <v>38.063339243577964</v>
      </c>
      <c r="V81" s="228">
        <v>36.836262137866001</v>
      </c>
      <c r="W81" s="228">
        <v>35.645829797368137</v>
      </c>
      <c r="X81" s="228">
        <v>35.465980749518977</v>
      </c>
      <c r="Y81" s="228">
        <v>37.292029646507721</v>
      </c>
      <c r="Z81" s="228">
        <v>38.694125467422893</v>
      </c>
      <c r="AA81" s="228">
        <v>38.694125467422893</v>
      </c>
      <c r="AB81" s="229"/>
    </row>
    <row r="82" spans="1:28" x14ac:dyDescent="0.2">
      <c r="A82" s="221" t="s">
        <v>1468</v>
      </c>
      <c r="B82" s="222"/>
      <c r="C82" s="222"/>
      <c r="D82" s="222"/>
      <c r="E82" s="222"/>
      <c r="F82" s="222"/>
      <c r="G82" s="222"/>
      <c r="H82" s="222"/>
      <c r="I82" s="222"/>
      <c r="J82" s="222"/>
      <c r="K82" s="222"/>
      <c r="L82" s="222"/>
      <c r="M82" s="222"/>
      <c r="N82" s="222"/>
      <c r="O82" s="222"/>
      <c r="P82" s="222"/>
      <c r="Q82" s="222"/>
      <c r="R82" s="222"/>
      <c r="S82" s="222"/>
      <c r="T82" s="222"/>
      <c r="U82" s="222"/>
      <c r="V82" s="222"/>
      <c r="W82" s="222"/>
      <c r="X82" s="222"/>
      <c r="Y82" s="222"/>
      <c r="Z82" s="222"/>
      <c r="AA82" s="223"/>
      <c r="AB82" s="213"/>
    </row>
    <row r="83" spans="1:28" x14ac:dyDescent="0.2">
      <c r="A83" s="219" t="s">
        <v>1406</v>
      </c>
      <c r="B83" s="220">
        <v>9.19887252317515E-2</v>
      </c>
      <c r="C83" s="220">
        <v>9.2599094884141336E-2</v>
      </c>
      <c r="D83" s="220">
        <v>9.1844719588415349E-2</v>
      </c>
      <c r="E83" s="220">
        <v>9.2410343504801387E-2</v>
      </c>
      <c r="F83" s="220">
        <v>9.5020091290600364E-2</v>
      </c>
      <c r="G83" s="220">
        <v>9.3571211754364697E-2</v>
      </c>
      <c r="H83" s="220">
        <v>8.9703226476571599E-2</v>
      </c>
      <c r="I83" s="220">
        <v>9.2759171179140856E-2</v>
      </c>
      <c r="J83" s="220">
        <v>9.5386880281504716E-2</v>
      </c>
      <c r="K83" s="220">
        <v>9.3291393348932508E-2</v>
      </c>
      <c r="L83" s="220">
        <v>9.4204584496390298E-2</v>
      </c>
      <c r="M83" s="220">
        <v>9.1380246244263233E-2</v>
      </c>
      <c r="N83" s="220">
        <v>9.5478262418413895E-2</v>
      </c>
      <c r="O83" s="220">
        <v>9.5003705528120097E-2</v>
      </c>
      <c r="P83" s="220">
        <v>9.5478892640047747E-2</v>
      </c>
      <c r="Q83" s="220">
        <v>9.4680716940768725E-2</v>
      </c>
      <c r="R83" s="220">
        <v>9.4635340983131075E-2</v>
      </c>
      <c r="S83" s="220">
        <v>9.4869153209291762E-2</v>
      </c>
      <c r="T83" s="220">
        <v>9.5535612587094823E-2</v>
      </c>
      <c r="U83" s="220">
        <v>9.5974246844258801E-2</v>
      </c>
      <c r="V83" s="220">
        <v>9.6047352553786144E-2</v>
      </c>
      <c r="W83" s="220">
        <v>9.6127075590468958E-2</v>
      </c>
      <c r="X83" s="220">
        <v>9.5586030317803314E-2</v>
      </c>
      <c r="Y83" s="220">
        <v>9.5408307817055837E-2</v>
      </c>
      <c r="Z83" s="220">
        <v>9.5084058786436776E-2</v>
      </c>
      <c r="AA83" s="220">
        <v>9.5084058786436776E-2</v>
      </c>
      <c r="AB83" s="213"/>
    </row>
    <row r="84" spans="1:28" x14ac:dyDescent="0.2">
      <c r="A84" s="209" t="s">
        <v>1469</v>
      </c>
      <c r="B84" s="192"/>
      <c r="C84" s="192"/>
      <c r="D84" s="192"/>
      <c r="E84" s="192"/>
      <c r="F84" s="192"/>
      <c r="G84" s="192"/>
      <c r="H84" s="192"/>
      <c r="I84" s="192"/>
      <c r="J84" s="192"/>
      <c r="K84" s="192"/>
      <c r="L84" s="192"/>
      <c r="M84" s="192"/>
      <c r="N84" s="192"/>
      <c r="O84" s="192"/>
      <c r="P84" s="192"/>
      <c r="Q84" s="192"/>
      <c r="R84" s="192"/>
      <c r="S84" s="192"/>
      <c r="T84" s="192"/>
      <c r="U84" s="192"/>
      <c r="V84" s="192"/>
      <c r="W84" s="192"/>
      <c r="X84" s="192"/>
      <c r="Y84" s="192"/>
      <c r="Z84" s="192"/>
      <c r="AA84" s="193"/>
      <c r="AB84" s="213"/>
    </row>
    <row r="85" spans="1:28" x14ac:dyDescent="0.2">
      <c r="A85" s="215" t="s">
        <v>1638</v>
      </c>
      <c r="B85" s="195">
        <v>31.682900657289053</v>
      </c>
      <c r="C85" s="195">
        <v>31.893125127865975</v>
      </c>
      <c r="D85" s="195">
        <v>31.633302008319685</v>
      </c>
      <c r="E85" s="195">
        <v>30.609489601935085</v>
      </c>
      <c r="F85" s="195">
        <v>29.597622765133401</v>
      </c>
      <c r="G85" s="195">
        <v>28.597701497914642</v>
      </c>
      <c r="H85" s="195">
        <v>27.609725800278788</v>
      </c>
      <c r="I85" s="195">
        <v>26.633695672225862</v>
      </c>
      <c r="J85" s="195">
        <v>25.669611113755845</v>
      </c>
      <c r="K85" s="195">
        <v>24.717472124868749</v>
      </c>
      <c r="L85" s="195">
        <v>23.777278705564569</v>
      </c>
      <c r="M85" s="195">
        <v>22.84903085584331</v>
      </c>
      <c r="N85" s="195">
        <v>21.932728575704964</v>
      </c>
      <c r="O85" s="195">
        <v>21.028371865149541</v>
      </c>
      <c r="P85" s="195">
        <v>20.135960724177028</v>
      </c>
      <c r="Q85" s="195">
        <v>19.255495152787436</v>
      </c>
      <c r="R85" s="195">
        <v>18.38697515098076</v>
      </c>
      <c r="S85" s="195">
        <v>17.530400718757001</v>
      </c>
      <c r="T85" s="195">
        <v>16.685771856116165</v>
      </c>
      <c r="U85" s="195">
        <v>15.85308856305824</v>
      </c>
      <c r="V85" s="195">
        <v>15.032350839583236</v>
      </c>
      <c r="W85" s="195">
        <v>14.223558685691161</v>
      </c>
      <c r="X85" s="195">
        <v>14.306904380899812</v>
      </c>
      <c r="Y85" s="195">
        <v>15.461535094059222</v>
      </c>
      <c r="Z85" s="195">
        <v>16.533732303600729</v>
      </c>
      <c r="AA85" s="195">
        <v>16.533732303600729</v>
      </c>
      <c r="AB85" s="213"/>
    </row>
    <row r="86" spans="1:28" ht="24" x14ac:dyDescent="0.2">
      <c r="A86" s="214" t="s">
        <v>1471</v>
      </c>
      <c r="B86" s="198" t="s">
        <v>1455</v>
      </c>
      <c r="C86" s="198" t="s">
        <v>1455</v>
      </c>
      <c r="D86" s="198" t="s">
        <v>1455</v>
      </c>
      <c r="E86" s="198" t="s">
        <v>1455</v>
      </c>
      <c r="F86" s="198" t="s">
        <v>1455</v>
      </c>
      <c r="G86" s="198" t="s">
        <v>1455</v>
      </c>
      <c r="H86" s="198" t="s">
        <v>1455</v>
      </c>
      <c r="I86" s="198" t="s">
        <v>1455</v>
      </c>
      <c r="J86" s="198" t="s">
        <v>1455</v>
      </c>
      <c r="K86" s="198" t="s">
        <v>1455</v>
      </c>
      <c r="L86" s="198" t="s">
        <v>1455</v>
      </c>
      <c r="M86" s="198" t="s">
        <v>1455</v>
      </c>
      <c r="N86" s="198" t="s">
        <v>1455</v>
      </c>
      <c r="O86" s="198" t="s">
        <v>1455</v>
      </c>
      <c r="P86" s="198" t="s">
        <v>1455</v>
      </c>
      <c r="Q86" s="198" t="s">
        <v>1455</v>
      </c>
      <c r="R86" s="198" t="s">
        <v>1455</v>
      </c>
      <c r="S86" s="198" t="s">
        <v>1455</v>
      </c>
      <c r="T86" s="198" t="s">
        <v>1455</v>
      </c>
      <c r="U86" s="198" t="s">
        <v>1455</v>
      </c>
      <c r="V86" s="198" t="s">
        <v>1455</v>
      </c>
      <c r="W86" s="198">
        <v>2.7358056679585783</v>
      </c>
      <c r="X86" s="198">
        <v>2.9297962069816612</v>
      </c>
      <c r="Y86" s="198">
        <v>3.164696817804816</v>
      </c>
      <c r="Z86" s="198">
        <v>3.3856407434831812</v>
      </c>
      <c r="AA86" s="198">
        <v>3.3856407434831812</v>
      </c>
      <c r="AB86" s="213"/>
    </row>
    <row r="87" spans="1:28" x14ac:dyDescent="0.2">
      <c r="A87" s="214" t="s">
        <v>1966</v>
      </c>
      <c r="B87" s="198" t="s">
        <v>1455</v>
      </c>
      <c r="C87" s="198" t="s">
        <v>1455</v>
      </c>
      <c r="D87" s="198" t="s">
        <v>1455</v>
      </c>
      <c r="E87" s="198" t="s">
        <v>1455</v>
      </c>
      <c r="F87" s="198" t="s">
        <v>1455</v>
      </c>
      <c r="G87" s="198" t="s">
        <v>1455</v>
      </c>
      <c r="H87" s="198" t="s">
        <v>1455</v>
      </c>
      <c r="I87" s="198" t="s">
        <v>1455</v>
      </c>
      <c r="J87" s="198" t="s">
        <v>1455</v>
      </c>
      <c r="K87" s="198" t="s">
        <v>1455</v>
      </c>
      <c r="L87" s="198" t="s">
        <v>1455</v>
      </c>
      <c r="M87" s="198" t="s">
        <v>1455</v>
      </c>
      <c r="N87" s="198" t="s">
        <v>1455</v>
      </c>
      <c r="O87" s="198" t="s">
        <v>1455</v>
      </c>
      <c r="P87" s="198" t="s">
        <v>1455</v>
      </c>
      <c r="Q87" s="198" t="s">
        <v>1455</v>
      </c>
      <c r="R87" s="198" t="s">
        <v>1455</v>
      </c>
      <c r="S87" s="198" t="s">
        <v>1455</v>
      </c>
      <c r="T87" s="198" t="s">
        <v>1455</v>
      </c>
      <c r="U87" s="198" t="s">
        <v>1455</v>
      </c>
      <c r="V87" s="198" t="s">
        <v>1455</v>
      </c>
      <c r="W87" s="198">
        <v>8.6996902918284071</v>
      </c>
      <c r="X87" s="198">
        <v>8.4711055854629862</v>
      </c>
      <c r="Y87" s="198">
        <v>9.1502886192968305</v>
      </c>
      <c r="Z87" s="198">
        <v>9.7891178042169376</v>
      </c>
      <c r="AA87" s="198">
        <v>9.7891178042169376</v>
      </c>
      <c r="AB87" s="213"/>
    </row>
    <row r="88" spans="1:28" ht="12" customHeight="1" x14ac:dyDescent="0.2">
      <c r="A88" s="214" t="s">
        <v>1473</v>
      </c>
      <c r="B88" s="198" t="s">
        <v>1455</v>
      </c>
      <c r="C88" s="198" t="s">
        <v>1455</v>
      </c>
      <c r="D88" s="198" t="s">
        <v>1455</v>
      </c>
      <c r="E88" s="198" t="s">
        <v>1455</v>
      </c>
      <c r="F88" s="198" t="s">
        <v>1455</v>
      </c>
      <c r="G88" s="198" t="s">
        <v>1455</v>
      </c>
      <c r="H88" s="198" t="s">
        <v>1455</v>
      </c>
      <c r="I88" s="198" t="s">
        <v>1455</v>
      </c>
      <c r="J88" s="198" t="s">
        <v>1455</v>
      </c>
      <c r="K88" s="198" t="s">
        <v>1455</v>
      </c>
      <c r="L88" s="198" t="s">
        <v>1455</v>
      </c>
      <c r="M88" s="198" t="s">
        <v>1455</v>
      </c>
      <c r="N88" s="198" t="s">
        <v>1455</v>
      </c>
      <c r="O88" s="198" t="s">
        <v>1455</v>
      </c>
      <c r="P88" s="198" t="s">
        <v>1455</v>
      </c>
      <c r="Q88" s="198" t="s">
        <v>1455</v>
      </c>
      <c r="R88" s="198" t="s">
        <v>1455</v>
      </c>
      <c r="S88" s="198" t="s">
        <v>1455</v>
      </c>
      <c r="T88" s="198" t="s">
        <v>1455</v>
      </c>
      <c r="U88" s="198" t="s">
        <v>1455</v>
      </c>
      <c r="V88" s="198" t="s">
        <v>1455</v>
      </c>
      <c r="W88" s="198">
        <v>1.3514438467722889</v>
      </c>
      <c r="X88" s="198">
        <v>1.4730200247875751</v>
      </c>
      <c r="Y88" s="198">
        <v>1.612524928149778</v>
      </c>
      <c r="Z88" s="198">
        <v>1.7045538462779217</v>
      </c>
      <c r="AA88" s="198">
        <v>1.7045538462779217</v>
      </c>
      <c r="AB88" s="213"/>
    </row>
    <row r="89" spans="1:28" ht="12" customHeight="1" x14ac:dyDescent="0.2">
      <c r="A89" s="208" t="s">
        <v>1474</v>
      </c>
      <c r="B89" s="197" t="s">
        <v>1455</v>
      </c>
      <c r="C89" s="197" t="s">
        <v>1455</v>
      </c>
      <c r="D89" s="197" t="s">
        <v>1455</v>
      </c>
      <c r="E89" s="197" t="s">
        <v>1455</v>
      </c>
      <c r="F89" s="197" t="s">
        <v>1455</v>
      </c>
      <c r="G89" s="197" t="s">
        <v>1455</v>
      </c>
      <c r="H89" s="197" t="s">
        <v>1455</v>
      </c>
      <c r="I89" s="197" t="s">
        <v>1455</v>
      </c>
      <c r="J89" s="197" t="s">
        <v>1455</v>
      </c>
      <c r="K89" s="197" t="s">
        <v>1455</v>
      </c>
      <c r="L89" s="197" t="s">
        <v>1455</v>
      </c>
      <c r="M89" s="197" t="s">
        <v>1455</v>
      </c>
      <c r="N89" s="197" t="s">
        <v>1455</v>
      </c>
      <c r="O89" s="197" t="s">
        <v>1455</v>
      </c>
      <c r="P89" s="197" t="s">
        <v>1455</v>
      </c>
      <c r="Q89" s="197" t="s">
        <v>1455</v>
      </c>
      <c r="R89" s="197" t="s">
        <v>1455</v>
      </c>
      <c r="S89" s="197" t="s">
        <v>1455</v>
      </c>
      <c r="T89" s="197" t="s">
        <v>1455</v>
      </c>
      <c r="U89" s="197" t="s">
        <v>1455</v>
      </c>
      <c r="V89" s="197" t="s">
        <v>1455</v>
      </c>
      <c r="W89" s="197">
        <v>1.436618879131887</v>
      </c>
      <c r="X89" s="197">
        <v>1.4329825636675879</v>
      </c>
      <c r="Y89" s="197">
        <v>1.5340247288078008</v>
      </c>
      <c r="Z89" s="197">
        <v>1.6544199096226886</v>
      </c>
      <c r="AA89" s="197">
        <v>1.6544199096226886</v>
      </c>
      <c r="AB89" s="213"/>
    </row>
    <row r="90" spans="1:28" x14ac:dyDescent="0.2">
      <c r="A90" s="209" t="s">
        <v>1475</v>
      </c>
      <c r="B90" s="192"/>
      <c r="C90" s="192"/>
      <c r="D90" s="192"/>
      <c r="E90" s="192"/>
      <c r="F90" s="192"/>
      <c r="G90" s="192"/>
      <c r="H90" s="192"/>
      <c r="I90" s="192"/>
      <c r="J90" s="192"/>
      <c r="K90" s="192"/>
      <c r="L90" s="192"/>
      <c r="M90" s="192"/>
      <c r="N90" s="192"/>
      <c r="O90" s="192"/>
      <c r="P90" s="192"/>
      <c r="Q90" s="192"/>
      <c r="R90" s="192"/>
      <c r="S90" s="192"/>
      <c r="T90" s="192"/>
      <c r="U90" s="192"/>
      <c r="V90" s="192"/>
      <c r="W90" s="192"/>
      <c r="X90" s="192"/>
      <c r="Y90" s="192"/>
      <c r="Z90" s="192"/>
      <c r="AA90" s="193"/>
      <c r="AB90" s="213"/>
    </row>
    <row r="91" spans="1:28" x14ac:dyDescent="0.2">
      <c r="A91" s="215" t="s">
        <v>1638</v>
      </c>
      <c r="B91" s="195">
        <v>7.0843265942048017</v>
      </c>
      <c r="C91" s="195">
        <v>7.3494408993343372</v>
      </c>
      <c r="D91" s="195">
        <v>7.5662720874271967</v>
      </c>
      <c r="E91" s="195">
        <v>7.3299579610369934</v>
      </c>
      <c r="F91" s="195">
        <v>7.0966232106338705</v>
      </c>
      <c r="G91" s="195">
        <v>6.8662678362178244</v>
      </c>
      <c r="H91" s="195">
        <v>6.6388918377888571</v>
      </c>
      <c r="I91" s="195">
        <v>6.4144952153469692</v>
      </c>
      <c r="J91" s="195">
        <v>6.1930779688921573</v>
      </c>
      <c r="K91" s="195">
        <v>5.974640098424425</v>
      </c>
      <c r="L91" s="195">
        <v>5.7591816039437713</v>
      </c>
      <c r="M91" s="195">
        <v>5.5467024854501954</v>
      </c>
      <c r="N91" s="195">
        <v>5.3372027429436972</v>
      </c>
      <c r="O91" s="195">
        <v>5.1306823764242768</v>
      </c>
      <c r="P91" s="195">
        <v>4.927141385891936</v>
      </c>
      <c r="Q91" s="195">
        <v>4.7265797713466764</v>
      </c>
      <c r="R91" s="195">
        <v>4.6091438789174539</v>
      </c>
      <c r="S91" s="195">
        <v>4.4204325656802306</v>
      </c>
      <c r="T91" s="195">
        <v>4.3560313568801918</v>
      </c>
      <c r="U91" s="195">
        <v>4.210463459338782</v>
      </c>
      <c r="V91" s="195">
        <v>4.0641003742501871</v>
      </c>
      <c r="W91" s="195">
        <v>3.9367246374811464</v>
      </c>
      <c r="X91" s="195">
        <v>3.7784823155912224</v>
      </c>
      <c r="Y91" s="195">
        <v>3.7974696639107757</v>
      </c>
      <c r="Z91" s="195">
        <v>3.7974696639107757</v>
      </c>
      <c r="AA91" s="195">
        <v>3.7974696639107757</v>
      </c>
      <c r="AB91" s="213"/>
    </row>
    <row r="92" spans="1:28" ht="24" x14ac:dyDescent="0.2">
      <c r="A92" s="214" t="s">
        <v>1471</v>
      </c>
      <c r="B92" s="198" t="s">
        <v>1455</v>
      </c>
      <c r="C92" s="198" t="s">
        <v>1455</v>
      </c>
      <c r="D92" s="198" t="s">
        <v>1455</v>
      </c>
      <c r="E92" s="198" t="s">
        <v>1455</v>
      </c>
      <c r="F92" s="198" t="s">
        <v>1455</v>
      </c>
      <c r="G92" s="198" t="s">
        <v>1455</v>
      </c>
      <c r="H92" s="198" t="s">
        <v>1455</v>
      </c>
      <c r="I92" s="198" t="s">
        <v>1455</v>
      </c>
      <c r="J92" s="198" t="s">
        <v>1455</v>
      </c>
      <c r="K92" s="198" t="s">
        <v>1455</v>
      </c>
      <c r="L92" s="198" t="s">
        <v>1455</v>
      </c>
      <c r="M92" s="198" t="s">
        <v>1455</v>
      </c>
      <c r="N92" s="198" t="s">
        <v>1455</v>
      </c>
      <c r="O92" s="198" t="s">
        <v>1455</v>
      </c>
      <c r="P92" s="198" t="s">
        <v>1455</v>
      </c>
      <c r="Q92" s="198" t="s">
        <v>1455</v>
      </c>
      <c r="R92" s="198" t="s">
        <v>1455</v>
      </c>
      <c r="S92" s="198" t="s">
        <v>1455</v>
      </c>
      <c r="T92" s="198" t="s">
        <v>1455</v>
      </c>
      <c r="U92" s="198" t="s">
        <v>1455</v>
      </c>
      <c r="V92" s="198" t="s">
        <v>1455</v>
      </c>
      <c r="W92" s="198" t="s">
        <v>1455</v>
      </c>
      <c r="X92" s="198">
        <v>0.72545744016846003</v>
      </c>
      <c r="Y92" s="198">
        <v>0.72910295494317601</v>
      </c>
      <c r="Z92" s="198">
        <v>0.72910295494317601</v>
      </c>
      <c r="AA92" s="198">
        <v>0.72910295494317601</v>
      </c>
    </row>
    <row r="93" spans="1:28" x14ac:dyDescent="0.2">
      <c r="A93" s="214" t="s">
        <v>1966</v>
      </c>
      <c r="B93" s="198" t="s">
        <v>1455</v>
      </c>
      <c r="C93" s="198" t="s">
        <v>1455</v>
      </c>
      <c r="D93" s="198" t="s">
        <v>1455</v>
      </c>
      <c r="E93" s="198" t="s">
        <v>1455</v>
      </c>
      <c r="F93" s="198" t="s">
        <v>1455</v>
      </c>
      <c r="G93" s="198" t="s">
        <v>1455</v>
      </c>
      <c r="H93" s="198" t="s">
        <v>1455</v>
      </c>
      <c r="I93" s="198" t="s">
        <v>1455</v>
      </c>
      <c r="J93" s="198" t="s">
        <v>1455</v>
      </c>
      <c r="K93" s="198" t="s">
        <v>1455</v>
      </c>
      <c r="L93" s="198" t="s">
        <v>1455</v>
      </c>
      <c r="M93" s="198" t="s">
        <v>1455</v>
      </c>
      <c r="N93" s="198" t="s">
        <v>1455</v>
      </c>
      <c r="O93" s="198" t="s">
        <v>1455</v>
      </c>
      <c r="P93" s="198" t="s">
        <v>1455</v>
      </c>
      <c r="Q93" s="198" t="s">
        <v>1455</v>
      </c>
      <c r="R93" s="198" t="s">
        <v>1455</v>
      </c>
      <c r="S93" s="198" t="s">
        <v>1455</v>
      </c>
      <c r="T93" s="198" t="s">
        <v>1455</v>
      </c>
      <c r="U93" s="198" t="s">
        <v>1455</v>
      </c>
      <c r="V93" s="198" t="s">
        <v>1455</v>
      </c>
      <c r="W93" s="198" t="s">
        <v>1455</v>
      </c>
      <c r="X93" s="198">
        <v>3.053024875422762</v>
      </c>
      <c r="Y93" s="198">
        <v>3.0683667089675999</v>
      </c>
      <c r="Z93" s="198">
        <v>3.0683667089675999</v>
      </c>
      <c r="AA93" s="198">
        <v>3.0683667089675999</v>
      </c>
    </row>
    <row r="94" spans="1:28" x14ac:dyDescent="0.2">
      <c r="A94" s="214" t="s">
        <v>1476</v>
      </c>
      <c r="B94" s="198">
        <v>0.39129125525992614</v>
      </c>
      <c r="C94" s="198">
        <v>0.40593441263868929</v>
      </c>
      <c r="D94" s="198">
        <v>0.41791073059073874</v>
      </c>
      <c r="E94" s="198">
        <v>0.44164666184430573</v>
      </c>
      <c r="F94" s="198">
        <v>0.43195705912523286</v>
      </c>
      <c r="G94" s="198">
        <v>0.4321901591934037</v>
      </c>
      <c r="H94" s="198">
        <v>0.46703897580705739</v>
      </c>
      <c r="I94" s="198">
        <v>0.44408164868027783</v>
      </c>
      <c r="J94" s="198">
        <v>0.40278159164783051</v>
      </c>
      <c r="K94" s="198">
        <v>0.42108351122046234</v>
      </c>
      <c r="L94" s="198">
        <v>0.44518718099900673</v>
      </c>
      <c r="M94" s="198">
        <v>0.42515278259401862</v>
      </c>
      <c r="N94" s="198">
        <v>0.43562072212328706</v>
      </c>
      <c r="O94" s="198">
        <v>0.45259826619392263</v>
      </c>
      <c r="P94" s="198">
        <v>0.43383674029421704</v>
      </c>
      <c r="Q94" s="198">
        <v>0.43009234768539728</v>
      </c>
      <c r="R94" s="198">
        <v>0.38925448104041255</v>
      </c>
      <c r="S94" s="198">
        <v>0.42075631571192912</v>
      </c>
      <c r="T94" s="198">
        <v>0.43590425592180365</v>
      </c>
      <c r="U94" s="198">
        <v>0.42583533095876935</v>
      </c>
      <c r="V94" s="198">
        <v>0.42610264755070837</v>
      </c>
      <c r="W94" s="198">
        <v>0.42004347146675852</v>
      </c>
      <c r="X94" s="198">
        <v>0.36978795218223331</v>
      </c>
      <c r="Y94" s="198">
        <v>0.43634978357503534</v>
      </c>
      <c r="Z94" s="198">
        <v>0.4532798343978362</v>
      </c>
      <c r="AA94" s="198">
        <v>0.4532798343978362</v>
      </c>
    </row>
    <row r="95" spans="1:28" x14ac:dyDescent="0.2">
      <c r="A95" s="214" t="s">
        <v>1477</v>
      </c>
      <c r="B95" s="198">
        <v>2.0994158975776296</v>
      </c>
      <c r="C95" s="198">
        <v>2.1133460803081521</v>
      </c>
      <c r="D95" s="198">
        <v>2.0961293237480736</v>
      </c>
      <c r="E95" s="198">
        <v>2.1090382953543143</v>
      </c>
      <c r="F95" s="198">
        <v>2.1685993554339169</v>
      </c>
      <c r="G95" s="198">
        <v>2.1355322515645603</v>
      </c>
      <c r="H95" s="198">
        <v>2.0472550223352535</v>
      </c>
      <c r="I95" s="198">
        <v>2.1169994271471326</v>
      </c>
      <c r="J95" s="198">
        <v>2.1769704100019749</v>
      </c>
      <c r="K95" s="198">
        <v>2.1291460862239799</v>
      </c>
      <c r="L95" s="198">
        <v>2.149987423112496</v>
      </c>
      <c r="M95" s="198">
        <v>2.0855288646129213</v>
      </c>
      <c r="N95" s="198">
        <v>2.1790559820163535</v>
      </c>
      <c r="O95" s="198">
        <v>2.1682253907968558</v>
      </c>
      <c r="P95" s="198">
        <v>2.1790703652716257</v>
      </c>
      <c r="Q95" s="198">
        <v>2.1608539724701723</v>
      </c>
      <c r="R95" s="198">
        <v>2.1598183780906188</v>
      </c>
      <c r="S95" s="198">
        <v>2.1651545657963744</v>
      </c>
      <c r="T95" s="198">
        <v>2.1803648582460675</v>
      </c>
      <c r="U95" s="198">
        <v>2.1903756039150855</v>
      </c>
      <c r="V95" s="198">
        <v>2.1920440615265884</v>
      </c>
      <c r="W95" s="198">
        <v>2.1938635433184426</v>
      </c>
      <c r="X95" s="198">
        <v>2.1815155186677933</v>
      </c>
      <c r="Y95" s="198">
        <v>2.1774594406812087</v>
      </c>
      <c r="Z95" s="198">
        <v>2.1700592558439822</v>
      </c>
      <c r="AA95" s="198">
        <v>2.1700592558439822</v>
      </c>
    </row>
    <row r="96" spans="1:28" x14ac:dyDescent="0.2">
      <c r="A96" s="208" t="s">
        <v>1478</v>
      </c>
      <c r="B96" s="197">
        <v>0.48749861874449207</v>
      </c>
      <c r="C96" s="197">
        <v>0.49073330170932233</v>
      </c>
      <c r="D96" s="197">
        <v>0.48673545399749796</v>
      </c>
      <c r="E96" s="197">
        <v>0.48973300480899523</v>
      </c>
      <c r="F96" s="197">
        <v>0.50356348716042776</v>
      </c>
      <c r="G96" s="197">
        <v>0.49588508123771746</v>
      </c>
      <c r="H96" s="197">
        <v>0.47538650953235256</v>
      </c>
      <c r="I96" s="197">
        <v>0.49158163363814722</v>
      </c>
      <c r="J96" s="197">
        <v>0.50550730283986101</v>
      </c>
      <c r="K96" s="197">
        <v>0.49440217030701578</v>
      </c>
      <c r="L96" s="197">
        <v>0.4992416701686978</v>
      </c>
      <c r="M96" s="197">
        <v>0.48427395544811247</v>
      </c>
      <c r="N96" s="197">
        <v>0.50599158681497758</v>
      </c>
      <c r="O96" s="197">
        <v>0.503476650033855</v>
      </c>
      <c r="P96" s="197">
        <v>0.50599492670446122</v>
      </c>
      <c r="Q96" s="197">
        <v>0.50176495667352916</v>
      </c>
      <c r="R96" s="197">
        <v>0.50152448463071275</v>
      </c>
      <c r="S96" s="197">
        <v>0.50276358362911444</v>
      </c>
      <c r="T96" s="197">
        <v>0.50629551675798179</v>
      </c>
      <c r="U96" s="197">
        <v>0.50862007983854129</v>
      </c>
      <c r="V96" s="197">
        <v>0.50900750701863462</v>
      </c>
      <c r="W96" s="197">
        <v>0.50943000303830521</v>
      </c>
      <c r="X96" s="197">
        <v>0.5065627079166668</v>
      </c>
      <c r="Y96" s="197">
        <v>0.50562085908230214</v>
      </c>
      <c r="Z96" s="197">
        <v>0.50390248594300935</v>
      </c>
      <c r="AA96" s="197">
        <v>0.50390248594300935</v>
      </c>
    </row>
    <row r="97" spans="1:27" x14ac:dyDescent="0.2">
      <c r="A97" s="188" t="s">
        <v>1407</v>
      </c>
      <c r="B97" s="189"/>
      <c r="C97" s="189"/>
      <c r="D97" s="189"/>
      <c r="E97" s="189"/>
      <c r="F97" s="189"/>
      <c r="G97" s="189"/>
      <c r="H97" s="189"/>
      <c r="I97" s="189"/>
      <c r="J97" s="189"/>
      <c r="K97" s="189"/>
      <c r="L97" s="189"/>
      <c r="M97" s="189"/>
      <c r="N97" s="189"/>
      <c r="O97" s="189"/>
      <c r="P97" s="189"/>
      <c r="Q97" s="189"/>
      <c r="R97" s="189"/>
      <c r="S97" s="189"/>
      <c r="T97" s="189"/>
      <c r="U97" s="189"/>
      <c r="V97" s="189"/>
      <c r="W97" s="189"/>
      <c r="X97" s="189"/>
      <c r="Y97" s="189"/>
      <c r="Z97" s="189"/>
      <c r="AA97" s="190"/>
    </row>
    <row r="98" spans="1:27" x14ac:dyDescent="0.2">
      <c r="A98" s="209" t="s">
        <v>1479</v>
      </c>
      <c r="B98" s="192"/>
      <c r="C98" s="192"/>
      <c r="D98" s="192"/>
      <c r="E98" s="192"/>
      <c r="F98" s="192"/>
      <c r="G98" s="192"/>
      <c r="H98" s="192"/>
      <c r="I98" s="192"/>
      <c r="J98" s="192"/>
      <c r="K98" s="192"/>
      <c r="L98" s="192"/>
      <c r="M98" s="192"/>
      <c r="N98" s="192"/>
      <c r="O98" s="192"/>
      <c r="P98" s="192"/>
      <c r="Q98" s="192"/>
      <c r="R98" s="192"/>
      <c r="S98" s="192"/>
      <c r="T98" s="192"/>
      <c r="U98" s="192"/>
      <c r="V98" s="192"/>
      <c r="W98" s="192"/>
      <c r="X98" s="192"/>
      <c r="Y98" s="192"/>
      <c r="Z98" s="192"/>
      <c r="AA98" s="193"/>
    </row>
    <row r="99" spans="1:27" x14ac:dyDescent="0.2">
      <c r="A99" s="215" t="s">
        <v>1480</v>
      </c>
      <c r="B99" s="195">
        <v>5.7514457000655279E-2</v>
      </c>
      <c r="C99" s="195">
        <v>5.7896080716370847E-2</v>
      </c>
      <c r="D99" s="195">
        <v>5.7424419810112155E-2</v>
      </c>
      <c r="E99" s="195">
        <v>5.6990752695440593E-2</v>
      </c>
      <c r="F99" s="195">
        <v>5.6557085580769023E-2</v>
      </c>
      <c r="G99" s="195">
        <v>5.6123418466097447E-2</v>
      </c>
      <c r="H99" s="195">
        <v>5.5689751351425884E-2</v>
      </c>
      <c r="I99" s="195">
        <v>5.5256084236754315E-2</v>
      </c>
      <c r="J99" s="195">
        <v>5.4822417122082745E-2</v>
      </c>
      <c r="K99" s="195">
        <v>5.4388750007411168E-2</v>
      </c>
      <c r="L99" s="195">
        <v>5.3955082892739599E-2</v>
      </c>
      <c r="M99" s="195">
        <v>5.3521415778068029E-2</v>
      </c>
      <c r="N99" s="195">
        <v>5.308774866339646E-2</v>
      </c>
      <c r="O99" s="195">
        <v>5.265408154872489E-2</v>
      </c>
      <c r="P99" s="195">
        <v>5.2220414434053321E-2</v>
      </c>
      <c r="Q99" s="195">
        <v>5.1786747319381751E-2</v>
      </c>
      <c r="R99" s="195">
        <v>5.1353080204710189E-2</v>
      </c>
      <c r="S99" s="195">
        <v>5.0919413090038612E-2</v>
      </c>
      <c r="T99" s="195">
        <v>5.0485745975367029E-2</v>
      </c>
      <c r="U99" s="195">
        <v>5.0052078860695466E-2</v>
      </c>
      <c r="V99" s="346">
        <v>4.961841174602391E-2</v>
      </c>
      <c r="W99" s="346">
        <v>4.9184744631352362E-2</v>
      </c>
      <c r="X99" s="195">
        <v>5.2672337055951875E-2</v>
      </c>
      <c r="Y99" s="195">
        <v>5.6895417186386216E-2</v>
      </c>
      <c r="Z99" s="195">
        <v>6.0867581835949119E-2</v>
      </c>
      <c r="AA99" s="195">
        <v>6.0867581835949119E-2</v>
      </c>
    </row>
    <row r="100" spans="1:27" x14ac:dyDescent="0.2">
      <c r="A100" s="208" t="s">
        <v>1481</v>
      </c>
      <c r="B100" s="197">
        <v>0.12190938032849449</v>
      </c>
      <c r="C100" s="197">
        <v>0.12647155292525189</v>
      </c>
      <c r="D100" s="197">
        <v>0.13020285404820062</v>
      </c>
      <c r="E100" s="197">
        <v>0.13759794052597002</v>
      </c>
      <c r="F100" s="197">
        <v>0.13457908066842789</v>
      </c>
      <c r="G100" s="197">
        <v>0.13465170453743397</v>
      </c>
      <c r="H100" s="197">
        <v>0.14550908399951715</v>
      </c>
      <c r="I100" s="197">
        <v>0.13835657679062205</v>
      </c>
      <c r="J100" s="197">
        <v>0.12548927067867591</v>
      </c>
      <c r="K100" s="197">
        <v>0.13119135485236738</v>
      </c>
      <c r="L100" s="197">
        <v>0.13870101270146257</v>
      </c>
      <c r="M100" s="197">
        <v>0.13245916328117874</v>
      </c>
      <c r="N100" s="197">
        <v>0.13572051912334179</v>
      </c>
      <c r="O100" s="197">
        <v>0.14100998534403722</v>
      </c>
      <c r="P100" s="197">
        <v>0.13516470777725192</v>
      </c>
      <c r="Q100" s="197">
        <v>0.13399811747779691</v>
      </c>
      <c r="R100" s="197">
        <v>0.12127480984006123</v>
      </c>
      <c r="S100" s="197">
        <v>0.13108941492614781</v>
      </c>
      <c r="T100" s="197">
        <v>0.13580885595483166</v>
      </c>
      <c r="U100" s="197">
        <v>0.13267181574164766</v>
      </c>
      <c r="V100" s="197">
        <v>0.13275509999509505</v>
      </c>
      <c r="W100" s="197">
        <v>0.13086732358362152</v>
      </c>
      <c r="X100" s="197">
        <v>0.11520988393551745</v>
      </c>
      <c r="Y100" s="197">
        <v>0.13594766304391062</v>
      </c>
      <c r="Z100" s="197">
        <v>0.14122233242891016</v>
      </c>
      <c r="AA100" s="197">
        <v>0.14122233242891016</v>
      </c>
    </row>
    <row r="101" spans="1:27" x14ac:dyDescent="0.2">
      <c r="A101" s="209" t="s">
        <v>1460</v>
      </c>
      <c r="B101" s="192"/>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3"/>
    </row>
    <row r="102" spans="1:27" x14ac:dyDescent="0.2">
      <c r="A102" s="215" t="s">
        <v>1482</v>
      </c>
      <c r="B102" s="195" t="s">
        <v>1455</v>
      </c>
      <c r="C102" s="195" t="s">
        <v>1455</v>
      </c>
      <c r="D102" s="195" t="s">
        <v>1455</v>
      </c>
      <c r="E102" s="195" t="s">
        <v>1455</v>
      </c>
      <c r="F102" s="195" t="s">
        <v>1455</v>
      </c>
      <c r="G102" s="195" t="s">
        <v>1455</v>
      </c>
      <c r="H102" s="195" t="s">
        <v>1455</v>
      </c>
      <c r="I102" s="195" t="s">
        <v>1455</v>
      </c>
      <c r="J102" s="195" t="s">
        <v>1455</v>
      </c>
      <c r="K102" s="195" t="s">
        <v>1455</v>
      </c>
      <c r="L102" s="195" t="s">
        <v>1455</v>
      </c>
      <c r="M102" s="195" t="s">
        <v>1455</v>
      </c>
      <c r="N102" s="195" t="s">
        <v>1455</v>
      </c>
      <c r="O102" s="195" t="s">
        <v>1455</v>
      </c>
      <c r="P102" s="195" t="s">
        <v>1455</v>
      </c>
      <c r="Q102" s="195" t="s">
        <v>1455</v>
      </c>
      <c r="R102" s="195" t="s">
        <v>1455</v>
      </c>
      <c r="S102" s="195" t="s">
        <v>1455</v>
      </c>
      <c r="T102" s="195" t="s">
        <v>1455</v>
      </c>
      <c r="U102" s="195" t="s">
        <v>1455</v>
      </c>
      <c r="V102" s="195" t="s">
        <v>1455</v>
      </c>
      <c r="W102" s="195" t="s">
        <v>1455</v>
      </c>
      <c r="X102" s="195" t="s">
        <v>1455</v>
      </c>
      <c r="Y102" s="195" t="s">
        <v>1455</v>
      </c>
      <c r="Z102" s="195" t="s">
        <v>1455</v>
      </c>
      <c r="AA102" s="195" t="s">
        <v>1455</v>
      </c>
    </row>
    <row r="103" spans="1:27" x14ac:dyDescent="0.2">
      <c r="A103" s="214" t="s">
        <v>1483</v>
      </c>
      <c r="B103" s="198" t="s">
        <v>1455</v>
      </c>
      <c r="C103" s="198" t="s">
        <v>1455</v>
      </c>
      <c r="D103" s="198" t="s">
        <v>1455</v>
      </c>
      <c r="E103" s="198" t="s">
        <v>1455</v>
      </c>
      <c r="F103" s="198" t="s">
        <v>1455</v>
      </c>
      <c r="G103" s="198" t="s">
        <v>1455</v>
      </c>
      <c r="H103" s="198" t="s">
        <v>1455</v>
      </c>
      <c r="I103" s="198" t="s">
        <v>1455</v>
      </c>
      <c r="J103" s="198" t="s">
        <v>1455</v>
      </c>
      <c r="K103" s="198" t="s">
        <v>1455</v>
      </c>
      <c r="L103" s="198" t="s">
        <v>1455</v>
      </c>
      <c r="M103" s="198" t="s">
        <v>1455</v>
      </c>
      <c r="N103" s="198" t="s">
        <v>1455</v>
      </c>
      <c r="O103" s="198" t="s">
        <v>1455</v>
      </c>
      <c r="P103" s="198" t="s">
        <v>1455</v>
      </c>
      <c r="Q103" s="198" t="s">
        <v>1455</v>
      </c>
      <c r="R103" s="198" t="s">
        <v>1455</v>
      </c>
      <c r="S103" s="198" t="s">
        <v>1455</v>
      </c>
      <c r="T103" s="198" t="s">
        <v>1455</v>
      </c>
      <c r="U103" s="198" t="s">
        <v>1455</v>
      </c>
      <c r="V103" s="198" t="s">
        <v>1455</v>
      </c>
      <c r="W103" s="198" t="s">
        <v>1455</v>
      </c>
      <c r="X103" s="198" t="s">
        <v>1455</v>
      </c>
      <c r="Y103" s="198" t="s">
        <v>1455</v>
      </c>
      <c r="Z103" s="198" t="s">
        <v>1455</v>
      </c>
      <c r="AA103" s="198" t="s">
        <v>1455</v>
      </c>
    </row>
    <row r="104" spans="1:27" x14ac:dyDescent="0.2">
      <c r="A104" s="214" t="s">
        <v>1484</v>
      </c>
      <c r="B104" s="198" t="s">
        <v>1455</v>
      </c>
      <c r="C104" s="198" t="s">
        <v>1455</v>
      </c>
      <c r="D104" s="198" t="s">
        <v>1455</v>
      </c>
      <c r="E104" s="198" t="s">
        <v>1455</v>
      </c>
      <c r="F104" s="198" t="s">
        <v>1455</v>
      </c>
      <c r="G104" s="198" t="s">
        <v>1455</v>
      </c>
      <c r="H104" s="198" t="s">
        <v>1455</v>
      </c>
      <c r="I104" s="198" t="s">
        <v>1455</v>
      </c>
      <c r="J104" s="198" t="s">
        <v>1455</v>
      </c>
      <c r="K104" s="198" t="s">
        <v>1455</v>
      </c>
      <c r="L104" s="198" t="s">
        <v>1455</v>
      </c>
      <c r="M104" s="198" t="s">
        <v>1455</v>
      </c>
      <c r="N104" s="198" t="s">
        <v>1455</v>
      </c>
      <c r="O104" s="198" t="s">
        <v>1455</v>
      </c>
      <c r="P104" s="198" t="s">
        <v>1455</v>
      </c>
      <c r="Q104" s="198" t="s">
        <v>1455</v>
      </c>
      <c r="R104" s="198" t="s">
        <v>1455</v>
      </c>
      <c r="S104" s="198" t="s">
        <v>1455</v>
      </c>
      <c r="T104" s="198" t="s">
        <v>1455</v>
      </c>
      <c r="U104" s="198" t="s">
        <v>1455</v>
      </c>
      <c r="V104" s="198" t="s">
        <v>1455</v>
      </c>
      <c r="W104" s="198" t="s">
        <v>1455</v>
      </c>
      <c r="X104" s="198" t="s">
        <v>1455</v>
      </c>
      <c r="Y104" s="198" t="s">
        <v>1455</v>
      </c>
      <c r="Z104" s="198" t="s">
        <v>1455</v>
      </c>
      <c r="AA104" s="198" t="s">
        <v>1455</v>
      </c>
    </row>
    <row r="105" spans="1:27" x14ac:dyDescent="0.2">
      <c r="A105" s="214" t="s">
        <v>1485</v>
      </c>
      <c r="B105" s="198" t="s">
        <v>1455</v>
      </c>
      <c r="C105" s="198" t="s">
        <v>1455</v>
      </c>
      <c r="D105" s="198" t="s">
        <v>1455</v>
      </c>
      <c r="E105" s="198" t="s">
        <v>1455</v>
      </c>
      <c r="F105" s="198" t="s">
        <v>1455</v>
      </c>
      <c r="G105" s="198" t="s">
        <v>1455</v>
      </c>
      <c r="H105" s="198" t="s">
        <v>1455</v>
      </c>
      <c r="I105" s="198" t="s">
        <v>1455</v>
      </c>
      <c r="J105" s="198" t="s">
        <v>1455</v>
      </c>
      <c r="K105" s="198" t="s">
        <v>1455</v>
      </c>
      <c r="L105" s="198" t="s">
        <v>1455</v>
      </c>
      <c r="M105" s="198" t="s">
        <v>1455</v>
      </c>
      <c r="N105" s="198" t="s">
        <v>1455</v>
      </c>
      <c r="O105" s="198" t="s">
        <v>1455</v>
      </c>
      <c r="P105" s="198" t="s">
        <v>1455</v>
      </c>
      <c r="Q105" s="198" t="s">
        <v>1455</v>
      </c>
      <c r="R105" s="198" t="s">
        <v>1455</v>
      </c>
      <c r="S105" s="198" t="s">
        <v>1455</v>
      </c>
      <c r="T105" s="198" t="s">
        <v>1455</v>
      </c>
      <c r="U105" s="198" t="s">
        <v>1455</v>
      </c>
      <c r="V105" s="198" t="s">
        <v>1455</v>
      </c>
      <c r="W105" s="198" t="s">
        <v>1455</v>
      </c>
      <c r="X105" s="198" t="s">
        <v>1455</v>
      </c>
      <c r="Y105" s="198" t="s">
        <v>1455</v>
      </c>
      <c r="Z105" s="198" t="s">
        <v>1455</v>
      </c>
      <c r="AA105" s="198" t="s">
        <v>1455</v>
      </c>
    </row>
    <row r="106" spans="1:27" x14ac:dyDescent="0.2">
      <c r="A106" s="214" t="s">
        <v>1486</v>
      </c>
      <c r="B106" s="198" t="s">
        <v>1455</v>
      </c>
      <c r="C106" s="198" t="s">
        <v>1455</v>
      </c>
      <c r="D106" s="198" t="s">
        <v>1455</v>
      </c>
      <c r="E106" s="198" t="s">
        <v>1455</v>
      </c>
      <c r="F106" s="198" t="s">
        <v>1455</v>
      </c>
      <c r="G106" s="198" t="s">
        <v>1455</v>
      </c>
      <c r="H106" s="198" t="s">
        <v>1455</v>
      </c>
      <c r="I106" s="198" t="s">
        <v>1455</v>
      </c>
      <c r="J106" s="198" t="s">
        <v>1455</v>
      </c>
      <c r="K106" s="198" t="s">
        <v>1455</v>
      </c>
      <c r="L106" s="198" t="s">
        <v>1455</v>
      </c>
      <c r="M106" s="198" t="s">
        <v>1455</v>
      </c>
      <c r="N106" s="198" t="s">
        <v>1455</v>
      </c>
      <c r="O106" s="198" t="s">
        <v>1455</v>
      </c>
      <c r="P106" s="198" t="s">
        <v>1455</v>
      </c>
      <c r="Q106" s="198" t="s">
        <v>1455</v>
      </c>
      <c r="R106" s="198" t="s">
        <v>1455</v>
      </c>
      <c r="S106" s="198" t="s">
        <v>1455</v>
      </c>
      <c r="T106" s="198" t="s">
        <v>1455</v>
      </c>
      <c r="U106" s="198" t="s">
        <v>1455</v>
      </c>
      <c r="V106" s="198" t="s">
        <v>1455</v>
      </c>
      <c r="W106" s="198" t="s">
        <v>1455</v>
      </c>
      <c r="X106" s="198" t="s">
        <v>1455</v>
      </c>
      <c r="Y106" s="198" t="s">
        <v>1455</v>
      </c>
      <c r="Z106" s="198" t="s">
        <v>1455</v>
      </c>
      <c r="AA106" s="198" t="s">
        <v>1455</v>
      </c>
    </row>
    <row r="107" spans="1:27" x14ac:dyDescent="0.2">
      <c r="A107" s="208" t="s">
        <v>1487</v>
      </c>
      <c r="B107" s="197" t="s">
        <v>1455</v>
      </c>
      <c r="C107" s="197" t="s">
        <v>1455</v>
      </c>
      <c r="D107" s="197" t="s">
        <v>1455</v>
      </c>
      <c r="E107" s="197" t="s">
        <v>1455</v>
      </c>
      <c r="F107" s="197" t="s">
        <v>1455</v>
      </c>
      <c r="G107" s="197" t="s">
        <v>1455</v>
      </c>
      <c r="H107" s="197" t="s">
        <v>1455</v>
      </c>
      <c r="I107" s="197" t="s">
        <v>1455</v>
      </c>
      <c r="J107" s="197" t="s">
        <v>1455</v>
      </c>
      <c r="K107" s="197" t="s">
        <v>1455</v>
      </c>
      <c r="L107" s="197" t="s">
        <v>1455</v>
      </c>
      <c r="M107" s="197" t="s">
        <v>1455</v>
      </c>
      <c r="N107" s="197" t="s">
        <v>1455</v>
      </c>
      <c r="O107" s="197" t="s">
        <v>1455</v>
      </c>
      <c r="P107" s="197" t="s">
        <v>1455</v>
      </c>
      <c r="Q107" s="197" t="s">
        <v>1455</v>
      </c>
      <c r="R107" s="197" t="s">
        <v>1455</v>
      </c>
      <c r="S107" s="197" t="s">
        <v>1455</v>
      </c>
      <c r="T107" s="197" t="s">
        <v>1455</v>
      </c>
      <c r="U107" s="197" t="s">
        <v>1455</v>
      </c>
      <c r="V107" s="197" t="s">
        <v>1455</v>
      </c>
      <c r="W107" s="197" t="s">
        <v>1455</v>
      </c>
      <c r="X107" s="197" t="s">
        <v>1455</v>
      </c>
      <c r="Y107" s="197" t="s">
        <v>1455</v>
      </c>
      <c r="Z107" s="197" t="s">
        <v>1455</v>
      </c>
      <c r="AA107" s="197" t="s">
        <v>1455</v>
      </c>
    </row>
    <row r="108" spans="1:27" x14ac:dyDescent="0.2">
      <c r="A108" s="209" t="s">
        <v>1488</v>
      </c>
      <c r="B108" s="192"/>
      <c r="C108" s="192"/>
      <c r="D108" s="192"/>
      <c r="E108" s="192"/>
      <c r="F108" s="192"/>
      <c r="G108" s="192"/>
      <c r="H108" s="192"/>
      <c r="I108" s="192"/>
      <c r="J108" s="192"/>
      <c r="K108" s="192"/>
      <c r="L108" s="192"/>
      <c r="M108" s="192"/>
      <c r="N108" s="192"/>
      <c r="O108" s="192"/>
      <c r="P108" s="192"/>
      <c r="Q108" s="192"/>
      <c r="R108" s="192"/>
      <c r="S108" s="192"/>
      <c r="T108" s="192"/>
      <c r="U108" s="192"/>
      <c r="V108" s="192"/>
      <c r="W108" s="192"/>
      <c r="X108" s="192"/>
      <c r="Y108" s="192"/>
      <c r="Z108" s="192"/>
      <c r="AA108" s="193"/>
    </row>
    <row r="109" spans="1:27" ht="14.25" customHeight="1" x14ac:dyDescent="0.2">
      <c r="A109" s="215" t="s">
        <v>1967</v>
      </c>
      <c r="B109" s="195">
        <v>6.1464658299352992</v>
      </c>
      <c r="C109" s="195">
        <v>6.1872492651072957</v>
      </c>
      <c r="D109" s="195">
        <v>6.1368437184879054</v>
      </c>
      <c r="E109" s="195">
        <v>5.7617154863091953</v>
      </c>
      <c r="F109" s="195">
        <v>5.3974346013194729</v>
      </c>
      <c r="G109" s="195">
        <v>5.0440010635187384</v>
      </c>
      <c r="H109" s="195">
        <v>4.7014148729069909</v>
      </c>
      <c r="I109" s="195">
        <v>4.3696760294842321</v>
      </c>
      <c r="J109" s="195">
        <v>4.0487845332504619</v>
      </c>
      <c r="K109" s="195">
        <v>3.7387403842056788</v>
      </c>
      <c r="L109" s="195">
        <v>3.439543582349883</v>
      </c>
      <c r="M109" s="195">
        <v>3.1511941276830759</v>
      </c>
      <c r="N109" s="195">
        <v>2.8736920202052567</v>
      </c>
      <c r="O109" s="195">
        <v>2.6070372599164244</v>
      </c>
      <c r="P109" s="195">
        <v>2.3512298468165804</v>
      </c>
      <c r="Q109" s="195">
        <v>2.1062697809057243</v>
      </c>
      <c r="R109" s="195">
        <v>1.8721570621838559</v>
      </c>
      <c r="S109" s="195">
        <v>1.6488916906509754</v>
      </c>
      <c r="T109" s="195">
        <v>1.4364736663070823</v>
      </c>
      <c r="U109" s="195">
        <v>1.2349029891521774</v>
      </c>
      <c r="V109" s="195">
        <v>1.0441796591862604</v>
      </c>
      <c r="W109" s="195">
        <v>0.8643036764093317</v>
      </c>
      <c r="X109" s="195">
        <v>0.62066209278097895</v>
      </c>
      <c r="Y109" s="195">
        <v>0.76642519648587037</v>
      </c>
      <c r="Z109" s="195">
        <v>0.80168014475074323</v>
      </c>
      <c r="AA109" s="195">
        <v>0.80168014475074323</v>
      </c>
    </row>
    <row r="110" spans="1:27" x14ac:dyDescent="0.2">
      <c r="A110" s="214" t="s">
        <v>1422</v>
      </c>
      <c r="B110" s="198" t="s">
        <v>1455</v>
      </c>
      <c r="C110" s="198" t="s">
        <v>1455</v>
      </c>
      <c r="D110" s="198" t="s">
        <v>1455</v>
      </c>
      <c r="E110" s="198" t="s">
        <v>1455</v>
      </c>
      <c r="F110" s="198" t="s">
        <v>1455</v>
      </c>
      <c r="G110" s="198" t="s">
        <v>1455</v>
      </c>
      <c r="H110" s="198" t="s">
        <v>1455</v>
      </c>
      <c r="I110" s="198" t="s">
        <v>1455</v>
      </c>
      <c r="J110" s="198" t="s">
        <v>1455</v>
      </c>
      <c r="K110" s="198" t="s">
        <v>1455</v>
      </c>
      <c r="L110" s="198" t="s">
        <v>1455</v>
      </c>
      <c r="M110" s="198" t="s">
        <v>1455</v>
      </c>
      <c r="N110" s="198" t="s">
        <v>1455</v>
      </c>
      <c r="O110" s="198" t="s">
        <v>1455</v>
      </c>
      <c r="P110" s="198" t="s">
        <v>1455</v>
      </c>
      <c r="Q110" s="198" t="s">
        <v>1455</v>
      </c>
      <c r="R110" s="198" t="s">
        <v>1455</v>
      </c>
      <c r="S110" s="198" t="s">
        <v>1455</v>
      </c>
      <c r="T110" s="198" t="s">
        <v>1455</v>
      </c>
      <c r="U110" s="198" t="s">
        <v>1455</v>
      </c>
      <c r="V110" s="198" t="s">
        <v>1455</v>
      </c>
      <c r="W110" s="198">
        <v>0.56294515478057638</v>
      </c>
      <c r="X110" s="198">
        <v>0.28948373875392636</v>
      </c>
      <c r="Y110" s="198">
        <v>0.34416603882159447</v>
      </c>
      <c r="Z110" s="198">
        <v>0.34860466061630346</v>
      </c>
      <c r="AA110" s="198">
        <v>0.34860466061630346</v>
      </c>
    </row>
    <row r="111" spans="1:27" x14ac:dyDescent="0.2">
      <c r="A111" s="214" t="s">
        <v>1423</v>
      </c>
      <c r="B111" s="198" t="s">
        <v>1455</v>
      </c>
      <c r="C111" s="198" t="s">
        <v>1455</v>
      </c>
      <c r="D111" s="198" t="s">
        <v>1455</v>
      </c>
      <c r="E111" s="198" t="s">
        <v>1455</v>
      </c>
      <c r="F111" s="198" t="s">
        <v>1455</v>
      </c>
      <c r="G111" s="198" t="s">
        <v>1455</v>
      </c>
      <c r="H111" s="198" t="s">
        <v>1455</v>
      </c>
      <c r="I111" s="198" t="s">
        <v>1455</v>
      </c>
      <c r="J111" s="198" t="s">
        <v>1455</v>
      </c>
      <c r="K111" s="198" t="s">
        <v>1455</v>
      </c>
      <c r="L111" s="198" t="s">
        <v>1455</v>
      </c>
      <c r="M111" s="198" t="s">
        <v>1455</v>
      </c>
      <c r="N111" s="198" t="s">
        <v>1455</v>
      </c>
      <c r="O111" s="198" t="s">
        <v>1455</v>
      </c>
      <c r="P111" s="198" t="s">
        <v>1455</v>
      </c>
      <c r="Q111" s="198" t="s">
        <v>1455</v>
      </c>
      <c r="R111" s="198" t="s">
        <v>1455</v>
      </c>
      <c r="S111" s="198" t="s">
        <v>1455</v>
      </c>
      <c r="T111" s="198" t="s">
        <v>1455</v>
      </c>
      <c r="U111" s="198" t="s">
        <v>1455</v>
      </c>
      <c r="V111" s="198" t="s">
        <v>1455</v>
      </c>
      <c r="W111" s="198">
        <v>0.28702351988349867</v>
      </c>
      <c r="X111" s="198">
        <v>0.31292787607503975</v>
      </c>
      <c r="Y111" s="198">
        <v>0.40165366628084509</v>
      </c>
      <c r="Z111" s="198">
        <v>0.42947361564626696</v>
      </c>
      <c r="AA111" s="198">
        <v>0.42947361564626696</v>
      </c>
    </row>
    <row r="112" spans="1:27" x14ac:dyDescent="0.2">
      <c r="A112" s="214" t="s">
        <v>1421</v>
      </c>
      <c r="B112" s="198" t="s">
        <v>1455</v>
      </c>
      <c r="C112" s="198" t="s">
        <v>1455</v>
      </c>
      <c r="D112" s="198" t="s">
        <v>1455</v>
      </c>
      <c r="E112" s="198" t="s">
        <v>1455</v>
      </c>
      <c r="F112" s="198" t="s">
        <v>1455</v>
      </c>
      <c r="G112" s="198" t="s">
        <v>1455</v>
      </c>
      <c r="H112" s="198" t="s">
        <v>1455</v>
      </c>
      <c r="I112" s="198" t="s">
        <v>1455</v>
      </c>
      <c r="J112" s="198" t="s">
        <v>1455</v>
      </c>
      <c r="K112" s="198" t="s">
        <v>1455</v>
      </c>
      <c r="L112" s="198" t="s">
        <v>1455</v>
      </c>
      <c r="M112" s="198" t="s">
        <v>1455</v>
      </c>
      <c r="N112" s="198" t="s">
        <v>1455</v>
      </c>
      <c r="O112" s="198" t="s">
        <v>1455</v>
      </c>
      <c r="P112" s="198" t="s">
        <v>1455</v>
      </c>
      <c r="Q112" s="198" t="s">
        <v>1455</v>
      </c>
      <c r="R112" s="198" t="s">
        <v>1455</v>
      </c>
      <c r="S112" s="198" t="s">
        <v>1455</v>
      </c>
      <c r="T112" s="198" t="s">
        <v>1455</v>
      </c>
      <c r="U112" s="198" t="s">
        <v>1455</v>
      </c>
      <c r="V112" s="198" t="s">
        <v>1455</v>
      </c>
      <c r="W112" s="217">
        <v>1.433500174525649E-2</v>
      </c>
      <c r="X112" s="217">
        <v>1.8250477952012747E-2</v>
      </c>
      <c r="Y112" s="217">
        <v>2.0605491383430808E-2</v>
      </c>
      <c r="Z112" s="217">
        <v>2.3601868488172788E-2</v>
      </c>
      <c r="AA112" s="217">
        <v>2.3601868488172788E-2</v>
      </c>
    </row>
    <row r="113" spans="1:27" x14ac:dyDescent="0.2">
      <c r="A113" s="214" t="s">
        <v>1490</v>
      </c>
      <c r="B113" s="198">
        <v>1.2819244062802997</v>
      </c>
      <c r="C113" s="198">
        <v>1.3299537686131691</v>
      </c>
      <c r="D113" s="198">
        <v>1.3691522162957173</v>
      </c>
      <c r="E113" s="198">
        <v>1.3523410984881816</v>
      </c>
      <c r="F113" s="198">
        <v>1.3338194069201128</v>
      </c>
      <c r="G113" s="198">
        <v>1.313587141591511</v>
      </c>
      <c r="H113" s="198">
        <v>1.2916443025023758</v>
      </c>
      <c r="I113" s="198">
        <v>1.2679908896527075</v>
      </c>
      <c r="J113" s="198">
        <v>1.2426269030425063</v>
      </c>
      <c r="K113" s="198">
        <v>1.2155523426717716</v>
      </c>
      <c r="L113" s="198">
        <v>1.1867672085405039</v>
      </c>
      <c r="M113" s="198">
        <v>1.1562715006487028</v>
      </c>
      <c r="N113" s="198">
        <v>1.1240652189963687</v>
      </c>
      <c r="O113" s="198">
        <v>1.0901483635835012</v>
      </c>
      <c r="P113" s="198">
        <v>1.0545209344101008</v>
      </c>
      <c r="Q113" s="198">
        <v>1.0171829314761673</v>
      </c>
      <c r="R113" s="198">
        <v>0.97813435478170019</v>
      </c>
      <c r="S113" s="198">
        <v>0.93737520432670007</v>
      </c>
      <c r="T113" s="198">
        <v>0.89490548011116677</v>
      </c>
      <c r="U113" s="198">
        <v>0.85072518213510018</v>
      </c>
      <c r="V113" s="198">
        <v>0.80483431039850062</v>
      </c>
      <c r="W113" s="198">
        <v>0.75723286490136754</v>
      </c>
      <c r="X113" s="198">
        <v>0.74982080638483928</v>
      </c>
      <c r="Y113" s="198">
        <v>0.86760858546436892</v>
      </c>
      <c r="Z113" s="198">
        <v>0.84703731177792474</v>
      </c>
      <c r="AA113" s="198">
        <v>0.84703731177792474</v>
      </c>
    </row>
    <row r="114" spans="1:27" x14ac:dyDescent="0.2">
      <c r="A114" s="214" t="s">
        <v>1422</v>
      </c>
      <c r="B114" s="198" t="s">
        <v>1455</v>
      </c>
      <c r="C114" s="198" t="s">
        <v>1455</v>
      </c>
      <c r="D114" s="198" t="s">
        <v>1455</v>
      </c>
      <c r="E114" s="198" t="s">
        <v>1455</v>
      </c>
      <c r="F114" s="198" t="s">
        <v>1455</v>
      </c>
      <c r="G114" s="198" t="s">
        <v>1455</v>
      </c>
      <c r="H114" s="198" t="s">
        <v>1455</v>
      </c>
      <c r="I114" s="198" t="s">
        <v>1455</v>
      </c>
      <c r="J114" s="198" t="s">
        <v>1455</v>
      </c>
      <c r="K114" s="198" t="s">
        <v>1455</v>
      </c>
      <c r="L114" s="198" t="s">
        <v>1455</v>
      </c>
      <c r="M114" s="198" t="s">
        <v>1455</v>
      </c>
      <c r="N114" s="198" t="s">
        <v>1455</v>
      </c>
      <c r="O114" s="198" t="s">
        <v>1455</v>
      </c>
      <c r="P114" s="198" t="s">
        <v>1455</v>
      </c>
      <c r="Q114" s="198" t="s">
        <v>1455</v>
      </c>
      <c r="R114" s="198" t="s">
        <v>1455</v>
      </c>
      <c r="S114" s="198" t="s">
        <v>1455</v>
      </c>
      <c r="T114" s="198" t="s">
        <v>1455</v>
      </c>
      <c r="U114" s="198" t="s">
        <v>1455</v>
      </c>
      <c r="V114" s="198" t="s">
        <v>1455</v>
      </c>
      <c r="W114" s="198">
        <v>0.65442026100902029</v>
      </c>
      <c r="X114" s="198">
        <v>0.62686177372741436</v>
      </c>
      <c r="Y114" s="198">
        <v>0.71975097475772243</v>
      </c>
      <c r="Z114" s="198">
        <v>0.68889253952582719</v>
      </c>
      <c r="AA114" s="198">
        <v>0.68889253952582719</v>
      </c>
    </row>
    <row r="115" spans="1:27" x14ac:dyDescent="0.2">
      <c r="A115" s="214" t="s">
        <v>1423</v>
      </c>
      <c r="B115" s="198" t="s">
        <v>1455</v>
      </c>
      <c r="C115" s="198" t="s">
        <v>1455</v>
      </c>
      <c r="D115" s="198" t="s">
        <v>1455</v>
      </c>
      <c r="E115" s="198" t="s">
        <v>1455</v>
      </c>
      <c r="F115" s="198" t="s">
        <v>1455</v>
      </c>
      <c r="G115" s="198" t="s">
        <v>1455</v>
      </c>
      <c r="H115" s="198" t="s">
        <v>1455</v>
      </c>
      <c r="I115" s="198" t="s">
        <v>1455</v>
      </c>
      <c r="J115" s="198" t="s">
        <v>1455</v>
      </c>
      <c r="K115" s="198" t="s">
        <v>1455</v>
      </c>
      <c r="L115" s="198" t="s">
        <v>1455</v>
      </c>
      <c r="M115" s="198" t="s">
        <v>1455</v>
      </c>
      <c r="N115" s="198" t="s">
        <v>1455</v>
      </c>
      <c r="O115" s="198" t="s">
        <v>1455</v>
      </c>
      <c r="P115" s="198" t="s">
        <v>1455</v>
      </c>
      <c r="Q115" s="198" t="s">
        <v>1455</v>
      </c>
      <c r="R115" s="198" t="s">
        <v>1455</v>
      </c>
      <c r="S115" s="198" t="s">
        <v>1455</v>
      </c>
      <c r="T115" s="198" t="s">
        <v>1455</v>
      </c>
      <c r="U115" s="198" t="s">
        <v>1455</v>
      </c>
      <c r="V115" s="198" t="s">
        <v>1455</v>
      </c>
      <c r="W115" s="198">
        <v>9.2662061006553581E-2</v>
      </c>
      <c r="X115" s="198">
        <v>0.11056134009866753</v>
      </c>
      <c r="Y115" s="198">
        <v>0.13060476209441302</v>
      </c>
      <c r="Z115" s="198">
        <v>0.14480883438783801</v>
      </c>
      <c r="AA115" s="198">
        <v>0.14480883438783801</v>
      </c>
    </row>
    <row r="116" spans="1:27" x14ac:dyDescent="0.2">
      <c r="A116" s="208" t="s">
        <v>1421</v>
      </c>
      <c r="B116" s="197" t="s">
        <v>1455</v>
      </c>
      <c r="C116" s="197" t="s">
        <v>1455</v>
      </c>
      <c r="D116" s="197" t="s">
        <v>1455</v>
      </c>
      <c r="E116" s="197" t="s">
        <v>1455</v>
      </c>
      <c r="F116" s="197" t="s">
        <v>1455</v>
      </c>
      <c r="G116" s="197" t="s">
        <v>1455</v>
      </c>
      <c r="H116" s="197" t="s">
        <v>1455</v>
      </c>
      <c r="I116" s="197" t="s">
        <v>1455</v>
      </c>
      <c r="J116" s="197" t="s">
        <v>1455</v>
      </c>
      <c r="K116" s="197" t="s">
        <v>1455</v>
      </c>
      <c r="L116" s="197" t="s">
        <v>1455</v>
      </c>
      <c r="M116" s="197" t="s">
        <v>1455</v>
      </c>
      <c r="N116" s="197" t="s">
        <v>1455</v>
      </c>
      <c r="O116" s="197" t="s">
        <v>1455</v>
      </c>
      <c r="P116" s="197" t="s">
        <v>1455</v>
      </c>
      <c r="Q116" s="197" t="s">
        <v>1455</v>
      </c>
      <c r="R116" s="197" t="s">
        <v>1455</v>
      </c>
      <c r="S116" s="197" t="s">
        <v>1455</v>
      </c>
      <c r="T116" s="197" t="s">
        <v>1455</v>
      </c>
      <c r="U116" s="197" t="s">
        <v>1455</v>
      </c>
      <c r="V116" s="197" t="s">
        <v>1455</v>
      </c>
      <c r="W116" s="218">
        <v>1.0150542885793579E-2</v>
      </c>
      <c r="X116" s="218">
        <v>1.2397692558757329E-2</v>
      </c>
      <c r="Y116" s="218">
        <v>1.7252848612233435E-2</v>
      </c>
      <c r="Z116" s="218">
        <v>1.3335937864259767E-2</v>
      </c>
      <c r="AA116" s="218">
        <v>1.3335937864259767E-2</v>
      </c>
    </row>
    <row r="117" spans="1:27" x14ac:dyDescent="0.2">
      <c r="A117" s="209" t="s">
        <v>1491</v>
      </c>
      <c r="B117" s="192"/>
      <c r="C117" s="192"/>
      <c r="D117" s="192"/>
      <c r="E117" s="192"/>
      <c r="F117" s="192"/>
      <c r="G117" s="192"/>
      <c r="H117" s="192"/>
      <c r="I117" s="192"/>
      <c r="J117" s="192"/>
      <c r="K117" s="192"/>
      <c r="L117" s="192"/>
      <c r="M117" s="192"/>
      <c r="N117" s="192"/>
      <c r="O117" s="192"/>
      <c r="P117" s="192"/>
      <c r="Q117" s="192"/>
      <c r="R117" s="192"/>
      <c r="S117" s="192"/>
      <c r="T117" s="192"/>
      <c r="U117" s="192"/>
      <c r="V117" s="192"/>
      <c r="W117" s="192"/>
      <c r="X117" s="192"/>
      <c r="Y117" s="192"/>
      <c r="Z117" s="192"/>
      <c r="AA117" s="193"/>
    </row>
    <row r="118" spans="1:27" x14ac:dyDescent="0.2">
      <c r="A118" s="219" t="s">
        <v>1492</v>
      </c>
      <c r="B118" s="220">
        <v>5.1331244979925046</v>
      </c>
      <c r="C118" s="220">
        <v>5.167184143972162</v>
      </c>
      <c r="D118" s="220">
        <v>5.1250887425910054</v>
      </c>
      <c r="E118" s="220">
        <v>5.1566515017719476</v>
      </c>
      <c r="F118" s="220">
        <v>5.3022797867505345</v>
      </c>
      <c r="G118" s="220">
        <v>5.2214298888597419</v>
      </c>
      <c r="H118" s="220">
        <v>5.0055898504496783</v>
      </c>
      <c r="I118" s="220">
        <v>5.1761166685760163</v>
      </c>
      <c r="J118" s="220">
        <v>5.3227472250160588</v>
      </c>
      <c r="K118" s="220">
        <v>5.2058155545128466</v>
      </c>
      <c r="L118" s="220">
        <v>5.2567731456584568</v>
      </c>
      <c r="M118" s="220">
        <v>5.0991703542719478</v>
      </c>
      <c r="N118" s="220">
        <v>5.3278465008725897</v>
      </c>
      <c r="O118" s="220">
        <v>5.3013654338383285</v>
      </c>
      <c r="P118" s="220">
        <v>5.3278816682922896</v>
      </c>
      <c r="Q118" s="220">
        <v>5.2833421312419695</v>
      </c>
      <c r="R118" s="220">
        <v>5.2808100770235535</v>
      </c>
      <c r="S118" s="220">
        <v>5.2938571897323339</v>
      </c>
      <c r="T118" s="220">
        <v>5.3310467360653098</v>
      </c>
      <c r="U118" s="220">
        <v>5.3555232601766587</v>
      </c>
      <c r="V118" s="220">
        <v>5.359602680861884</v>
      </c>
      <c r="W118" s="220">
        <v>5.3640513594539607</v>
      </c>
      <c r="X118" s="220">
        <v>5.3338601296413266</v>
      </c>
      <c r="Y118" s="220">
        <v>5.3239429172858665</v>
      </c>
      <c r="Z118" s="220">
        <v>5.3058492798501069</v>
      </c>
      <c r="AA118" s="220">
        <v>5.3058492798501069</v>
      </c>
    </row>
    <row r="119" spans="1:27" x14ac:dyDescent="0.2">
      <c r="A119" s="209" t="s">
        <v>1493</v>
      </c>
      <c r="B119" s="192"/>
      <c r="C119" s="192"/>
      <c r="D119" s="192"/>
      <c r="E119" s="192"/>
      <c r="F119" s="192"/>
      <c r="G119" s="192"/>
      <c r="H119" s="192"/>
      <c r="I119" s="192"/>
      <c r="J119" s="192"/>
      <c r="K119" s="192"/>
      <c r="L119" s="192"/>
      <c r="M119" s="192"/>
      <c r="N119" s="192"/>
      <c r="O119" s="192"/>
      <c r="P119" s="192"/>
      <c r="Q119" s="192"/>
      <c r="R119" s="192"/>
      <c r="S119" s="192"/>
      <c r="T119" s="192"/>
      <c r="U119" s="192"/>
      <c r="V119" s="192"/>
      <c r="W119" s="192"/>
      <c r="X119" s="192"/>
      <c r="Y119" s="192"/>
      <c r="Z119" s="192"/>
      <c r="AA119" s="193"/>
    </row>
    <row r="120" spans="1:27" ht="11.25" customHeight="1" x14ac:dyDescent="0.2">
      <c r="A120" s="215" t="s">
        <v>1494</v>
      </c>
      <c r="B120" s="195">
        <v>4.1965753552185152</v>
      </c>
      <c r="C120" s="195">
        <v>4.2244207486005765</v>
      </c>
      <c r="D120" s="195">
        <v>4.190005739949747</v>
      </c>
      <c r="E120" s="195">
        <v>4.1583629701018348</v>
      </c>
      <c r="F120" s="195">
        <v>4.1267202002539216</v>
      </c>
      <c r="G120" s="195">
        <v>4.0950774304060076</v>
      </c>
      <c r="H120" s="195">
        <v>4.0634346605580953</v>
      </c>
      <c r="I120" s="195">
        <v>4.0317918907101822</v>
      </c>
      <c r="J120" s="195">
        <v>4.0001491208622681</v>
      </c>
      <c r="K120" s="195">
        <v>3.9685063510143554</v>
      </c>
      <c r="L120" s="195">
        <v>3.9368635811664427</v>
      </c>
      <c r="M120" s="195">
        <v>3.9052208113185292</v>
      </c>
      <c r="N120" s="195">
        <v>3.8735780414706165</v>
      </c>
      <c r="O120" s="195">
        <v>3.8419352716227038</v>
      </c>
      <c r="P120" s="195">
        <v>3.8102925017747897</v>
      </c>
      <c r="Q120" s="195">
        <v>3.778649731926877</v>
      </c>
      <c r="R120" s="195">
        <v>3.7470069620789639</v>
      </c>
      <c r="S120" s="195">
        <v>3.7153641922310503</v>
      </c>
      <c r="T120" s="195">
        <v>3.6837214223831376</v>
      </c>
      <c r="U120" s="195">
        <v>3.6520786525352245</v>
      </c>
      <c r="V120" s="195">
        <v>3.6204358826873109</v>
      </c>
      <c r="W120" s="195">
        <v>3.5887931128394004</v>
      </c>
      <c r="X120" s="195">
        <v>3.8432672951820126</v>
      </c>
      <c r="Y120" s="195">
        <v>4.1514067599828683</v>
      </c>
      <c r="Z120" s="195">
        <v>4.4412380327537475</v>
      </c>
      <c r="AA120" s="195">
        <v>4.4412380327537475</v>
      </c>
    </row>
    <row r="121" spans="1:27" x14ac:dyDescent="0.2">
      <c r="A121" s="208" t="s">
        <v>1495</v>
      </c>
      <c r="B121" s="197">
        <v>0.87524086728966666</v>
      </c>
      <c r="C121" s="197">
        <v>0.90799470370120161</v>
      </c>
      <c r="D121" s="197">
        <v>0.93478334967880083</v>
      </c>
      <c r="E121" s="197">
        <v>0.92670784983651788</v>
      </c>
      <c r="F121" s="197">
        <v>0.9186323499942346</v>
      </c>
      <c r="G121" s="197">
        <v>0.91055685015195165</v>
      </c>
      <c r="H121" s="197">
        <v>0.9024813503096687</v>
      </c>
      <c r="I121" s="197">
        <v>0.89440585046738552</v>
      </c>
      <c r="J121" s="197">
        <v>0.88633035062510257</v>
      </c>
      <c r="K121" s="197">
        <v>0.87825485078281951</v>
      </c>
      <c r="L121" s="197">
        <v>0.87017935094053656</v>
      </c>
      <c r="M121" s="197">
        <v>0.86210385109825349</v>
      </c>
      <c r="N121" s="197">
        <v>0.85402835125597054</v>
      </c>
      <c r="O121" s="197">
        <v>0.84595285141368748</v>
      </c>
      <c r="P121" s="197">
        <v>0.83787735157140431</v>
      </c>
      <c r="Q121" s="197">
        <v>0.82980185172912191</v>
      </c>
      <c r="R121" s="197">
        <v>0.83626784018415412</v>
      </c>
      <c r="S121" s="197">
        <v>0.82980185172912191</v>
      </c>
      <c r="T121" s="197">
        <v>0.84704448760920747</v>
      </c>
      <c r="U121" s="197">
        <v>0.84919981709421832</v>
      </c>
      <c r="V121" s="197">
        <v>0.85135514657922906</v>
      </c>
      <c r="W121" s="197">
        <v>0.85782113503426127</v>
      </c>
      <c r="X121" s="197">
        <v>0.85782113503426127</v>
      </c>
      <c r="Y121" s="197">
        <v>0.86213179400428253</v>
      </c>
      <c r="Z121" s="197">
        <v>0.86213179400428253</v>
      </c>
      <c r="AA121" s="197">
        <v>0.86213179400428253</v>
      </c>
    </row>
    <row r="122" spans="1:27" x14ac:dyDescent="0.2">
      <c r="A122" s="221" t="s">
        <v>1496</v>
      </c>
      <c r="B122" s="222"/>
      <c r="C122" s="222"/>
      <c r="D122" s="222"/>
      <c r="E122" s="222"/>
      <c r="F122" s="222"/>
      <c r="G122" s="222"/>
      <c r="H122" s="222"/>
      <c r="I122" s="222"/>
      <c r="J122" s="222"/>
      <c r="K122" s="222"/>
      <c r="L122" s="222"/>
      <c r="M122" s="222"/>
      <c r="N122" s="222"/>
      <c r="O122" s="222"/>
      <c r="P122" s="222"/>
      <c r="Q122" s="222"/>
      <c r="R122" s="222"/>
      <c r="S122" s="222"/>
      <c r="T122" s="222"/>
      <c r="U122" s="222"/>
      <c r="V122" s="222"/>
      <c r="W122" s="222"/>
      <c r="X122" s="222"/>
      <c r="Y122" s="222"/>
      <c r="Z122" s="222"/>
      <c r="AA122" s="223"/>
    </row>
    <row r="123" spans="1:27" x14ac:dyDescent="0.2">
      <c r="A123" s="215" t="s">
        <v>1497</v>
      </c>
      <c r="B123" s="195">
        <v>0.30954750579654777</v>
      </c>
      <c r="C123" s="195">
        <v>0.3131115568718561</v>
      </c>
      <c r="D123" s="195">
        <v>0.31667560794716448</v>
      </c>
      <c r="E123" s="195">
        <v>0.32023965902247276</v>
      </c>
      <c r="F123" s="195">
        <v>0.32380371009778114</v>
      </c>
      <c r="G123" s="195">
        <v>0.32736776117308952</v>
      </c>
      <c r="H123" s="195">
        <v>0.33093181224839779</v>
      </c>
      <c r="I123" s="195">
        <v>0.33449586332370623</v>
      </c>
      <c r="J123" s="195">
        <v>0.33805991439901451</v>
      </c>
      <c r="K123" s="195">
        <v>0.34162396547432289</v>
      </c>
      <c r="L123" s="195">
        <v>0.3451880165496311</v>
      </c>
      <c r="M123" s="195">
        <v>0.34875206762493965</v>
      </c>
      <c r="N123" s="195">
        <v>0.35231611870024787</v>
      </c>
      <c r="O123" s="195">
        <v>0.3558801697755562</v>
      </c>
      <c r="P123" s="195">
        <v>0.3558801697755562</v>
      </c>
      <c r="Q123" s="195">
        <v>0.3558801697755562</v>
      </c>
      <c r="R123" s="195">
        <v>0.3558801697755562</v>
      </c>
      <c r="S123" s="195">
        <v>0.3558801697755562</v>
      </c>
      <c r="T123" s="195">
        <v>0.3558801697755562</v>
      </c>
      <c r="U123" s="195">
        <v>0.3558801697755562</v>
      </c>
      <c r="V123" s="195">
        <v>0.3558801697755562</v>
      </c>
      <c r="W123" s="195">
        <v>0.3558801697755562</v>
      </c>
      <c r="X123" s="195">
        <v>0.3558801697755562</v>
      </c>
      <c r="Y123" s="195">
        <v>0.3558801697755562</v>
      </c>
      <c r="Z123" s="195">
        <v>0.3558801697755562</v>
      </c>
      <c r="AA123" s="195">
        <v>0.3558801697755562</v>
      </c>
    </row>
    <row r="124" spans="1:27" x14ac:dyDescent="0.2">
      <c r="A124" s="214" t="s">
        <v>1498</v>
      </c>
      <c r="B124" s="198">
        <v>1.1557265525937916</v>
      </c>
      <c r="C124" s="198">
        <v>1.1702841816326637</v>
      </c>
      <c r="D124" s="198">
        <v>1.1848418106715353</v>
      </c>
      <c r="E124" s="198">
        <v>1.1993994397104071</v>
      </c>
      <c r="F124" s="198">
        <v>1.2139570687492789</v>
      </c>
      <c r="G124" s="198">
        <v>1.2285146977881509</v>
      </c>
      <c r="H124" s="198">
        <v>1.2430723268270225</v>
      </c>
      <c r="I124" s="198">
        <v>1.2576299558658945</v>
      </c>
      <c r="J124" s="198">
        <v>1.2721875849047664</v>
      </c>
      <c r="K124" s="198">
        <v>1.2867452139436382</v>
      </c>
      <c r="L124" s="198">
        <v>1.3013028429825102</v>
      </c>
      <c r="M124" s="198">
        <v>1.315860472021382</v>
      </c>
      <c r="N124" s="198">
        <v>1.3304181010602538</v>
      </c>
      <c r="O124" s="198">
        <v>1.3449757300991259</v>
      </c>
      <c r="P124" s="198">
        <v>1.3449757300991259</v>
      </c>
      <c r="Q124" s="198">
        <v>1.3449757300991259</v>
      </c>
      <c r="R124" s="198">
        <v>1.3449757300991259</v>
      </c>
      <c r="S124" s="198">
        <v>1.3449757300991259</v>
      </c>
      <c r="T124" s="198">
        <v>1.3449757300991259</v>
      </c>
      <c r="U124" s="198">
        <v>1.3449757300991259</v>
      </c>
      <c r="V124" s="198">
        <v>1.3449757300991259</v>
      </c>
      <c r="W124" s="198">
        <v>1.3449757300991259</v>
      </c>
      <c r="X124" s="198">
        <v>1.3449757300991259</v>
      </c>
      <c r="Y124" s="198">
        <v>1.3449757300991259</v>
      </c>
      <c r="Z124" s="198">
        <v>1.3449757300991259</v>
      </c>
      <c r="AA124" s="198">
        <v>1.3449757300991259</v>
      </c>
    </row>
    <row r="125" spans="1:27" x14ac:dyDescent="0.2">
      <c r="A125" s="208" t="s">
        <v>1499</v>
      </c>
      <c r="B125" s="197">
        <v>0.39480851601735678</v>
      </c>
      <c r="C125" s="197">
        <v>0.39991422177037911</v>
      </c>
      <c r="D125" s="197">
        <v>0.40501992752340138</v>
      </c>
      <c r="E125" s="197">
        <v>0.41012563327642365</v>
      </c>
      <c r="F125" s="197">
        <v>0.41523133902944598</v>
      </c>
      <c r="G125" s="197">
        <v>0.42033704478246825</v>
      </c>
      <c r="H125" s="197">
        <v>0.42544275053549052</v>
      </c>
      <c r="I125" s="197">
        <v>0.43054845628851274</v>
      </c>
      <c r="J125" s="197">
        <v>0.43565416204153501</v>
      </c>
      <c r="K125" s="197">
        <v>0.44075986779455728</v>
      </c>
      <c r="L125" s="197">
        <v>0.44586557354757944</v>
      </c>
      <c r="M125" s="197">
        <v>0.45097127930060188</v>
      </c>
      <c r="N125" s="197">
        <v>0.4560769850536241</v>
      </c>
      <c r="O125" s="197">
        <v>0.46118269080664648</v>
      </c>
      <c r="P125" s="197">
        <v>0.46118269080664648</v>
      </c>
      <c r="Q125" s="197">
        <v>0.46118269080664648</v>
      </c>
      <c r="R125" s="197">
        <v>0.46118269080664648</v>
      </c>
      <c r="S125" s="197">
        <v>0.46118269080664648</v>
      </c>
      <c r="T125" s="197">
        <v>0.46118269080664648</v>
      </c>
      <c r="U125" s="197">
        <v>0.46118269080664648</v>
      </c>
      <c r="V125" s="197">
        <v>0.46118269080664648</v>
      </c>
      <c r="W125" s="197">
        <v>0.46118269080664648</v>
      </c>
      <c r="X125" s="197">
        <v>0.46118269080664648</v>
      </c>
      <c r="Y125" s="197">
        <v>0.46118269080664648</v>
      </c>
      <c r="Z125" s="197">
        <v>0.46118269080664648</v>
      </c>
      <c r="AA125" s="197">
        <v>0.46118269080664648</v>
      </c>
    </row>
    <row r="126" spans="1:27" x14ac:dyDescent="0.2">
      <c r="A126" s="209" t="s">
        <v>1500</v>
      </c>
      <c r="B126" s="192"/>
      <c r="C126" s="192"/>
      <c r="D126" s="192"/>
      <c r="E126" s="192"/>
      <c r="F126" s="192"/>
      <c r="G126" s="192"/>
      <c r="H126" s="192"/>
      <c r="I126" s="192"/>
      <c r="J126" s="192"/>
      <c r="K126" s="192"/>
      <c r="L126" s="192"/>
      <c r="M126" s="192"/>
      <c r="N126" s="192"/>
      <c r="O126" s="192"/>
      <c r="P126" s="192"/>
      <c r="Q126" s="192"/>
      <c r="R126" s="192"/>
      <c r="S126" s="192"/>
      <c r="T126" s="192"/>
      <c r="U126" s="192"/>
      <c r="V126" s="192"/>
      <c r="W126" s="192"/>
      <c r="X126" s="192"/>
      <c r="Y126" s="192"/>
      <c r="Z126" s="192"/>
      <c r="AA126" s="193"/>
    </row>
    <row r="127" spans="1:27" x14ac:dyDescent="0.2">
      <c r="A127" s="215" t="s">
        <v>1501</v>
      </c>
      <c r="B127" s="195" t="s">
        <v>1455</v>
      </c>
      <c r="C127" s="195" t="s">
        <v>1455</v>
      </c>
      <c r="D127" s="195" t="s">
        <v>1455</v>
      </c>
      <c r="E127" s="195" t="s">
        <v>1455</v>
      </c>
      <c r="F127" s="195" t="s">
        <v>1455</v>
      </c>
      <c r="G127" s="195" t="s">
        <v>1455</v>
      </c>
      <c r="H127" s="195" t="s">
        <v>1455</v>
      </c>
      <c r="I127" s="195" t="s">
        <v>1455</v>
      </c>
      <c r="J127" s="195" t="s">
        <v>1455</v>
      </c>
      <c r="K127" s="195" t="s">
        <v>1455</v>
      </c>
      <c r="L127" s="195" t="s">
        <v>1455</v>
      </c>
      <c r="M127" s="195" t="s">
        <v>1455</v>
      </c>
      <c r="N127" s="195" t="s">
        <v>1455</v>
      </c>
      <c r="O127" s="195" t="s">
        <v>1455</v>
      </c>
      <c r="P127" s="195" t="s">
        <v>1455</v>
      </c>
      <c r="Q127" s="195" t="s">
        <v>1455</v>
      </c>
      <c r="R127" s="195" t="s">
        <v>1455</v>
      </c>
      <c r="S127" s="195" t="s">
        <v>1455</v>
      </c>
      <c r="T127" s="195" t="s">
        <v>1455</v>
      </c>
      <c r="U127" s="195" t="s">
        <v>1455</v>
      </c>
      <c r="V127" s="195" t="s">
        <v>1455</v>
      </c>
      <c r="W127" s="195" t="s">
        <v>1455</v>
      </c>
      <c r="X127" s="195" t="s">
        <v>1455</v>
      </c>
      <c r="Y127" s="195" t="s">
        <v>1455</v>
      </c>
      <c r="Z127" s="195" t="s">
        <v>1455</v>
      </c>
      <c r="AA127" s="195" t="s">
        <v>1455</v>
      </c>
    </row>
    <row r="128" spans="1:27" x14ac:dyDescent="0.2">
      <c r="A128" s="214" t="s">
        <v>1502</v>
      </c>
      <c r="B128" s="198" t="s">
        <v>1455</v>
      </c>
      <c r="C128" s="198" t="s">
        <v>1455</v>
      </c>
      <c r="D128" s="198" t="s">
        <v>1455</v>
      </c>
      <c r="E128" s="198" t="s">
        <v>1455</v>
      </c>
      <c r="F128" s="198" t="s">
        <v>1455</v>
      </c>
      <c r="G128" s="198" t="s">
        <v>1455</v>
      </c>
      <c r="H128" s="198" t="s">
        <v>1455</v>
      </c>
      <c r="I128" s="198" t="s">
        <v>1455</v>
      </c>
      <c r="J128" s="198" t="s">
        <v>1455</v>
      </c>
      <c r="K128" s="198" t="s">
        <v>1455</v>
      </c>
      <c r="L128" s="198" t="s">
        <v>1455</v>
      </c>
      <c r="M128" s="198" t="s">
        <v>1455</v>
      </c>
      <c r="N128" s="198" t="s">
        <v>1455</v>
      </c>
      <c r="O128" s="198" t="s">
        <v>1455</v>
      </c>
      <c r="P128" s="198" t="s">
        <v>1455</v>
      </c>
      <c r="Q128" s="198" t="s">
        <v>1455</v>
      </c>
      <c r="R128" s="198" t="s">
        <v>1455</v>
      </c>
      <c r="S128" s="198" t="s">
        <v>1455</v>
      </c>
      <c r="T128" s="198" t="s">
        <v>1455</v>
      </c>
      <c r="U128" s="198" t="s">
        <v>1455</v>
      </c>
      <c r="V128" s="198" t="s">
        <v>1455</v>
      </c>
      <c r="W128" s="198" t="s">
        <v>1455</v>
      </c>
      <c r="X128" s="198" t="s">
        <v>1455</v>
      </c>
      <c r="Y128" s="198" t="s">
        <v>1455</v>
      </c>
      <c r="Z128" s="198" t="s">
        <v>1455</v>
      </c>
      <c r="AA128" s="198" t="s">
        <v>1455</v>
      </c>
    </row>
    <row r="129" spans="1:27" x14ac:dyDescent="0.2">
      <c r="A129" s="208" t="s">
        <v>1503</v>
      </c>
      <c r="B129" s="197">
        <v>0.17188638522496358</v>
      </c>
      <c r="C129" s="197">
        <v>0.17386544124906397</v>
      </c>
      <c r="D129" s="197">
        <v>0.17584449727316431</v>
      </c>
      <c r="E129" s="197">
        <v>0.17782355329726462</v>
      </c>
      <c r="F129" s="197">
        <v>0.17980260932136499</v>
      </c>
      <c r="G129" s="197">
        <v>0.18178166534546536</v>
      </c>
      <c r="H129" s="197">
        <v>0.18376072136956567</v>
      </c>
      <c r="I129" s="197">
        <v>0.18573977739366607</v>
      </c>
      <c r="J129" s="197">
        <v>0.18771883341776635</v>
      </c>
      <c r="K129" s="197">
        <v>0.18969788944186675</v>
      </c>
      <c r="L129" s="197">
        <v>0.19167694546596703</v>
      </c>
      <c r="M129" s="197">
        <v>0.19365600149006743</v>
      </c>
      <c r="N129" s="197">
        <v>0.19563505751416779</v>
      </c>
      <c r="O129" s="197">
        <v>0.19761411353826813</v>
      </c>
      <c r="P129" s="197">
        <v>0.19761411353826813</v>
      </c>
      <c r="Q129" s="197">
        <v>0.19761411353826813</v>
      </c>
      <c r="R129" s="197">
        <v>0.19761411353826813</v>
      </c>
      <c r="S129" s="197">
        <v>0.19761411353826813</v>
      </c>
      <c r="T129" s="197">
        <v>0.19761411353826813</v>
      </c>
      <c r="U129" s="197">
        <v>0.19761411353826813</v>
      </c>
      <c r="V129" s="197">
        <v>0.19761411353826813</v>
      </c>
      <c r="W129" s="197">
        <v>0.19761411353826813</v>
      </c>
      <c r="X129" s="197">
        <v>0.19761411353826813</v>
      </c>
      <c r="Y129" s="197">
        <v>0.19761411353826813</v>
      </c>
      <c r="Z129" s="197">
        <v>0.19761411353826813</v>
      </c>
      <c r="AA129" s="197">
        <v>0.19761411353826813</v>
      </c>
    </row>
    <row r="130" spans="1:27" x14ac:dyDescent="0.2">
      <c r="A130" s="221" t="s">
        <v>1504</v>
      </c>
      <c r="B130" s="222"/>
      <c r="C130" s="222"/>
      <c r="D130" s="222"/>
      <c r="E130" s="222"/>
      <c r="F130" s="222"/>
      <c r="G130" s="222"/>
      <c r="H130" s="222"/>
      <c r="I130" s="222"/>
      <c r="J130" s="222"/>
      <c r="K130" s="222"/>
      <c r="L130" s="222"/>
      <c r="M130" s="222"/>
      <c r="N130" s="222"/>
      <c r="O130" s="222"/>
      <c r="P130" s="222"/>
      <c r="Q130" s="222"/>
      <c r="R130" s="222"/>
      <c r="S130" s="222"/>
      <c r="T130" s="222"/>
      <c r="U130" s="222"/>
      <c r="V130" s="222"/>
      <c r="W130" s="222"/>
      <c r="X130" s="222"/>
      <c r="Y130" s="222"/>
      <c r="Z130" s="222"/>
      <c r="AA130" s="223"/>
    </row>
    <row r="131" spans="1:27" x14ac:dyDescent="0.2">
      <c r="A131" s="215" t="s">
        <v>1497</v>
      </c>
      <c r="B131" s="346">
        <v>7.0912644134041953E-3</v>
      </c>
      <c r="C131" s="346">
        <v>7.0912644134041953E-3</v>
      </c>
      <c r="D131" s="346">
        <v>7.0912644134041953E-3</v>
      </c>
      <c r="E131" s="346">
        <v>7.0912644134041953E-3</v>
      </c>
      <c r="F131" s="346">
        <v>7.0912644134041953E-3</v>
      </c>
      <c r="G131" s="346">
        <v>7.0912644134041953E-3</v>
      </c>
      <c r="H131" s="346">
        <v>7.0912644134041953E-3</v>
      </c>
      <c r="I131" s="346">
        <v>7.0912644134041953E-3</v>
      </c>
      <c r="J131" s="346">
        <v>7.0912644134041953E-3</v>
      </c>
      <c r="K131" s="346">
        <v>7.0912644134041953E-3</v>
      </c>
      <c r="L131" s="346">
        <v>7.0912644134041953E-3</v>
      </c>
      <c r="M131" s="346">
        <v>1.0636896620106291E-2</v>
      </c>
      <c r="N131" s="346">
        <v>1.0636896620106291E-2</v>
      </c>
      <c r="O131" s="346">
        <v>1.4182528826808391E-2</v>
      </c>
      <c r="P131" s="346">
        <v>1.4182528826808391E-2</v>
      </c>
      <c r="Q131" s="346">
        <v>1.4182528826808391E-2</v>
      </c>
      <c r="R131" s="346">
        <v>1.4182528826808391E-2</v>
      </c>
      <c r="S131" s="346">
        <v>1.4182528826808391E-2</v>
      </c>
      <c r="T131" s="346">
        <v>3.5456322067020971E-2</v>
      </c>
      <c r="U131" s="346">
        <v>3.900195427372307E-2</v>
      </c>
      <c r="V131" s="346">
        <v>3.900195427372307E-2</v>
      </c>
      <c r="W131" s="346">
        <v>3.900195427372307E-2</v>
      </c>
      <c r="X131" s="346">
        <v>3.900195427372307E-2</v>
      </c>
      <c r="Y131" s="346">
        <v>3.900195427372307E-2</v>
      </c>
      <c r="Z131" s="346">
        <v>4.2547586480425163E-2</v>
      </c>
      <c r="AA131" s="346">
        <v>4.2547586480425163E-2</v>
      </c>
    </row>
    <row r="132" spans="1:27" x14ac:dyDescent="0.2">
      <c r="A132" s="214" t="s">
        <v>1498</v>
      </c>
      <c r="B132" s="217">
        <v>3.3817100997130915E-2</v>
      </c>
      <c r="C132" s="217">
        <v>3.3817100997130915E-2</v>
      </c>
      <c r="D132" s="217">
        <v>3.3817100997130915E-2</v>
      </c>
      <c r="E132" s="217">
        <v>3.3817100997130915E-2</v>
      </c>
      <c r="F132" s="217">
        <v>3.3817100997130915E-2</v>
      </c>
      <c r="G132" s="217">
        <v>3.3817100997130915E-2</v>
      </c>
      <c r="H132" s="217">
        <v>3.3817100997130915E-2</v>
      </c>
      <c r="I132" s="217">
        <v>3.3817100997130915E-2</v>
      </c>
      <c r="J132" s="217">
        <v>3.3817100997130915E-2</v>
      </c>
      <c r="K132" s="217">
        <v>3.3817100997130915E-2</v>
      </c>
      <c r="L132" s="217">
        <v>3.3817100997130915E-2</v>
      </c>
      <c r="M132" s="198">
        <v>5.0725651495696356E-2</v>
      </c>
      <c r="N132" s="198">
        <v>5.0725651495696356E-2</v>
      </c>
      <c r="O132" s="198">
        <v>6.7634201994261831E-2</v>
      </c>
      <c r="P132" s="198">
        <v>6.7634201994261831E-2</v>
      </c>
      <c r="Q132" s="198">
        <v>6.7634201994261831E-2</v>
      </c>
      <c r="R132" s="198">
        <v>6.7634201994261831E-2</v>
      </c>
      <c r="S132" s="198">
        <v>6.7634201994261831E-2</v>
      </c>
      <c r="T132" s="198">
        <v>0.16908550498565456</v>
      </c>
      <c r="U132" s="198">
        <v>0.18599405548422004</v>
      </c>
      <c r="V132" s="198">
        <v>0.18599405548422004</v>
      </c>
      <c r="W132" s="198">
        <v>0.18599405548422004</v>
      </c>
      <c r="X132" s="198">
        <v>0.18599405548422004</v>
      </c>
      <c r="Y132" s="198">
        <v>0.18599405548422004</v>
      </c>
      <c r="Z132" s="198">
        <v>0.20290260598278542</v>
      </c>
      <c r="AA132" s="198">
        <v>0.20290260598278542</v>
      </c>
    </row>
    <row r="133" spans="1:27" x14ac:dyDescent="0.2">
      <c r="A133" s="208" t="s">
        <v>1499</v>
      </c>
      <c r="B133" s="218">
        <v>8.6404251204992306E-3</v>
      </c>
      <c r="C133" s="218">
        <v>8.6404251204992306E-3</v>
      </c>
      <c r="D133" s="218">
        <v>8.6404251204992306E-3</v>
      </c>
      <c r="E133" s="218">
        <v>8.6404251204992306E-3</v>
      </c>
      <c r="F133" s="218">
        <v>8.6404251204992306E-3</v>
      </c>
      <c r="G133" s="218">
        <v>8.6404251204992306E-3</v>
      </c>
      <c r="H133" s="218">
        <v>8.6404251204992306E-3</v>
      </c>
      <c r="I133" s="218">
        <v>8.6404251204992306E-3</v>
      </c>
      <c r="J133" s="218">
        <v>8.6404251204992306E-3</v>
      </c>
      <c r="K133" s="218">
        <v>8.6404251204992306E-3</v>
      </c>
      <c r="L133" s="218">
        <v>8.6404251204992306E-3</v>
      </c>
      <c r="M133" s="218">
        <v>1.2960637680748845E-2</v>
      </c>
      <c r="N133" s="218">
        <v>1.2960637680748845E-2</v>
      </c>
      <c r="O133" s="218">
        <v>1.7280850240998461E-2</v>
      </c>
      <c r="P133" s="218">
        <v>1.7280850240998461E-2</v>
      </c>
      <c r="Q133" s="218">
        <v>1.7280850240998461E-2</v>
      </c>
      <c r="R133" s="218">
        <v>1.7280850240998461E-2</v>
      </c>
      <c r="S133" s="218">
        <v>1.7280850240998461E-2</v>
      </c>
      <c r="T133" s="218">
        <v>4.3202125602496144E-2</v>
      </c>
      <c r="U133" s="218">
        <v>4.7522338162745766E-2</v>
      </c>
      <c r="V133" s="218">
        <v>4.7522338162745766E-2</v>
      </c>
      <c r="W133" s="218">
        <v>4.7522338162745766E-2</v>
      </c>
      <c r="X133" s="218">
        <v>4.7522338162745766E-2</v>
      </c>
      <c r="Y133" s="218">
        <v>4.7522338162745766E-2</v>
      </c>
      <c r="Z133" s="197">
        <v>5.184255072299538E-2</v>
      </c>
      <c r="AA133" s="197">
        <v>5.184255072299538E-2</v>
      </c>
    </row>
    <row r="134" spans="1:27" x14ac:dyDescent="0.2">
      <c r="A134" s="209" t="s">
        <v>1500</v>
      </c>
      <c r="B134" s="192"/>
      <c r="C134" s="192"/>
      <c r="D134" s="192"/>
      <c r="E134" s="192"/>
      <c r="F134" s="192"/>
      <c r="G134" s="192"/>
      <c r="H134" s="192"/>
      <c r="I134" s="192"/>
      <c r="J134" s="192"/>
      <c r="K134" s="192"/>
      <c r="L134" s="192"/>
      <c r="M134" s="192"/>
      <c r="N134" s="192"/>
      <c r="O134" s="192"/>
      <c r="P134" s="192"/>
      <c r="Q134" s="192"/>
      <c r="R134" s="192"/>
      <c r="S134" s="192"/>
      <c r="T134" s="192"/>
      <c r="U134" s="192"/>
      <c r="V134" s="192"/>
      <c r="W134" s="192"/>
      <c r="X134" s="192"/>
      <c r="Y134" s="192"/>
      <c r="Z134" s="192"/>
      <c r="AA134" s="193"/>
    </row>
    <row r="135" spans="1:27" x14ac:dyDescent="0.2">
      <c r="A135" s="215" t="s">
        <v>1501</v>
      </c>
      <c r="B135" s="195" t="s">
        <v>1455</v>
      </c>
      <c r="C135" s="195" t="s">
        <v>1455</v>
      </c>
      <c r="D135" s="195" t="s">
        <v>1455</v>
      </c>
      <c r="E135" s="195" t="s">
        <v>1455</v>
      </c>
      <c r="F135" s="195" t="s">
        <v>1455</v>
      </c>
      <c r="G135" s="195" t="s">
        <v>1455</v>
      </c>
      <c r="H135" s="195" t="s">
        <v>1455</v>
      </c>
      <c r="I135" s="195" t="s">
        <v>1455</v>
      </c>
      <c r="J135" s="195" t="s">
        <v>1455</v>
      </c>
      <c r="K135" s="195" t="s">
        <v>1455</v>
      </c>
      <c r="L135" s="195" t="s">
        <v>1455</v>
      </c>
      <c r="M135" s="195" t="s">
        <v>1455</v>
      </c>
      <c r="N135" s="195" t="s">
        <v>1455</v>
      </c>
      <c r="O135" s="195" t="s">
        <v>1455</v>
      </c>
      <c r="P135" s="195" t="s">
        <v>1455</v>
      </c>
      <c r="Q135" s="195" t="s">
        <v>1455</v>
      </c>
      <c r="R135" s="195" t="s">
        <v>1455</v>
      </c>
      <c r="S135" s="195" t="s">
        <v>1455</v>
      </c>
      <c r="T135" s="195" t="s">
        <v>1455</v>
      </c>
      <c r="U135" s="195" t="s">
        <v>1455</v>
      </c>
      <c r="V135" s="195" t="s">
        <v>1455</v>
      </c>
      <c r="W135" s="195" t="s">
        <v>1455</v>
      </c>
      <c r="X135" s="195" t="s">
        <v>1455</v>
      </c>
      <c r="Y135" s="195" t="s">
        <v>1455</v>
      </c>
      <c r="Z135" s="195" t="s">
        <v>1455</v>
      </c>
      <c r="AA135" s="195" t="s">
        <v>1455</v>
      </c>
    </row>
    <row r="136" spans="1:27" x14ac:dyDescent="0.2">
      <c r="A136" s="214" t="s">
        <v>1502</v>
      </c>
      <c r="B136" s="198" t="s">
        <v>1455</v>
      </c>
      <c r="C136" s="198" t="s">
        <v>1455</v>
      </c>
      <c r="D136" s="198" t="s">
        <v>1455</v>
      </c>
      <c r="E136" s="198" t="s">
        <v>1455</v>
      </c>
      <c r="F136" s="198" t="s">
        <v>1455</v>
      </c>
      <c r="G136" s="198" t="s">
        <v>1455</v>
      </c>
      <c r="H136" s="198" t="s">
        <v>1455</v>
      </c>
      <c r="I136" s="198" t="s">
        <v>1455</v>
      </c>
      <c r="J136" s="198" t="s">
        <v>1455</v>
      </c>
      <c r="K136" s="198" t="s">
        <v>1455</v>
      </c>
      <c r="L136" s="198" t="s">
        <v>1455</v>
      </c>
      <c r="M136" s="198" t="s">
        <v>1455</v>
      </c>
      <c r="N136" s="198" t="s">
        <v>1455</v>
      </c>
      <c r="O136" s="198" t="s">
        <v>1455</v>
      </c>
      <c r="P136" s="198" t="s">
        <v>1455</v>
      </c>
      <c r="Q136" s="198" t="s">
        <v>1455</v>
      </c>
      <c r="R136" s="198" t="s">
        <v>1455</v>
      </c>
      <c r="S136" s="198" t="s">
        <v>1455</v>
      </c>
      <c r="T136" s="198" t="s">
        <v>1455</v>
      </c>
      <c r="U136" s="198" t="s">
        <v>1455</v>
      </c>
      <c r="V136" s="198" t="s">
        <v>1455</v>
      </c>
      <c r="W136" s="198" t="s">
        <v>1455</v>
      </c>
      <c r="X136" s="198" t="s">
        <v>1455</v>
      </c>
      <c r="Y136" s="198" t="s">
        <v>1455</v>
      </c>
      <c r="Z136" s="198" t="s">
        <v>1455</v>
      </c>
      <c r="AA136" s="198" t="s">
        <v>1455</v>
      </c>
    </row>
    <row r="137" spans="1:27" x14ac:dyDescent="0.2">
      <c r="A137" s="208" t="s">
        <v>1503</v>
      </c>
      <c r="B137" s="240">
        <v>3.9376566887784703E-3</v>
      </c>
      <c r="C137" s="240">
        <v>3.9376566887784703E-3</v>
      </c>
      <c r="D137" s="240">
        <v>3.9376566887784703E-3</v>
      </c>
      <c r="E137" s="240">
        <v>3.9376566887784703E-3</v>
      </c>
      <c r="F137" s="240">
        <v>3.9376566887784703E-3</v>
      </c>
      <c r="G137" s="240">
        <v>3.9376566887784703E-3</v>
      </c>
      <c r="H137" s="240">
        <v>3.9376566887784703E-3</v>
      </c>
      <c r="I137" s="240">
        <v>3.9376566887784703E-3</v>
      </c>
      <c r="J137" s="240">
        <v>3.9376566887784703E-3</v>
      </c>
      <c r="K137" s="240">
        <v>3.9376566887784703E-3</v>
      </c>
      <c r="L137" s="240">
        <v>3.9376566887784703E-3</v>
      </c>
      <c r="M137" s="240">
        <v>5.9064850331677059E-3</v>
      </c>
      <c r="N137" s="240">
        <v>5.9064850331677059E-3</v>
      </c>
      <c r="O137" s="240">
        <v>7.8753133775569407E-3</v>
      </c>
      <c r="P137" s="240">
        <v>7.8753133775569407E-3</v>
      </c>
      <c r="Q137" s="240">
        <v>7.8753133775569407E-3</v>
      </c>
      <c r="R137" s="240">
        <v>7.8753133775569407E-3</v>
      </c>
      <c r="S137" s="240">
        <v>7.8753133775569407E-3</v>
      </c>
      <c r="T137" s="218">
        <v>1.9688283443892354E-2</v>
      </c>
      <c r="U137" s="218">
        <v>2.1657111788281589E-2</v>
      </c>
      <c r="V137" s="218">
        <v>2.1657111788281589E-2</v>
      </c>
      <c r="W137" s="218">
        <v>2.1657111788281589E-2</v>
      </c>
      <c r="X137" s="218">
        <v>2.1657111788281589E-2</v>
      </c>
      <c r="Y137" s="218">
        <v>2.1657111788281589E-2</v>
      </c>
      <c r="Z137" s="218">
        <v>2.3625940132670824E-2</v>
      </c>
      <c r="AA137" s="218">
        <v>2.3625940132670824E-2</v>
      </c>
    </row>
    <row r="138" spans="1:27" ht="12.75" x14ac:dyDescent="0.2">
      <c r="A138" s="177" t="s">
        <v>1968</v>
      </c>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c r="AA138" s="226"/>
    </row>
    <row r="139" spans="1:27" s="187" customFormat="1" x14ac:dyDescent="0.2">
      <c r="A139" s="353" t="s">
        <v>943</v>
      </c>
      <c r="B139" s="228">
        <v>50.21243498950701</v>
      </c>
      <c r="C139" s="228">
        <v>49.463801004911119</v>
      </c>
      <c r="D139" s="228">
        <v>48.194476749024439</v>
      </c>
      <c r="E139" s="228">
        <v>47.654109598211114</v>
      </c>
      <c r="F139" s="228">
        <v>48.028241526041967</v>
      </c>
      <c r="G139" s="228">
        <v>44.319148191886306</v>
      </c>
      <c r="H139" s="228">
        <v>41.780453250263044</v>
      </c>
      <c r="I139" s="228">
        <v>40.562805329398628</v>
      </c>
      <c r="J139" s="228">
        <v>39.130352928566282</v>
      </c>
      <c r="K139" s="228">
        <v>36.798061052258653</v>
      </c>
      <c r="L139" s="228">
        <v>35.157008700977052</v>
      </c>
      <c r="M139" s="228">
        <v>33.721103955568644</v>
      </c>
      <c r="N139" s="228">
        <v>32.038001254488911</v>
      </c>
      <c r="O139" s="228">
        <v>29.522832168491199</v>
      </c>
      <c r="P139" s="228">
        <v>28.319311053514969</v>
      </c>
      <c r="Q139" s="228">
        <v>26.881704973229223</v>
      </c>
      <c r="R139" s="228">
        <v>25.414686246061699</v>
      </c>
      <c r="S139" s="228">
        <v>20.965191771635492</v>
      </c>
      <c r="T139" s="228">
        <v>19.663720795947992</v>
      </c>
      <c r="U139" s="228">
        <v>17.889516631775717</v>
      </c>
      <c r="V139" s="228">
        <v>15.983734923706303</v>
      </c>
      <c r="W139" s="228">
        <v>14.61054145735158</v>
      </c>
      <c r="X139" s="228">
        <v>14.476839433173854</v>
      </c>
      <c r="Y139" s="228">
        <v>14.378914059791057</v>
      </c>
      <c r="Z139" s="228">
        <v>13.988041505317904</v>
      </c>
      <c r="AA139" s="228">
        <v>13.988041505317904</v>
      </c>
    </row>
    <row r="140" spans="1:27" x14ac:dyDescent="0.2">
      <c r="A140" s="188" t="s">
        <v>1394</v>
      </c>
      <c r="B140" s="189"/>
      <c r="C140" s="189"/>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c r="AA140" s="190"/>
    </row>
    <row r="141" spans="1:27" x14ac:dyDescent="0.2">
      <c r="A141" s="209" t="s">
        <v>1406</v>
      </c>
      <c r="B141" s="192"/>
      <c r="C141" s="192"/>
      <c r="D141" s="192"/>
      <c r="E141" s="192"/>
      <c r="F141" s="192"/>
      <c r="G141" s="192"/>
      <c r="H141" s="192"/>
      <c r="I141" s="192"/>
      <c r="J141" s="192"/>
      <c r="K141" s="192"/>
      <c r="L141" s="192"/>
      <c r="M141" s="192"/>
      <c r="N141" s="192"/>
      <c r="O141" s="192"/>
      <c r="P141" s="192"/>
      <c r="Q141" s="192"/>
      <c r="R141" s="192"/>
      <c r="S141" s="192"/>
      <c r="T141" s="192"/>
      <c r="U141" s="192"/>
      <c r="V141" s="192"/>
      <c r="W141" s="192"/>
      <c r="X141" s="192"/>
      <c r="Y141" s="192"/>
      <c r="Z141" s="192"/>
      <c r="AA141" s="193"/>
    </row>
    <row r="142" spans="1:27" x14ac:dyDescent="0.2">
      <c r="A142" s="215" t="s">
        <v>1506</v>
      </c>
      <c r="B142" s="195">
        <v>7.7303324170877934</v>
      </c>
      <c r="C142" s="195">
        <v>7.4473342461884346</v>
      </c>
      <c r="D142" s="195">
        <v>7.0175324318094212</v>
      </c>
      <c r="E142" s="195">
        <v>6.9033304971113845</v>
      </c>
      <c r="F142" s="195">
        <v>7.103853925240788</v>
      </c>
      <c r="G142" s="195">
        <v>5.9203798237414764</v>
      </c>
      <c r="H142" s="195">
        <v>5.758429381851732</v>
      </c>
      <c r="I142" s="195">
        <v>5.1864592457131033</v>
      </c>
      <c r="J142" s="195">
        <v>4.8194970485449051</v>
      </c>
      <c r="K142" s="195">
        <v>4.4055567207155208</v>
      </c>
      <c r="L142" s="195">
        <v>4.064738572607026</v>
      </c>
      <c r="M142" s="195">
        <v>3.7910420073892115</v>
      </c>
      <c r="N142" s="195">
        <v>3.3782508954079979</v>
      </c>
      <c r="O142" s="195">
        <v>3.0885627085513661</v>
      </c>
      <c r="P142" s="195">
        <v>2.8399642506310601</v>
      </c>
      <c r="Q142" s="195">
        <v>2.5657657036615418</v>
      </c>
      <c r="R142" s="195">
        <v>2.3027252097075372</v>
      </c>
      <c r="S142" s="195">
        <v>2.0471801431704981</v>
      </c>
      <c r="T142" s="195">
        <v>1.8056902767977212</v>
      </c>
      <c r="U142" s="195">
        <v>1.5612712186972975</v>
      </c>
      <c r="V142" s="195">
        <v>1.3354204250825352</v>
      </c>
      <c r="W142" s="195">
        <v>1.12394416540356</v>
      </c>
      <c r="X142" s="195">
        <v>1.0817824890572267</v>
      </c>
      <c r="Y142" s="195">
        <v>1.0316424749066386</v>
      </c>
      <c r="Z142" s="195">
        <v>0.98006702759461584</v>
      </c>
      <c r="AA142" s="195">
        <v>0.98006702759461584</v>
      </c>
    </row>
    <row r="143" spans="1:27" x14ac:dyDescent="0.2">
      <c r="A143" s="214" t="s">
        <v>1507</v>
      </c>
      <c r="B143" s="198">
        <v>6.6691412048815994</v>
      </c>
      <c r="C143" s="198">
        <v>6.2941814571291479</v>
      </c>
      <c r="D143" s="198">
        <v>6.0984677732818682</v>
      </c>
      <c r="E143" s="198">
        <v>5.8909210309517386</v>
      </c>
      <c r="F143" s="198">
        <v>5.6943899716692146</v>
      </c>
      <c r="G143" s="198">
        <v>5.2178582693919786</v>
      </c>
      <c r="H143" s="198">
        <v>4.7353964465523477</v>
      </c>
      <c r="I143" s="198">
        <v>4.5267914942814098</v>
      </c>
      <c r="J143" s="198">
        <v>4.3087207551977835</v>
      </c>
      <c r="K143" s="198">
        <v>4.0422084142749544</v>
      </c>
      <c r="L143" s="198">
        <v>3.8007855298314039</v>
      </c>
      <c r="M143" s="198">
        <v>3.5758990679559206</v>
      </c>
      <c r="N143" s="198">
        <v>3.2868201389525091</v>
      </c>
      <c r="O143" s="198">
        <v>2.9735408037235413</v>
      </c>
      <c r="P143" s="198">
        <v>2.8990737761220315</v>
      </c>
      <c r="Q143" s="198">
        <v>2.6325087278728692</v>
      </c>
      <c r="R143" s="198">
        <v>2.4878798067464998</v>
      </c>
      <c r="S143" s="198">
        <v>2.3098139446467609</v>
      </c>
      <c r="T143" s="198">
        <v>2.1544701106164568</v>
      </c>
      <c r="U143" s="198">
        <v>1.9429035214580617</v>
      </c>
      <c r="V143" s="198">
        <v>1.8047624042982005</v>
      </c>
      <c r="W143" s="198">
        <v>1.6144840770235542</v>
      </c>
      <c r="X143" s="198">
        <v>1.5827315547411009</v>
      </c>
      <c r="Y143" s="198">
        <v>1.5061080972144294</v>
      </c>
      <c r="Z143" s="198">
        <v>1.4539574365955954</v>
      </c>
      <c r="AA143" s="198">
        <v>1.4539574365955954</v>
      </c>
    </row>
    <row r="144" spans="1:27" x14ac:dyDescent="0.2">
      <c r="A144" s="214" t="s">
        <v>1508</v>
      </c>
      <c r="B144" s="198">
        <v>0.7932173415606083</v>
      </c>
      <c r="C144" s="198">
        <v>0.80717035250716851</v>
      </c>
      <c r="D144" s="198">
        <v>0.79929675822409918</v>
      </c>
      <c r="E144" s="198">
        <v>0.8483149852349503</v>
      </c>
      <c r="F144" s="198">
        <v>0.92605406707133964</v>
      </c>
      <c r="G144" s="198">
        <v>0.94391182237828897</v>
      </c>
      <c r="H144" s="198">
        <v>0.93644167137241241</v>
      </c>
      <c r="I144" s="198">
        <v>1.0259439526083511</v>
      </c>
      <c r="J144" s="198">
        <v>0.99277185826697256</v>
      </c>
      <c r="K144" s="198">
        <v>0.96650742671211654</v>
      </c>
      <c r="L144" s="198">
        <v>1.0191785217956169</v>
      </c>
      <c r="M144" s="198">
        <v>1.0546250450666517</v>
      </c>
      <c r="N144" s="198">
        <v>1.094682568072582</v>
      </c>
      <c r="O144" s="198">
        <v>1.1287304180628466</v>
      </c>
      <c r="P144" s="198">
        <v>1.1927293325055484</v>
      </c>
      <c r="Q144" s="198">
        <v>1.1996815831667627</v>
      </c>
      <c r="R144" s="198">
        <v>1.2306645422152627</v>
      </c>
      <c r="S144" s="198">
        <v>1.2541857163849879</v>
      </c>
      <c r="T144" s="198">
        <v>1.2773344662421828</v>
      </c>
      <c r="U144" s="198">
        <v>1.3070128837986033</v>
      </c>
      <c r="V144" s="198">
        <v>1.3359500447511408</v>
      </c>
      <c r="W144" s="198">
        <v>1.3641644049722432</v>
      </c>
      <c r="X144" s="198">
        <v>1.3609159293531115</v>
      </c>
      <c r="Y144" s="198">
        <v>1.3584739910655339</v>
      </c>
      <c r="Z144" s="198">
        <v>1.357527914403261</v>
      </c>
      <c r="AA144" s="198">
        <v>1.357527914403261</v>
      </c>
    </row>
    <row r="145" spans="1:27" x14ac:dyDescent="0.2">
      <c r="A145" s="214" t="s">
        <v>1509</v>
      </c>
      <c r="B145" s="198">
        <v>1.7143896321349035</v>
      </c>
      <c r="C145" s="198">
        <v>1.4076960927398285</v>
      </c>
      <c r="D145" s="198">
        <v>1.4715729160781583</v>
      </c>
      <c r="E145" s="198">
        <v>1.5439682775549679</v>
      </c>
      <c r="F145" s="198">
        <v>1.6730234026505424</v>
      </c>
      <c r="G145" s="198">
        <v>1.6865179692558432</v>
      </c>
      <c r="H145" s="198">
        <v>1.585779406650089</v>
      </c>
      <c r="I145" s="198">
        <v>1.7825602685253605</v>
      </c>
      <c r="J145" s="198">
        <v>1.6144526175819671</v>
      </c>
      <c r="K145" s="198">
        <v>1.5710875294106521</v>
      </c>
      <c r="L145" s="198">
        <v>1.5900035978045979</v>
      </c>
      <c r="M145" s="198">
        <v>1.6401292752712007</v>
      </c>
      <c r="N145" s="198">
        <v>1.6219435234169177</v>
      </c>
      <c r="O145" s="198">
        <v>1.4161163166289941</v>
      </c>
      <c r="P145" s="198">
        <v>1.3863921217921673</v>
      </c>
      <c r="Q145" s="198">
        <v>1.2931633513875551</v>
      </c>
      <c r="R145" s="198">
        <v>1.2020056407251849</v>
      </c>
      <c r="S145" s="198">
        <v>1.0946465054579015</v>
      </c>
      <c r="T145" s="198">
        <v>0.96188824486082392</v>
      </c>
      <c r="U145" s="198">
        <v>0.82941979739924543</v>
      </c>
      <c r="V145" s="198">
        <v>0.68712115004393315</v>
      </c>
      <c r="W145" s="198">
        <v>0.54066485528578989</v>
      </c>
      <c r="X145" s="198">
        <v>0.55081340413520485</v>
      </c>
      <c r="Y145" s="198">
        <v>0.56170004439405197</v>
      </c>
      <c r="Z145" s="198">
        <v>0.57418768563570255</v>
      </c>
      <c r="AA145" s="198">
        <v>0.57418768563570255</v>
      </c>
    </row>
    <row r="146" spans="1:27" x14ac:dyDescent="0.2">
      <c r="A146" s="214" t="s">
        <v>1510</v>
      </c>
      <c r="B146" s="198">
        <v>7.2128512191013918</v>
      </c>
      <c r="C146" s="198">
        <v>6.8049020209146995</v>
      </c>
      <c r="D146" s="198">
        <v>6.745165057036826</v>
      </c>
      <c r="E146" s="198">
        <v>6.3586844838830068</v>
      </c>
      <c r="F146" s="198">
        <v>5.8070931662361573</v>
      </c>
      <c r="G146" s="198">
        <v>5.3007467086856801</v>
      </c>
      <c r="H146" s="198">
        <v>4.8165196504587247</v>
      </c>
      <c r="I146" s="198">
        <v>4.5305270579333055</v>
      </c>
      <c r="J146" s="198">
        <v>4.2529551010552478</v>
      </c>
      <c r="K146" s="198">
        <v>4.3176251585807126</v>
      </c>
      <c r="L146" s="198">
        <v>4.1033473535995126</v>
      </c>
      <c r="M146" s="198">
        <v>3.7888874852063794</v>
      </c>
      <c r="N146" s="198">
        <v>3.4618243326842277</v>
      </c>
      <c r="O146" s="198">
        <v>3.0967466939880826</v>
      </c>
      <c r="P146" s="198">
        <v>2.9436724748974794</v>
      </c>
      <c r="Q146" s="198">
        <v>3.2179628596312537</v>
      </c>
      <c r="R146" s="198">
        <v>3.1493420000952432</v>
      </c>
      <c r="S146" s="198">
        <v>2.8862771847658641</v>
      </c>
      <c r="T146" s="198">
        <v>2.7135689527962485</v>
      </c>
      <c r="U146" s="198">
        <v>2.471440447619198</v>
      </c>
      <c r="V146" s="198">
        <v>1.8834720593524017</v>
      </c>
      <c r="W146" s="198">
        <v>1.7312197982373574</v>
      </c>
      <c r="X146" s="198">
        <v>1.6368589418595338</v>
      </c>
      <c r="Y146" s="198">
        <v>1.533192795415631</v>
      </c>
      <c r="Z146" s="198">
        <v>1.434422498550235</v>
      </c>
      <c r="AA146" s="198">
        <v>1.434422498550235</v>
      </c>
    </row>
    <row r="147" spans="1:27" x14ac:dyDescent="0.2">
      <c r="A147" s="214" t="s">
        <v>1511</v>
      </c>
      <c r="B147" s="198">
        <v>1.9396887902963234</v>
      </c>
      <c r="C147" s="198">
        <v>2.2823396900536093</v>
      </c>
      <c r="D147" s="198">
        <v>1.9358160963608511</v>
      </c>
      <c r="E147" s="198">
        <v>1.8823357823480067</v>
      </c>
      <c r="F147" s="198">
        <v>1.9727260180019142</v>
      </c>
      <c r="G147" s="198">
        <v>1.8581339654880389</v>
      </c>
      <c r="H147" s="198">
        <v>1.5856371091557941</v>
      </c>
      <c r="I147" s="198">
        <v>1.6873958029685345</v>
      </c>
      <c r="J147" s="198">
        <v>1.4577409886002075</v>
      </c>
      <c r="K147" s="198">
        <v>1.3860262290584195</v>
      </c>
      <c r="L147" s="198">
        <v>1.2945360347621435</v>
      </c>
      <c r="M147" s="198">
        <v>1.2413692009080501</v>
      </c>
      <c r="N147" s="198">
        <v>1.1753649697837756</v>
      </c>
      <c r="O147" s="198">
        <v>1.0858727263490644</v>
      </c>
      <c r="P147" s="198">
        <v>1.0919307553721895</v>
      </c>
      <c r="Q147" s="198">
        <v>0.93436892146642936</v>
      </c>
      <c r="R147" s="198">
        <v>0.8548172315068826</v>
      </c>
      <c r="S147" s="198">
        <v>0.79128340114090201</v>
      </c>
      <c r="T147" s="198">
        <v>0.73576934793747684</v>
      </c>
      <c r="U147" s="198">
        <v>0.67687248073867112</v>
      </c>
      <c r="V147" s="198">
        <v>0.62149442856809856</v>
      </c>
      <c r="W147" s="198">
        <v>0.57074511470277267</v>
      </c>
      <c r="X147" s="198">
        <v>0.55874501965482792</v>
      </c>
      <c r="Y147" s="198">
        <v>0.55123044490978501</v>
      </c>
      <c r="Z147" s="198">
        <v>0.5450753802790379</v>
      </c>
      <c r="AA147" s="198">
        <v>0.5450753802790379</v>
      </c>
    </row>
    <row r="148" spans="1:27" x14ac:dyDescent="0.2">
      <c r="A148" s="214" t="s">
        <v>1512</v>
      </c>
      <c r="B148" s="198">
        <v>9.7528507817850454E-2</v>
      </c>
      <c r="C148" s="198">
        <v>0.10077893203373876</v>
      </c>
      <c r="D148" s="198">
        <v>0.10689301104543017</v>
      </c>
      <c r="E148" s="198">
        <v>0.11978463636793245</v>
      </c>
      <c r="F148" s="198">
        <v>0.13612272956681248</v>
      </c>
      <c r="G148" s="198">
        <v>0.1444931850948922</v>
      </c>
      <c r="H148" s="198">
        <v>0.14862263481618271</v>
      </c>
      <c r="I148" s="198">
        <v>0.17094905048455034</v>
      </c>
      <c r="J148" s="198">
        <v>0.1697753746286515</v>
      </c>
      <c r="K148" s="198">
        <v>0.17443761875504743</v>
      </c>
      <c r="L148" s="198">
        <v>0.19665419617165747</v>
      </c>
      <c r="M148" s="198">
        <v>0.20645456611009405</v>
      </c>
      <c r="N148" s="198">
        <v>0.2224736020413382</v>
      </c>
      <c r="O148" s="198">
        <v>0.23032039431931164</v>
      </c>
      <c r="P148" s="198">
        <v>0.24944831667716127</v>
      </c>
      <c r="Q148" s="198">
        <v>0.26297685296951218</v>
      </c>
      <c r="R148" s="198">
        <v>0.27758546236586001</v>
      </c>
      <c r="S148" s="198">
        <v>0.29106405403537211</v>
      </c>
      <c r="T148" s="198">
        <v>0.30271568042016272</v>
      </c>
      <c r="U148" s="198">
        <v>0.31319633791808771</v>
      </c>
      <c r="V148" s="198">
        <v>0.32409024191645824</v>
      </c>
      <c r="W148" s="198">
        <v>0.33606669247864468</v>
      </c>
      <c r="X148" s="198">
        <v>0.3427203980681261</v>
      </c>
      <c r="Y148" s="198">
        <v>0.35017208465759653</v>
      </c>
      <c r="Z148" s="198">
        <v>0.35469596205597331</v>
      </c>
      <c r="AA148" s="198">
        <v>0.35469596205597331</v>
      </c>
    </row>
    <row r="149" spans="1:27" x14ac:dyDescent="0.2">
      <c r="A149" s="208" t="s">
        <v>1513</v>
      </c>
      <c r="B149" s="197">
        <v>0.22439237758667399</v>
      </c>
      <c r="C149" s="197">
        <v>0.23119446727020374</v>
      </c>
      <c r="D149" s="197">
        <v>0.22164757805628935</v>
      </c>
      <c r="E149" s="197">
        <v>0.22729782969947643</v>
      </c>
      <c r="F149" s="197">
        <v>0.22293675497975426</v>
      </c>
      <c r="G149" s="197">
        <v>0.20422517992522368</v>
      </c>
      <c r="H149" s="197">
        <v>0.21471563813244132</v>
      </c>
      <c r="I149" s="197">
        <v>0.22188226929586358</v>
      </c>
      <c r="J149" s="197">
        <v>0.20685878017472636</v>
      </c>
      <c r="K149" s="197">
        <v>0.20608151556973073</v>
      </c>
      <c r="L149" s="197">
        <v>0.20263009900797294</v>
      </c>
      <c r="M149" s="197">
        <v>0.19696359842285266</v>
      </c>
      <c r="N149" s="197">
        <v>0.1928035866976604</v>
      </c>
      <c r="O149" s="197">
        <v>0.19306243940741349</v>
      </c>
      <c r="P149" s="197">
        <v>0.20101848655849455</v>
      </c>
      <c r="Q149" s="197">
        <v>0.17619660286134659</v>
      </c>
      <c r="R149" s="197">
        <v>0.17622839426947673</v>
      </c>
      <c r="S149" s="197">
        <v>0.17365611611387841</v>
      </c>
      <c r="T149" s="197">
        <v>0.1620433505520924</v>
      </c>
      <c r="U149" s="197">
        <v>0.15354487133073719</v>
      </c>
      <c r="V149" s="197">
        <v>0.15237042606683532</v>
      </c>
      <c r="W149" s="197">
        <v>0.14929640884336939</v>
      </c>
      <c r="X149" s="197">
        <v>0.14260749657278304</v>
      </c>
      <c r="Y149" s="197">
        <v>0.13749529685030554</v>
      </c>
      <c r="Z149" s="197">
        <v>0.13219503328684473</v>
      </c>
      <c r="AA149" s="197">
        <v>0.13219503328684473</v>
      </c>
    </row>
    <row r="150" spans="1:27" x14ac:dyDescent="0.2">
      <c r="A150" s="209" t="s">
        <v>1514</v>
      </c>
      <c r="B150" s="192"/>
      <c r="C150" s="192"/>
      <c r="D150" s="192"/>
      <c r="E150" s="192"/>
      <c r="F150" s="192"/>
      <c r="G150" s="192"/>
      <c r="H150" s="192"/>
      <c r="I150" s="192"/>
      <c r="J150" s="192"/>
      <c r="K150" s="192"/>
      <c r="L150" s="192"/>
      <c r="M150" s="192"/>
      <c r="N150" s="192"/>
      <c r="O150" s="192"/>
      <c r="P150" s="192"/>
      <c r="Q150" s="192"/>
      <c r="R150" s="192"/>
      <c r="S150" s="192"/>
      <c r="T150" s="192"/>
      <c r="U150" s="192"/>
      <c r="V150" s="192"/>
      <c r="W150" s="192"/>
      <c r="X150" s="192"/>
      <c r="Y150" s="192"/>
      <c r="Z150" s="192"/>
      <c r="AA150" s="193"/>
    </row>
    <row r="151" spans="1:27" x14ac:dyDescent="0.2">
      <c r="A151" s="242" t="s">
        <v>1515</v>
      </c>
      <c r="B151" s="195">
        <v>4.0554427506480595</v>
      </c>
      <c r="C151" s="195">
        <v>4.0912999765104088</v>
      </c>
      <c r="D151" s="195">
        <v>4.0277251894329336</v>
      </c>
      <c r="E151" s="195">
        <v>4.0216784660872431</v>
      </c>
      <c r="F151" s="195">
        <v>4.1132716955101474</v>
      </c>
      <c r="G151" s="195">
        <v>3.8036847655316661</v>
      </c>
      <c r="H151" s="195">
        <v>3.5739857021781019</v>
      </c>
      <c r="I151" s="195">
        <v>3.4349056332387509</v>
      </c>
      <c r="J151" s="195">
        <v>3.3676001665017363</v>
      </c>
      <c r="K151" s="195">
        <v>3.0422885240129114</v>
      </c>
      <c r="L151" s="195">
        <v>2.8532984933428445</v>
      </c>
      <c r="M151" s="195">
        <v>2.6977615223813487</v>
      </c>
      <c r="N151" s="195">
        <v>2.5443723602794317</v>
      </c>
      <c r="O151" s="195">
        <v>2.267937508699994</v>
      </c>
      <c r="P151" s="195">
        <v>2.0851806026743045</v>
      </c>
      <c r="Q151" s="195">
        <v>1.8731798952396483</v>
      </c>
      <c r="R151" s="195">
        <v>1.6711880678246522</v>
      </c>
      <c r="S151" s="195">
        <v>0.91199621409734533</v>
      </c>
      <c r="T151" s="195">
        <v>0.7712767703312331</v>
      </c>
      <c r="U151" s="195">
        <v>0.583917130612438</v>
      </c>
      <c r="V151" s="195">
        <v>0.41463328571027641</v>
      </c>
      <c r="W151" s="195">
        <v>0.27090539001042019</v>
      </c>
      <c r="X151" s="195">
        <v>0.27042170692103107</v>
      </c>
      <c r="Y151" s="195">
        <v>0.29220695275193154</v>
      </c>
      <c r="Z151" s="195">
        <v>0.2442704671223607</v>
      </c>
      <c r="AA151" s="195">
        <v>0.2442704671223607</v>
      </c>
    </row>
    <row r="152" spans="1:27" x14ac:dyDescent="0.2">
      <c r="A152" s="214" t="s">
        <v>1516</v>
      </c>
      <c r="B152" s="198">
        <v>7.8690647742704467</v>
      </c>
      <c r="C152" s="198">
        <v>7.9386411066921987</v>
      </c>
      <c r="D152" s="198">
        <v>7.8152824136264023</v>
      </c>
      <c r="E152" s="198">
        <v>7.7996981716734046</v>
      </c>
      <c r="F152" s="198">
        <v>7.9729691278207975</v>
      </c>
      <c r="G152" s="198">
        <v>7.3683801309902259</v>
      </c>
      <c r="H152" s="198">
        <v>6.9186711950478221</v>
      </c>
      <c r="I152" s="198">
        <v>6.6442853904193617</v>
      </c>
      <c r="J152" s="198">
        <v>6.508346684253187</v>
      </c>
      <c r="K152" s="198">
        <v>5.8736735132798632</v>
      </c>
      <c r="L152" s="198">
        <v>5.5023024445984214</v>
      </c>
      <c r="M152" s="198">
        <v>5.1951534227154301</v>
      </c>
      <c r="N152" s="198">
        <v>4.8916638441582805</v>
      </c>
      <c r="O152" s="198">
        <v>4.3514529726784099</v>
      </c>
      <c r="P152" s="198">
        <v>3.9908464886754995</v>
      </c>
      <c r="Q152" s="198">
        <v>3.5737520247099837</v>
      </c>
      <c r="R152" s="198">
        <v>3.1751190455670582</v>
      </c>
      <c r="S152" s="198">
        <v>1.7228210582860966</v>
      </c>
      <c r="T152" s="198">
        <v>1.4448569080736406</v>
      </c>
      <c r="U152" s="198">
        <v>1.0793469981044206</v>
      </c>
      <c r="V152" s="198">
        <v>0.74768080636371237</v>
      </c>
      <c r="W152" s="198">
        <v>0.45928533331821558</v>
      </c>
      <c r="X152" s="198">
        <v>0.458465310693631</v>
      </c>
      <c r="Y152" s="198">
        <v>0.49539940009096467</v>
      </c>
      <c r="Z152" s="198">
        <v>0.41412923865329637</v>
      </c>
      <c r="AA152" s="198">
        <v>0.41412923865329637</v>
      </c>
    </row>
    <row r="153" spans="1:27" x14ac:dyDescent="0.2">
      <c r="A153" s="214" t="s">
        <v>1517</v>
      </c>
      <c r="B153" s="198">
        <v>0.18962350343578313</v>
      </c>
      <c r="C153" s="198">
        <v>0.19130010774499703</v>
      </c>
      <c r="D153" s="198">
        <v>0.18832749178243949</v>
      </c>
      <c r="E153" s="198">
        <v>0.19771583224203509</v>
      </c>
      <c r="F153" s="198">
        <v>0.21318269212353666</v>
      </c>
      <c r="G153" s="198">
        <v>0.20843854671458156</v>
      </c>
      <c r="H153" s="198">
        <v>0.20776140384517336</v>
      </c>
      <c r="I153" s="198">
        <v>0.21260548663258225</v>
      </c>
      <c r="J153" s="198">
        <v>0.22287040627036769</v>
      </c>
      <c r="K153" s="198">
        <v>0.21631725133536586</v>
      </c>
      <c r="L153" s="198">
        <v>0.21918273762113175</v>
      </c>
      <c r="M153" s="198">
        <v>0.22534333149846819</v>
      </c>
      <c r="N153" s="198">
        <v>0.23288024237439867</v>
      </c>
      <c r="O153" s="198">
        <v>0.22955869304120691</v>
      </c>
      <c r="P153" s="198">
        <v>0.23605534689905286</v>
      </c>
      <c r="Q153" s="198">
        <v>0.24054215620617386</v>
      </c>
      <c r="R153" s="198">
        <v>0.24790624023535726</v>
      </c>
      <c r="S153" s="198">
        <v>0.16013712247920975</v>
      </c>
      <c r="T153" s="198">
        <v>0.16590233019235368</v>
      </c>
      <c r="U153" s="198">
        <v>0.16207016271244035</v>
      </c>
      <c r="V153" s="198">
        <v>0.16217190167208406</v>
      </c>
      <c r="W153" s="198">
        <v>0.17933188094004821</v>
      </c>
      <c r="X153" s="198">
        <v>0.17901169610284098</v>
      </c>
      <c r="Y153" s="198">
        <v>0.1934329267451935</v>
      </c>
      <c r="Z153" s="198">
        <v>0.16170029812058076</v>
      </c>
      <c r="AA153" s="198">
        <v>0.16170029812058076</v>
      </c>
    </row>
    <row r="154" spans="1:27" x14ac:dyDescent="0.2">
      <c r="A154" s="214" t="s">
        <v>1518</v>
      </c>
      <c r="B154" s="198">
        <v>3.9924333047587357</v>
      </c>
      <c r="C154" s="198">
        <v>4.0277334166210528</v>
      </c>
      <c r="D154" s="198">
        <v>3.9651463915100478</v>
      </c>
      <c r="E154" s="198">
        <v>3.9506873935099716</v>
      </c>
      <c r="F154" s="198">
        <v>4.0310204706625443</v>
      </c>
      <c r="G154" s="198">
        <v>3.7176842646561754</v>
      </c>
      <c r="H154" s="198">
        <v>3.4827030266192645</v>
      </c>
      <c r="I154" s="198">
        <v>3.3358034159685062</v>
      </c>
      <c r="J154" s="198">
        <v>3.257747129578938</v>
      </c>
      <c r="K154" s="198">
        <v>2.9298749523825198</v>
      </c>
      <c r="L154" s="198">
        <v>2.7335285174566692</v>
      </c>
      <c r="M154" s="198">
        <v>2.5685929483312262</v>
      </c>
      <c r="N154" s="198">
        <v>2.4046496041518659</v>
      </c>
      <c r="O154" s="198">
        <v>2.1240625544277227</v>
      </c>
      <c r="P154" s="198">
        <v>1.9309149380275374</v>
      </c>
      <c r="Q154" s="198">
        <v>1.7095429673444744</v>
      </c>
      <c r="R154" s="198">
        <v>1.4959052770840975</v>
      </c>
      <c r="S154" s="198">
        <v>0.79448411348070525</v>
      </c>
      <c r="T154" s="198">
        <v>0.64509299970142586</v>
      </c>
      <c r="U154" s="198">
        <v>0.45630961884845023</v>
      </c>
      <c r="V154" s="198">
        <v>0.28260449323629683</v>
      </c>
      <c r="W154" s="198">
        <v>0.12010563605651758</v>
      </c>
      <c r="X154" s="198">
        <v>0.11989119563841212</v>
      </c>
      <c r="Y154" s="198">
        <v>0.12954966277731716</v>
      </c>
      <c r="Z154" s="198">
        <v>0.10829706940281006</v>
      </c>
      <c r="AA154" s="198">
        <v>0.10829706940281006</v>
      </c>
    </row>
    <row r="155" spans="1:27" x14ac:dyDescent="0.2">
      <c r="A155" s="214" t="s">
        <v>1519</v>
      </c>
      <c r="B155" s="217">
        <v>1.8827616690578662E-2</v>
      </c>
      <c r="C155" s="217">
        <v>1.8994085839727896E-2</v>
      </c>
      <c r="D155" s="217">
        <v>1.8698936383583172E-2</v>
      </c>
      <c r="E155" s="217">
        <v>1.8836318344232935E-2</v>
      </c>
      <c r="F155" s="217">
        <v>1.9452885384652997E-2</v>
      </c>
      <c r="G155" s="217">
        <v>1.8182098191720904E-2</v>
      </c>
      <c r="H155" s="217">
        <v>1.7287868287784978E-2</v>
      </c>
      <c r="I155" s="217">
        <v>1.683631034970659E-2</v>
      </c>
      <c r="J155" s="217">
        <v>1.6753295151845114E-2</v>
      </c>
      <c r="K155" s="217">
        <v>1.539113511347028E-2</v>
      </c>
      <c r="L155" s="217">
        <v>1.4713942232505805E-2</v>
      </c>
      <c r="M155" s="217">
        <v>1.4221669820926241E-2</v>
      </c>
      <c r="N155" s="217">
        <v>1.3761196859678578E-2</v>
      </c>
      <c r="O155" s="217">
        <v>1.264213836112197E-2</v>
      </c>
      <c r="P155" s="217">
        <v>1.205101956506449E-2</v>
      </c>
      <c r="Q155" s="217">
        <v>1.1313143342702947E-2</v>
      </c>
      <c r="R155" s="217">
        <v>1.0662952265678458E-2</v>
      </c>
      <c r="S155" s="217">
        <v>6.2441019177087538E-3</v>
      </c>
      <c r="T155" s="217">
        <v>5.8020032412102965E-3</v>
      </c>
      <c r="U155" s="217">
        <v>5.016490819424368E-3</v>
      </c>
      <c r="V155" s="216">
        <v>4.3677386172694156E-3</v>
      </c>
      <c r="W155" s="216">
        <v>3.0275488396965858E-3</v>
      </c>
      <c r="X155" s="216">
        <v>3.0966967583968994E-3</v>
      </c>
      <c r="Y155" s="216">
        <v>2.6677765700274356E-3</v>
      </c>
      <c r="Z155" s="216">
        <v>2.1912552101215222E-3</v>
      </c>
      <c r="AA155" s="216">
        <v>2.1912552101215222E-3</v>
      </c>
    </row>
    <row r="156" spans="1:27" x14ac:dyDescent="0.2">
      <c r="A156" s="214" t="s">
        <v>1520</v>
      </c>
      <c r="B156" s="198">
        <v>3.0213220728397996</v>
      </c>
      <c r="C156" s="198">
        <v>3.0480358583941403</v>
      </c>
      <c r="D156" s="198">
        <v>3.0006723720170809</v>
      </c>
      <c r="E156" s="198">
        <v>2.987936012070779</v>
      </c>
      <c r="F156" s="198">
        <v>3.0466539646002135</v>
      </c>
      <c r="G156" s="198">
        <v>2.8077274686684475</v>
      </c>
      <c r="H156" s="198">
        <v>2.628035511844689</v>
      </c>
      <c r="I156" s="198">
        <v>2.5147621448226229</v>
      </c>
      <c r="J156" s="198">
        <v>2.4532036949448934</v>
      </c>
      <c r="K156" s="198">
        <v>2.2034761487418475</v>
      </c>
      <c r="L156" s="198">
        <v>2.052717420019146</v>
      </c>
      <c r="M156" s="198">
        <v>1.9254080943846434</v>
      </c>
      <c r="N156" s="198">
        <v>1.7986129224870342</v>
      </c>
      <c r="O156" s="198">
        <v>1.5844934056226347</v>
      </c>
      <c r="P156" s="198">
        <v>1.4355357806913089</v>
      </c>
      <c r="Q156" s="198">
        <v>1.2653382367571762</v>
      </c>
      <c r="R156" s="198">
        <v>1.1005466926700067</v>
      </c>
      <c r="S156" s="198">
        <v>0.57943595162894124</v>
      </c>
      <c r="T156" s="198">
        <v>0.46409198503134486</v>
      </c>
      <c r="U156" s="198">
        <v>0.32031349341568388</v>
      </c>
      <c r="V156" s="198">
        <v>0.18737258201433715</v>
      </c>
      <c r="W156" s="198">
        <v>5.9968924954665437E-2</v>
      </c>
      <c r="X156" s="198">
        <v>5.9861854530971384E-2</v>
      </c>
      <c r="Y156" s="198">
        <v>6.4684341718479754E-2</v>
      </c>
      <c r="Z156" s="198">
        <v>5.4072889841499529E-2</v>
      </c>
      <c r="AA156" s="198">
        <v>5.4072889841499529E-2</v>
      </c>
    </row>
    <row r="157" spans="1:27" x14ac:dyDescent="0.2">
      <c r="A157" s="214" t="s">
        <v>1521</v>
      </c>
      <c r="B157" s="217">
        <v>6.0329136398089393E-3</v>
      </c>
      <c r="C157" s="217">
        <v>6.0862551761815351E-3</v>
      </c>
      <c r="D157" s="217">
        <v>5.9916807428360384E-3</v>
      </c>
      <c r="E157" s="217">
        <v>6.5110877054278026E-3</v>
      </c>
      <c r="F157" s="217">
        <v>7.258416145363036E-3</v>
      </c>
      <c r="G157" s="217">
        <v>7.3295729650957233E-3</v>
      </c>
      <c r="H157" s="217">
        <v>7.5376907290982615E-3</v>
      </c>
      <c r="I157" s="217">
        <v>7.9507730564879996E-3</v>
      </c>
      <c r="J157" s="217">
        <v>8.583444079378293E-3</v>
      </c>
      <c r="K157" s="217">
        <v>8.5725414006916651E-3</v>
      </c>
      <c r="L157" s="217">
        <v>8.9307779974878657E-3</v>
      </c>
      <c r="M157" s="217">
        <v>9.4333524451067491E-3</v>
      </c>
      <c r="N157" s="217">
        <v>1.0008833304526283E-2</v>
      </c>
      <c r="O157" s="217">
        <v>1.012234001439884E-2</v>
      </c>
      <c r="P157" s="217">
        <v>1.0672322675655061E-2</v>
      </c>
      <c r="Q157" s="217">
        <v>1.1143699145756011E-2</v>
      </c>
      <c r="R157" s="217">
        <v>1.1761601781251891E-2</v>
      </c>
      <c r="S157" s="217">
        <v>7.7762705059065927E-3</v>
      </c>
      <c r="T157" s="217">
        <v>8.241430094947249E-3</v>
      </c>
      <c r="U157" s="217">
        <v>8.2319845575934882E-3</v>
      </c>
      <c r="V157" s="217">
        <v>8.4181884673107908E-3</v>
      </c>
      <c r="W157" s="217">
        <v>7.0063812487904647E-3</v>
      </c>
      <c r="X157" s="217">
        <v>7.1664039954502066E-3</v>
      </c>
      <c r="Y157" s="217">
        <v>6.1737929678042707E-3</v>
      </c>
      <c r="Z157" s="217">
        <v>5.071022873093755E-3</v>
      </c>
      <c r="AA157" s="217">
        <v>5.071022873093755E-3</v>
      </c>
    </row>
    <row r="158" spans="1:27" x14ac:dyDescent="0.2">
      <c r="A158" s="214" t="s">
        <v>1522</v>
      </c>
      <c r="B158" s="198">
        <v>0.23282125620061209</v>
      </c>
      <c r="C158" s="198">
        <v>0.23487980439927841</v>
      </c>
      <c r="D158" s="198">
        <v>0.23123000271296471</v>
      </c>
      <c r="E158" s="198">
        <v>0.24189711289868338</v>
      </c>
      <c r="F158" s="198">
        <v>0.25989293100918437</v>
      </c>
      <c r="G158" s="198">
        <v>0.25320269270613538</v>
      </c>
      <c r="H158" s="198">
        <v>0.25147646415304714</v>
      </c>
      <c r="I158" s="198">
        <v>0.2564150577059951</v>
      </c>
      <c r="J158" s="198">
        <v>0.26782579096220316</v>
      </c>
      <c r="K158" s="198">
        <v>0.25900991670201684</v>
      </c>
      <c r="L158" s="198">
        <v>0.26148759903288488</v>
      </c>
      <c r="M158" s="198">
        <v>0.26785712456646904</v>
      </c>
      <c r="N158" s="198">
        <v>0.27580304863811494</v>
      </c>
      <c r="O158" s="198">
        <v>0.27087082463938783</v>
      </c>
      <c r="P158" s="198">
        <v>0.2775099095331735</v>
      </c>
      <c r="Q158" s="198">
        <v>0.28173842073719901</v>
      </c>
      <c r="R158" s="198">
        <v>0.28928543514672295</v>
      </c>
      <c r="S158" s="198">
        <v>0.18616984173117795</v>
      </c>
      <c r="T158" s="198">
        <v>0.19215067555735357</v>
      </c>
      <c r="U158" s="198">
        <v>0.18700727141375126</v>
      </c>
      <c r="V158" s="198">
        <v>0.18641929425080009</v>
      </c>
      <c r="W158" s="198">
        <v>0.20536496738957585</v>
      </c>
      <c r="X158" s="198">
        <v>0.20499830225280818</v>
      </c>
      <c r="Y158" s="198">
        <v>0.22151302091331429</v>
      </c>
      <c r="Z158" s="198">
        <v>0.18517385908375811</v>
      </c>
      <c r="AA158" s="198">
        <v>0.18517385908375811</v>
      </c>
    </row>
    <row r="159" spans="1:27" x14ac:dyDescent="0.2">
      <c r="A159" s="214" t="s">
        <v>1523</v>
      </c>
      <c r="B159" s="217">
        <v>1.7172257203983823E-2</v>
      </c>
      <c r="C159" s="217">
        <v>1.7324090072301637E-2</v>
      </c>
      <c r="D159" s="217">
        <v>1.7054890711711863E-2</v>
      </c>
      <c r="E159" s="217">
        <v>2.0231070380218083E-2</v>
      </c>
      <c r="F159" s="217">
        <v>2.4321630548114419E-2</v>
      </c>
      <c r="G159" s="217">
        <v>2.6232497859014832E-2</v>
      </c>
      <c r="H159" s="217">
        <v>2.8591430062226416E-2</v>
      </c>
      <c r="I159" s="217">
        <v>3.1759195714837492E-2</v>
      </c>
      <c r="J159" s="217">
        <v>3.5914476504303586E-2</v>
      </c>
      <c r="K159" s="217">
        <v>3.7403272830691621E-2</v>
      </c>
      <c r="L159" s="217">
        <v>4.0477257609531782E-2</v>
      </c>
      <c r="M159" s="217">
        <v>4.4265946509714771E-2</v>
      </c>
      <c r="N159" s="217">
        <v>4.8486136635172455E-2</v>
      </c>
      <c r="O159" s="198">
        <v>5.0495163891760814E-2</v>
      </c>
      <c r="P159" s="198">
        <v>5.4701217094282564E-2</v>
      </c>
      <c r="Q159" s="198">
        <v>5.8570740021191212E-2</v>
      </c>
      <c r="R159" s="198">
        <v>6.3280280688918458E-2</v>
      </c>
      <c r="S159" s="217">
        <v>4.2760319365465489E-2</v>
      </c>
      <c r="T159" s="217">
        <v>4.6251475949645939E-2</v>
      </c>
      <c r="U159" s="217">
        <v>4.7089746173826094E-2</v>
      </c>
      <c r="V159" s="217">
        <v>4.9027133627363266E-2</v>
      </c>
      <c r="W159" s="217">
        <v>4.1500223856228043E-2</v>
      </c>
      <c r="X159" s="217">
        <v>4.2448071193198787E-2</v>
      </c>
      <c r="Y159" s="217">
        <v>3.6568633807946838E-2</v>
      </c>
      <c r="Z159" s="217">
        <v>3.0036701820897058E-2</v>
      </c>
      <c r="AA159" s="217">
        <v>3.0036701820897058E-2</v>
      </c>
    </row>
    <row r="160" spans="1:27" x14ac:dyDescent="0.2">
      <c r="A160" s="208" t="s">
        <v>1524</v>
      </c>
      <c r="B160" s="218">
        <v>1.2625097344216627E-2</v>
      </c>
      <c r="C160" s="218">
        <v>1.2736725345113295E-2</v>
      </c>
      <c r="D160" s="218">
        <v>1.2538809131066701E-2</v>
      </c>
      <c r="E160" s="218">
        <v>1.3163883080526673E-2</v>
      </c>
      <c r="F160" s="218">
        <v>1.4193663714652791E-2</v>
      </c>
      <c r="G160" s="218">
        <v>1.3877799401854348E-2</v>
      </c>
      <c r="H160" s="218">
        <v>1.3832715356431064E-2</v>
      </c>
      <c r="I160" s="218">
        <v>1.4155233481169715E-2</v>
      </c>
      <c r="J160" s="218">
        <v>1.4838669908139278E-2</v>
      </c>
      <c r="K160" s="218">
        <v>1.4402362079905579E-2</v>
      </c>
      <c r="L160" s="218">
        <v>1.459314562013567E-2</v>
      </c>
      <c r="M160" s="218">
        <v>1.5003316806672672E-2</v>
      </c>
      <c r="N160" s="218">
        <v>1.5505122921205995E-2</v>
      </c>
      <c r="O160" s="218">
        <v>1.528397478869422E-2</v>
      </c>
      <c r="P160" s="218">
        <v>1.5716520785792953E-2</v>
      </c>
      <c r="Q160" s="218">
        <v>1.6015251709127688E-2</v>
      </c>
      <c r="R160" s="218">
        <v>1.6505551044573293E-2</v>
      </c>
      <c r="S160" s="218">
        <v>1.0661899622624774E-2</v>
      </c>
      <c r="T160" s="218">
        <v>1.1045746072401608E-2</v>
      </c>
      <c r="U160" s="218">
        <v>1.0790601079314652E-2</v>
      </c>
      <c r="V160" s="218">
        <v>1.0797374840193068E-2</v>
      </c>
      <c r="W160" s="218">
        <v>1.1939883045965959E-2</v>
      </c>
      <c r="X160" s="218">
        <v>1.191856519947204E-2</v>
      </c>
      <c r="Y160" s="218">
        <v>1.2878728034691245E-2</v>
      </c>
      <c r="Z160" s="218">
        <v>1.0765975564060486E-2</v>
      </c>
      <c r="AA160" s="218">
        <v>1.0765975564060486E-2</v>
      </c>
    </row>
    <row r="161" spans="1:27" x14ac:dyDescent="0.2">
      <c r="A161" s="209" t="s">
        <v>1525</v>
      </c>
      <c r="B161" s="192"/>
      <c r="C161" s="192"/>
      <c r="D161" s="192"/>
      <c r="E161" s="192"/>
      <c r="F161" s="192"/>
      <c r="G161" s="192"/>
      <c r="H161" s="192"/>
      <c r="I161" s="192"/>
      <c r="J161" s="192"/>
      <c r="K161" s="192"/>
      <c r="L161" s="192"/>
      <c r="M161" s="192"/>
      <c r="N161" s="192"/>
      <c r="O161" s="192"/>
      <c r="P161" s="192"/>
      <c r="Q161" s="192"/>
      <c r="R161" s="192"/>
      <c r="S161" s="192"/>
      <c r="T161" s="192"/>
      <c r="U161" s="192"/>
      <c r="V161" s="192"/>
      <c r="W161" s="192"/>
      <c r="X161" s="192"/>
      <c r="Y161" s="192"/>
      <c r="Z161" s="192"/>
      <c r="AA161" s="193"/>
    </row>
    <row r="162" spans="1:27" x14ac:dyDescent="0.2">
      <c r="A162" s="215" t="s">
        <v>1526</v>
      </c>
      <c r="B162" s="195">
        <v>1.684336178312078</v>
      </c>
      <c r="C162" s="195">
        <v>1.7252140082256706</v>
      </c>
      <c r="D162" s="195">
        <v>1.749454389641689</v>
      </c>
      <c r="E162" s="195">
        <v>1.7665353054631554</v>
      </c>
      <c r="F162" s="195">
        <v>1.7971576324443297</v>
      </c>
      <c r="G162" s="195">
        <v>1.8311986555489648</v>
      </c>
      <c r="H162" s="195">
        <v>1.8654461965122973</v>
      </c>
      <c r="I162" s="195">
        <v>1.8978346880302921</v>
      </c>
      <c r="J162" s="195">
        <v>1.9365018316076044</v>
      </c>
      <c r="K162" s="195">
        <v>1.9704267709117176</v>
      </c>
      <c r="L162" s="195">
        <v>2.0051154181186184</v>
      </c>
      <c r="M162" s="195">
        <v>2.0401960514770749</v>
      </c>
      <c r="N162" s="195">
        <v>2.0708847099109398</v>
      </c>
      <c r="O162" s="195">
        <v>2.0974879988354056</v>
      </c>
      <c r="P162" s="195">
        <v>2.1215553384484389</v>
      </c>
      <c r="Q162" s="195">
        <v>2.1635615444120728</v>
      </c>
      <c r="R162" s="195">
        <v>2.1821133703229139</v>
      </c>
      <c r="S162" s="195">
        <v>2.2107391098830291</v>
      </c>
      <c r="T162" s="195">
        <v>2.2194229214921659</v>
      </c>
      <c r="U162" s="195">
        <v>2.2257027667625331</v>
      </c>
      <c r="V162" s="195">
        <v>2.232619893684173</v>
      </c>
      <c r="W162" s="195">
        <v>2.2465777062926584</v>
      </c>
      <c r="X162" s="195">
        <v>2.2612258503376954</v>
      </c>
      <c r="Y162" s="195">
        <v>2.2761024199914561</v>
      </c>
      <c r="Z162" s="195">
        <v>2.2910409343936426</v>
      </c>
      <c r="AA162" s="195">
        <v>2.2910409343936426</v>
      </c>
    </row>
    <row r="163" spans="1:27" x14ac:dyDescent="0.2">
      <c r="A163" s="208" t="s">
        <v>1527</v>
      </c>
      <c r="B163" s="197">
        <v>1.2507956888995513</v>
      </c>
      <c r="C163" s="197">
        <v>1.2842541614136598</v>
      </c>
      <c r="D163" s="197">
        <v>1.297039476011322</v>
      </c>
      <c r="E163" s="197">
        <v>1.3125548739276705</v>
      </c>
      <c r="F163" s="197">
        <v>1.3300402671709659</v>
      </c>
      <c r="G163" s="197">
        <v>1.3606608345012872</v>
      </c>
      <c r="H163" s="197">
        <v>1.3832298602124236</v>
      </c>
      <c r="I163" s="197">
        <v>1.402881518271482</v>
      </c>
      <c r="J163" s="197">
        <v>1.4799359649080355</v>
      </c>
      <c r="K163" s="197">
        <v>1.4709036374169828</v>
      </c>
      <c r="L163" s="197">
        <v>1.4688115001334765</v>
      </c>
      <c r="M163" s="197">
        <v>1.4638705070080085</v>
      </c>
      <c r="N163" s="197">
        <v>1.4798267391123996</v>
      </c>
      <c r="O163" s="197">
        <v>1.5043651985782687</v>
      </c>
      <c r="P163" s="197">
        <v>1.5019268520247899</v>
      </c>
      <c r="Q163" s="197">
        <v>1.517438599721747</v>
      </c>
      <c r="R163" s="197">
        <v>1.5351163314483605</v>
      </c>
      <c r="S163" s="197">
        <v>1.5463098696052497</v>
      </c>
      <c r="T163" s="197">
        <v>1.5918828587073173</v>
      </c>
      <c r="U163" s="197">
        <v>1.5527348173063897</v>
      </c>
      <c r="V163" s="197">
        <v>1.5427247925906464</v>
      </c>
      <c r="W163" s="197">
        <v>1.5468837964080262</v>
      </c>
      <c r="X163" s="197">
        <v>1.5571748880169101</v>
      </c>
      <c r="Y163" s="197">
        <v>1.5625213362809343</v>
      </c>
      <c r="Z163" s="197">
        <v>1.5755248216837614</v>
      </c>
      <c r="AA163" s="197">
        <v>1.5755248216837614</v>
      </c>
    </row>
    <row r="164" spans="1:27" x14ac:dyDescent="0.2">
      <c r="A164" s="188" t="s">
        <v>1528</v>
      </c>
      <c r="B164" s="189"/>
      <c r="C164" s="189"/>
      <c r="D164" s="189"/>
      <c r="E164" s="189"/>
      <c r="F164" s="189"/>
      <c r="G164" s="189"/>
      <c r="H164" s="189"/>
      <c r="I164" s="189"/>
      <c r="J164" s="189"/>
      <c r="K164" s="189"/>
      <c r="L164" s="189"/>
      <c r="M164" s="189"/>
      <c r="N164" s="189"/>
      <c r="O164" s="189"/>
      <c r="P164" s="189"/>
      <c r="Q164" s="189"/>
      <c r="R164" s="189"/>
      <c r="S164" s="189"/>
      <c r="T164" s="189"/>
      <c r="U164" s="189"/>
      <c r="V164" s="189"/>
      <c r="W164" s="189"/>
      <c r="X164" s="189"/>
      <c r="Y164" s="189"/>
      <c r="Z164" s="189"/>
      <c r="AA164" s="190"/>
    </row>
    <row r="165" spans="1:27" x14ac:dyDescent="0.2">
      <c r="A165" s="209" t="s">
        <v>1529</v>
      </c>
      <c r="B165" s="192"/>
      <c r="C165" s="192"/>
      <c r="D165" s="192"/>
      <c r="E165" s="192"/>
      <c r="F165" s="192"/>
      <c r="G165" s="192"/>
      <c r="H165" s="192"/>
      <c r="I165" s="192"/>
      <c r="J165" s="192"/>
      <c r="K165" s="192"/>
      <c r="L165" s="192"/>
      <c r="M165" s="192"/>
      <c r="N165" s="192"/>
      <c r="O165" s="192"/>
      <c r="P165" s="192"/>
      <c r="Q165" s="192"/>
      <c r="R165" s="192"/>
      <c r="S165" s="192"/>
      <c r="T165" s="192"/>
      <c r="U165" s="192"/>
      <c r="V165" s="192"/>
      <c r="W165" s="192"/>
      <c r="X165" s="192"/>
      <c r="Y165" s="192"/>
      <c r="Z165" s="192"/>
      <c r="AA165" s="193"/>
    </row>
    <row r="166" spans="1:27" x14ac:dyDescent="0.2">
      <c r="A166" s="215" t="s">
        <v>1530</v>
      </c>
      <c r="B166" s="346">
        <v>2.6227144930406853E-2</v>
      </c>
      <c r="C166" s="346">
        <v>2.4677806199143473E-2</v>
      </c>
      <c r="D166" s="346">
        <v>2.4692889855460386E-2</v>
      </c>
      <c r="E166" s="346">
        <v>2.5799830224839403E-2</v>
      </c>
      <c r="F166" s="346">
        <v>2.778842836188437E-2</v>
      </c>
      <c r="G166" s="346">
        <v>2.7825762494646682E-2</v>
      </c>
      <c r="H166" s="346">
        <v>2.7088885604925055E-2</v>
      </c>
      <c r="I166" s="346">
        <v>2.9690080192719487E-2</v>
      </c>
      <c r="J166" s="346">
        <v>2.8328828822269808E-2</v>
      </c>
      <c r="K166" s="346">
        <v>2.791468106531049E-2</v>
      </c>
      <c r="L166" s="346">
        <v>2.912520698608137E-2</v>
      </c>
      <c r="M166" s="346">
        <v>3.0532237114561028E-2</v>
      </c>
      <c r="N166" s="346">
        <v>3.1490257628479658E-2</v>
      </c>
      <c r="O166" s="346">
        <v>3.0686295968950752E-2</v>
      </c>
      <c r="P166" s="346">
        <v>3.2173605594218418E-2</v>
      </c>
      <c r="Q166" s="346">
        <v>3.2294024839400429E-2</v>
      </c>
      <c r="R166" s="346">
        <v>3.2924371670235542E-2</v>
      </c>
      <c r="S166" s="346">
        <v>3.3364492205567454E-2</v>
      </c>
      <c r="T166" s="346">
        <v>3.3544662730192722E-2</v>
      </c>
      <c r="U166" s="346">
        <v>3.3838169014989296E-2</v>
      </c>
      <c r="V166" s="346">
        <v>3.4114591600642397E-2</v>
      </c>
      <c r="W166" s="346">
        <v>3.4367485904710927E-2</v>
      </c>
      <c r="X166" s="346">
        <v>3.4603352066381161E-2</v>
      </c>
      <c r="Y166" s="346">
        <v>3.4815078822269807E-2</v>
      </c>
      <c r="Z166" s="346">
        <v>3.5121307601713066E-2</v>
      </c>
      <c r="AA166" s="346">
        <v>3.5121307601713066E-2</v>
      </c>
    </row>
    <row r="167" spans="1:27" x14ac:dyDescent="0.2">
      <c r="A167" s="208" t="s">
        <v>1531</v>
      </c>
      <c r="B167" s="197">
        <v>8.766266658765437E-2</v>
      </c>
      <c r="C167" s="197">
        <v>8.8437758292506344E-2</v>
      </c>
      <c r="D167" s="197">
        <v>8.7063522307529548E-2</v>
      </c>
      <c r="E167" s="197">
        <v>9.1403738286081115E-2</v>
      </c>
      <c r="F167" s="197">
        <v>9.8554044848206276E-2</v>
      </c>
      <c r="G167" s="197">
        <v>9.6360833407149751E-2</v>
      </c>
      <c r="H167" s="197">
        <v>9.6047791255108483E-2</v>
      </c>
      <c r="I167" s="197">
        <v>9.8287203599155964E-2</v>
      </c>
      <c r="J167" s="197">
        <v>0.10303266084180726</v>
      </c>
      <c r="K167" s="197">
        <v>0.100003146959005</v>
      </c>
      <c r="L167" s="197">
        <v>0.10132785705205345</v>
      </c>
      <c r="M167" s="197">
        <v>0.10417589053559145</v>
      </c>
      <c r="N167" s="197">
        <v>0.10766019334218582</v>
      </c>
      <c r="O167" s="197">
        <v>0.1061246459734566</v>
      </c>
      <c r="P167" s="197">
        <v>0.10912803949143692</v>
      </c>
      <c r="Q167" s="197">
        <v>0.11120228483131236</v>
      </c>
      <c r="R167" s="197">
        <v>0.11460669004098827</v>
      </c>
      <c r="S167" s="197">
        <v>0.1147912546059397</v>
      </c>
      <c r="T167" s="197">
        <v>0.11759403962887605</v>
      </c>
      <c r="U167" s="197">
        <v>0.11824559919825388</v>
      </c>
      <c r="V167" s="197">
        <v>0.11912669623467056</v>
      </c>
      <c r="W167" s="197">
        <v>0.1201870329658124</v>
      </c>
      <c r="X167" s="197">
        <v>0.12113285532773246</v>
      </c>
      <c r="Y167" s="197">
        <v>0.12179624433113778</v>
      </c>
      <c r="Z167" s="197">
        <v>0.12288930614987834</v>
      </c>
      <c r="AA167" s="197">
        <v>0.12288930614987834</v>
      </c>
    </row>
    <row r="168" spans="1:27" x14ac:dyDescent="0.2">
      <c r="A168" s="209" t="s">
        <v>1445</v>
      </c>
      <c r="B168" s="192"/>
      <c r="C168" s="192"/>
      <c r="D168" s="192"/>
      <c r="E168" s="192"/>
      <c r="F168" s="192"/>
      <c r="G168" s="192"/>
      <c r="H168" s="192"/>
      <c r="I168" s="192"/>
      <c r="J168" s="192"/>
      <c r="K168" s="192"/>
      <c r="L168" s="192"/>
      <c r="M168" s="192"/>
      <c r="N168" s="192"/>
      <c r="O168" s="192"/>
      <c r="P168" s="192"/>
      <c r="Q168" s="192"/>
      <c r="R168" s="192"/>
      <c r="S168" s="192"/>
      <c r="T168" s="192"/>
      <c r="U168" s="192"/>
      <c r="V168" s="192"/>
      <c r="W168" s="192"/>
      <c r="X168" s="192"/>
      <c r="Y168" s="192"/>
      <c r="Z168" s="192"/>
      <c r="AA168" s="193"/>
    </row>
    <row r="169" spans="1:27" x14ac:dyDescent="0.2">
      <c r="A169" s="215" t="s">
        <v>1532</v>
      </c>
      <c r="B169" s="195">
        <v>1.3665062732781419</v>
      </c>
      <c r="C169" s="195">
        <v>1.3785885851478932</v>
      </c>
      <c r="D169" s="195">
        <v>1.3571666712644315</v>
      </c>
      <c r="E169" s="195">
        <v>1.4248229791653826</v>
      </c>
      <c r="F169" s="195">
        <v>1.5362836402808628</v>
      </c>
      <c r="G169" s="195">
        <v>1.5020953442879226</v>
      </c>
      <c r="H169" s="195">
        <v>1.4972155695649265</v>
      </c>
      <c r="I169" s="195">
        <v>1.5321240561044902</v>
      </c>
      <c r="J169" s="195">
        <v>1.6060973601811133</v>
      </c>
      <c r="K169" s="195">
        <v>1.558872584949196</v>
      </c>
      <c r="L169" s="195">
        <v>1.5795224775761276</v>
      </c>
      <c r="M169" s="195">
        <v>1.6239182936430434</v>
      </c>
      <c r="N169" s="195">
        <v>1.6782324256281909</v>
      </c>
      <c r="O169" s="195">
        <v>1.6542959519391767</v>
      </c>
      <c r="P169" s="195">
        <v>1.7011135567782818</v>
      </c>
      <c r="Q169" s="195">
        <v>1.7334473811939872</v>
      </c>
      <c r="R169" s="195">
        <v>1.786516050638935</v>
      </c>
      <c r="S169" s="195">
        <v>1.7893930865043541</v>
      </c>
      <c r="T169" s="195">
        <v>1.8330835589207153</v>
      </c>
      <c r="U169" s="195">
        <v>1.8432402227963109</v>
      </c>
      <c r="V169" s="195">
        <v>1.8569749707169234</v>
      </c>
      <c r="W169" s="195">
        <v>1.8735037491729585</v>
      </c>
      <c r="X169" s="195">
        <v>1.8882474506970064</v>
      </c>
      <c r="Y169" s="195">
        <v>1.8985885145736185</v>
      </c>
      <c r="Z169" s="195">
        <v>1.9156274193951626</v>
      </c>
      <c r="AA169" s="195">
        <v>1.9156274193951626</v>
      </c>
    </row>
    <row r="170" spans="1:27" x14ac:dyDescent="0.2">
      <c r="B170" s="244"/>
      <c r="C170" s="244"/>
      <c r="D170" s="244"/>
      <c r="E170" s="244"/>
      <c r="F170" s="244"/>
      <c r="G170" s="244"/>
      <c r="H170" s="244"/>
      <c r="I170" s="244"/>
      <c r="J170" s="244"/>
      <c r="K170" s="244"/>
      <c r="L170" s="244"/>
      <c r="M170" s="244"/>
      <c r="N170" s="244"/>
      <c r="O170" s="244"/>
      <c r="P170" s="244"/>
      <c r="Q170" s="244"/>
      <c r="R170" s="244"/>
      <c r="S170" s="244"/>
      <c r="T170" s="244"/>
      <c r="U170" s="244"/>
      <c r="V170" s="244"/>
      <c r="W170" s="244"/>
      <c r="X170" s="244"/>
      <c r="Y170" s="244"/>
      <c r="Z170" s="244"/>
      <c r="AA170" s="244"/>
    </row>
    <row r="171" spans="1:27" x14ac:dyDescent="0.2">
      <c r="A171" s="180"/>
      <c r="B171" s="244"/>
      <c r="C171" s="244"/>
      <c r="D171" s="244"/>
      <c r="E171" s="244"/>
      <c r="F171" s="244"/>
      <c r="G171" s="244"/>
      <c r="H171" s="244"/>
      <c r="I171" s="244"/>
      <c r="J171" s="244"/>
      <c r="K171" s="244"/>
      <c r="L171" s="244"/>
      <c r="M171" s="244"/>
      <c r="N171" s="244"/>
      <c r="O171" s="244"/>
      <c r="P171" s="244"/>
      <c r="Q171" s="244"/>
      <c r="R171" s="244"/>
      <c r="S171" s="244"/>
      <c r="T171" s="244"/>
      <c r="U171" s="244"/>
      <c r="V171" s="244"/>
      <c r="W171" s="244"/>
      <c r="X171" s="244"/>
      <c r="Y171" s="244"/>
      <c r="Z171" s="244"/>
      <c r="AA171" s="244"/>
    </row>
    <row r="172" spans="1:27" x14ac:dyDescent="0.2">
      <c r="A172" s="180"/>
      <c r="B172" s="244"/>
      <c r="C172" s="244"/>
      <c r="D172" s="244"/>
      <c r="E172" s="244"/>
      <c r="F172" s="244"/>
      <c r="G172" s="244"/>
      <c r="H172" s="244"/>
      <c r="I172" s="244"/>
      <c r="J172" s="244"/>
      <c r="K172" s="244"/>
      <c r="L172" s="244"/>
      <c r="M172" s="244"/>
      <c r="N172" s="244"/>
      <c r="O172" s="244"/>
      <c r="P172" s="244"/>
      <c r="Q172" s="244"/>
      <c r="R172" s="244"/>
      <c r="S172" s="244"/>
      <c r="T172" s="244"/>
      <c r="U172" s="244"/>
      <c r="V172" s="244"/>
      <c r="W172" s="244"/>
      <c r="X172" s="244"/>
      <c r="Y172" s="244"/>
      <c r="Z172" s="244"/>
      <c r="AA172" s="244"/>
    </row>
    <row r="173" spans="1:27" x14ac:dyDescent="0.2">
      <c r="B173" s="244"/>
      <c r="C173" s="244"/>
      <c r="D173" s="244"/>
      <c r="E173" s="244"/>
      <c r="F173" s="244"/>
      <c r="G173" s="244"/>
      <c r="H173" s="244"/>
      <c r="I173" s="244"/>
      <c r="J173" s="244"/>
      <c r="K173" s="244"/>
      <c r="L173" s="244"/>
      <c r="M173" s="244"/>
      <c r="N173" s="244"/>
      <c r="O173" s="244"/>
      <c r="P173" s="244"/>
      <c r="Q173" s="244"/>
      <c r="R173" s="244"/>
      <c r="S173" s="244"/>
      <c r="T173" s="244"/>
      <c r="U173" s="244"/>
      <c r="V173" s="244"/>
      <c r="W173" s="244"/>
      <c r="X173" s="244"/>
      <c r="Y173" s="244"/>
      <c r="Z173" s="244"/>
      <c r="AA173" s="244"/>
    </row>
    <row r="174" spans="1:27" x14ac:dyDescent="0.2">
      <c r="B174" s="244"/>
      <c r="C174" s="244"/>
      <c r="D174" s="244"/>
      <c r="E174" s="244"/>
      <c r="F174" s="244"/>
      <c r="G174" s="244"/>
      <c r="H174" s="244"/>
      <c r="I174" s="244"/>
      <c r="J174" s="244"/>
      <c r="K174" s="244"/>
      <c r="L174" s="244"/>
      <c r="M174" s="244"/>
      <c r="N174" s="244"/>
      <c r="O174" s="244"/>
      <c r="P174" s="244"/>
      <c r="Q174" s="244"/>
      <c r="R174" s="244"/>
      <c r="S174" s="244"/>
      <c r="T174" s="244"/>
      <c r="U174" s="244"/>
      <c r="V174" s="244"/>
      <c r="W174" s="244"/>
      <c r="X174" s="244"/>
      <c r="Y174" s="244"/>
      <c r="Z174" s="244"/>
      <c r="AA174" s="244"/>
    </row>
    <row r="175" spans="1:27" x14ac:dyDescent="0.2">
      <c r="B175" s="244"/>
      <c r="C175" s="244"/>
      <c r="D175" s="244"/>
      <c r="E175" s="244"/>
      <c r="F175" s="244"/>
      <c r="G175" s="244"/>
      <c r="H175" s="244"/>
      <c r="I175" s="244"/>
      <c r="J175" s="244"/>
      <c r="K175" s="244"/>
      <c r="L175" s="244"/>
      <c r="M175" s="244"/>
      <c r="N175" s="244"/>
      <c r="O175" s="244"/>
      <c r="P175" s="244"/>
      <c r="Q175" s="244"/>
      <c r="R175" s="244"/>
      <c r="S175" s="244"/>
      <c r="T175" s="244"/>
      <c r="U175" s="244"/>
      <c r="V175" s="244"/>
      <c r="W175" s="244"/>
      <c r="X175" s="244"/>
      <c r="Y175" s="244"/>
      <c r="Z175" s="244"/>
      <c r="AA175" s="244"/>
    </row>
    <row r="176" spans="1:27" x14ac:dyDescent="0.2">
      <c r="B176" s="244"/>
      <c r="C176" s="244"/>
      <c r="D176" s="244"/>
      <c r="E176" s="244"/>
      <c r="F176" s="244"/>
      <c r="G176" s="244"/>
      <c r="H176" s="244"/>
      <c r="I176" s="244"/>
      <c r="J176" s="244"/>
      <c r="K176" s="244"/>
      <c r="L176" s="244"/>
      <c r="M176" s="244"/>
      <c r="N176" s="244"/>
      <c r="O176" s="244"/>
      <c r="P176" s="244"/>
      <c r="Q176" s="244"/>
      <c r="R176" s="244"/>
      <c r="S176" s="244"/>
      <c r="T176" s="244"/>
      <c r="U176" s="244"/>
      <c r="V176" s="244"/>
      <c r="W176" s="244"/>
      <c r="X176" s="244"/>
      <c r="Y176" s="244"/>
      <c r="Z176" s="244"/>
      <c r="AA176" s="244"/>
    </row>
    <row r="177" spans="2:27" x14ac:dyDescent="0.2">
      <c r="B177" s="244"/>
      <c r="C177" s="244"/>
      <c r="D177" s="244"/>
      <c r="E177" s="244"/>
      <c r="F177" s="244"/>
      <c r="G177" s="244"/>
      <c r="H177" s="244"/>
      <c r="I177" s="244"/>
      <c r="J177" s="244"/>
      <c r="K177" s="244"/>
      <c r="L177" s="244"/>
      <c r="M177" s="244"/>
      <c r="N177" s="244"/>
      <c r="O177" s="244"/>
      <c r="P177" s="244"/>
      <c r="Q177" s="244"/>
      <c r="R177" s="244"/>
      <c r="S177" s="244"/>
      <c r="T177" s="244"/>
      <c r="U177" s="244"/>
      <c r="V177" s="244"/>
      <c r="W177" s="244"/>
      <c r="X177" s="244"/>
      <c r="Y177" s="244"/>
      <c r="Z177" s="244"/>
      <c r="AA177" s="244"/>
    </row>
    <row r="178" spans="2:27" x14ac:dyDescent="0.2">
      <c r="B178" s="244"/>
      <c r="C178" s="244"/>
      <c r="D178" s="244"/>
      <c r="E178" s="244"/>
      <c r="F178" s="244"/>
      <c r="G178" s="244"/>
      <c r="H178" s="244"/>
      <c r="I178" s="244"/>
      <c r="J178" s="244"/>
      <c r="K178" s="244"/>
      <c r="L178" s="244"/>
      <c r="M178" s="244"/>
      <c r="N178" s="244"/>
      <c r="O178" s="244"/>
      <c r="P178" s="244"/>
      <c r="Q178" s="244"/>
      <c r="R178" s="244"/>
      <c r="S178" s="244"/>
      <c r="T178" s="244"/>
      <c r="U178" s="244"/>
      <c r="V178" s="244"/>
      <c r="W178" s="244"/>
      <c r="X178" s="244"/>
      <c r="Y178" s="244"/>
      <c r="Z178" s="244"/>
      <c r="AA178" s="244"/>
    </row>
    <row r="179" spans="2:27" x14ac:dyDescent="0.2">
      <c r="B179" s="244"/>
      <c r="C179" s="244"/>
      <c r="D179" s="244"/>
      <c r="E179" s="244"/>
      <c r="F179" s="244"/>
      <c r="G179" s="244"/>
      <c r="H179" s="244"/>
      <c r="I179" s="244"/>
      <c r="J179" s="244"/>
      <c r="K179" s="244"/>
      <c r="L179" s="244"/>
      <c r="M179" s="244"/>
      <c r="N179" s="244"/>
      <c r="O179" s="244"/>
      <c r="P179" s="244"/>
      <c r="Q179" s="244"/>
      <c r="R179" s="244"/>
      <c r="S179" s="244"/>
      <c r="T179" s="244"/>
      <c r="U179" s="244"/>
      <c r="V179" s="244"/>
      <c r="W179" s="244"/>
      <c r="X179" s="244"/>
      <c r="Y179" s="244"/>
      <c r="Z179" s="244"/>
      <c r="AA179" s="244"/>
    </row>
  </sheetData>
  <pageMargins left="0.7" right="0.7" top="0.75" bottom="0.75" header="0.3" footer="0.3"/>
  <pageSetup orientation="portrait" verticalDpi="597"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5" tint="0.79998168889431442"/>
  </sheetPr>
  <dimension ref="A1:AM179"/>
  <sheetViews>
    <sheetView topLeftCell="B1" workbookViewId="0">
      <selection activeCell="E37" sqref="E37"/>
    </sheetView>
  </sheetViews>
  <sheetFormatPr defaultRowHeight="15" x14ac:dyDescent="0.25"/>
  <cols>
    <col min="1" max="1" width="20.85546875" hidden="1" customWidth="1"/>
    <col min="2" max="2" width="45.7109375" customWidth="1"/>
  </cols>
  <sheetData>
    <row r="1" spans="1:39" ht="15" customHeight="1" thickBot="1" x14ac:dyDescent="0.3">
      <c r="B1" s="4" t="s">
        <v>15</v>
      </c>
      <c r="C1" s="5">
        <v>2015</v>
      </c>
      <c r="D1" s="5">
        <v>2016</v>
      </c>
      <c r="E1" s="5">
        <v>2017</v>
      </c>
      <c r="F1" s="5">
        <v>2018</v>
      </c>
      <c r="G1" s="5">
        <v>2019</v>
      </c>
      <c r="H1" s="5">
        <v>2020</v>
      </c>
      <c r="I1" s="5">
        <v>2021</v>
      </c>
      <c r="J1" s="5">
        <v>2022</v>
      </c>
      <c r="K1" s="5">
        <v>2023</v>
      </c>
      <c r="L1" s="5">
        <v>2024</v>
      </c>
      <c r="M1" s="5">
        <v>2025</v>
      </c>
      <c r="N1" s="5">
        <v>2026</v>
      </c>
      <c r="O1" s="5">
        <v>2027</v>
      </c>
      <c r="P1" s="5">
        <v>2028</v>
      </c>
      <c r="Q1" s="5">
        <v>2029</v>
      </c>
      <c r="R1" s="5">
        <v>2030</v>
      </c>
      <c r="S1" s="5">
        <v>2031</v>
      </c>
      <c r="T1" s="5">
        <v>2032</v>
      </c>
      <c r="U1" s="5">
        <v>2033</v>
      </c>
      <c r="V1" s="5">
        <v>2034</v>
      </c>
      <c r="W1" s="5">
        <v>2035</v>
      </c>
      <c r="X1" s="5">
        <v>2036</v>
      </c>
      <c r="Y1" s="5">
        <v>2037</v>
      </c>
      <c r="Z1" s="5">
        <v>2038</v>
      </c>
      <c r="AA1" s="5">
        <v>2039</v>
      </c>
      <c r="AB1" s="5">
        <v>2040</v>
      </c>
      <c r="AC1" s="5">
        <v>2041</v>
      </c>
      <c r="AD1" s="5">
        <v>2042</v>
      </c>
      <c r="AE1" s="5">
        <v>2043</v>
      </c>
      <c r="AF1" s="5">
        <v>2044</v>
      </c>
      <c r="AG1" s="5">
        <v>2045</v>
      </c>
      <c r="AH1" s="5">
        <v>2046</v>
      </c>
      <c r="AI1" s="5">
        <v>2047</v>
      </c>
      <c r="AJ1" s="5">
        <v>2048</v>
      </c>
      <c r="AK1" s="5">
        <v>2049</v>
      </c>
      <c r="AL1" s="5">
        <v>2050</v>
      </c>
    </row>
    <row r="2" spans="1:39" ht="15" customHeight="1" thickTop="1" x14ac:dyDescent="0.25"/>
    <row r="3" spans="1:39" ht="15" customHeight="1" x14ac:dyDescent="0.25">
      <c r="C3" s="6" t="s">
        <v>16</v>
      </c>
      <c r="D3" s="6" t="s">
        <v>17</v>
      </c>
      <c r="E3" s="6"/>
      <c r="F3" s="6"/>
      <c r="G3" s="6"/>
    </row>
    <row r="4" spans="1:39" ht="15" customHeight="1" x14ac:dyDescent="0.25">
      <c r="C4" s="6" t="s">
        <v>18</v>
      </c>
      <c r="D4" s="6" t="s">
        <v>19</v>
      </c>
      <c r="E4" s="6"/>
      <c r="F4" s="6"/>
      <c r="G4" s="6" t="s">
        <v>20</v>
      </c>
    </row>
    <row r="5" spans="1:39" ht="15" customHeight="1" x14ac:dyDescent="0.25">
      <c r="C5" s="6" t="s">
        <v>21</v>
      </c>
      <c r="D5" s="6" t="s">
        <v>22</v>
      </c>
      <c r="E5" s="6"/>
      <c r="F5" s="6"/>
      <c r="G5" s="6"/>
    </row>
    <row r="6" spans="1:39" ht="15" customHeight="1" x14ac:dyDescent="0.25">
      <c r="C6" s="6" t="s">
        <v>23</v>
      </c>
      <c r="D6" s="6"/>
      <c r="E6" s="6" t="s">
        <v>24</v>
      </c>
      <c r="F6" s="6"/>
      <c r="G6" s="6"/>
    </row>
    <row r="10" spans="1:39" ht="15" customHeight="1" x14ac:dyDescent="0.25">
      <c r="A10" s="7" t="s">
        <v>25</v>
      </c>
      <c r="B10" s="8" t="s">
        <v>26</v>
      </c>
    </row>
    <row r="11" spans="1:39" ht="15" customHeight="1" x14ac:dyDescent="0.25">
      <c r="B11" s="4" t="s">
        <v>27</v>
      </c>
    </row>
    <row r="12" spans="1:39" ht="15" customHeight="1" x14ac:dyDescent="0.25">
      <c r="B12" s="4" t="s">
        <v>27</v>
      </c>
      <c r="C12" s="9" t="s">
        <v>27</v>
      </c>
      <c r="D12" s="9" t="s">
        <v>27</v>
      </c>
      <c r="E12" s="9" t="s">
        <v>27</v>
      </c>
      <c r="F12" s="9" t="s">
        <v>27</v>
      </c>
      <c r="G12" s="9" t="s">
        <v>27</v>
      </c>
      <c r="H12" s="9" t="s">
        <v>27</v>
      </c>
      <c r="I12" s="9" t="s">
        <v>27</v>
      </c>
      <c r="J12" s="9" t="s">
        <v>27</v>
      </c>
      <c r="K12" s="9" t="s">
        <v>27</v>
      </c>
      <c r="L12" s="9" t="s">
        <v>27</v>
      </c>
      <c r="M12" s="9" t="s">
        <v>27</v>
      </c>
      <c r="N12" s="9" t="s">
        <v>27</v>
      </c>
      <c r="O12" s="9" t="s">
        <v>27</v>
      </c>
      <c r="P12" s="9" t="s">
        <v>27</v>
      </c>
      <c r="Q12" s="9" t="s">
        <v>27</v>
      </c>
      <c r="R12" s="9" t="s">
        <v>27</v>
      </c>
      <c r="S12" s="9" t="s">
        <v>27</v>
      </c>
      <c r="T12" s="9" t="s">
        <v>27</v>
      </c>
      <c r="U12" s="9" t="s">
        <v>27</v>
      </c>
      <c r="V12" s="9" t="s">
        <v>27</v>
      </c>
      <c r="W12" s="9" t="s">
        <v>27</v>
      </c>
      <c r="X12" s="9" t="s">
        <v>27</v>
      </c>
      <c r="Y12" s="9" t="s">
        <v>27</v>
      </c>
      <c r="Z12" s="9" t="s">
        <v>27</v>
      </c>
      <c r="AA12" s="9" t="s">
        <v>27</v>
      </c>
      <c r="AB12" s="9" t="s">
        <v>27</v>
      </c>
      <c r="AC12" s="9" t="s">
        <v>27</v>
      </c>
      <c r="AD12" s="9" t="s">
        <v>27</v>
      </c>
      <c r="AE12" s="9" t="s">
        <v>27</v>
      </c>
      <c r="AF12" s="9" t="s">
        <v>27</v>
      </c>
      <c r="AG12" s="9" t="s">
        <v>27</v>
      </c>
      <c r="AH12" s="9" t="s">
        <v>27</v>
      </c>
      <c r="AI12" s="9" t="s">
        <v>27</v>
      </c>
      <c r="AJ12" s="9" t="s">
        <v>27</v>
      </c>
      <c r="AK12" s="9" t="s">
        <v>27</v>
      </c>
      <c r="AL12" s="9" t="s">
        <v>27</v>
      </c>
      <c r="AM12" s="9" t="s">
        <v>28</v>
      </c>
    </row>
    <row r="13" spans="1:39" ht="15" customHeight="1" thickBot="1" x14ac:dyDescent="0.3">
      <c r="B13" s="5" t="s">
        <v>29</v>
      </c>
      <c r="C13" s="5">
        <v>2015</v>
      </c>
      <c r="D13" s="5">
        <v>2016</v>
      </c>
      <c r="E13" s="5">
        <v>2017</v>
      </c>
      <c r="F13" s="5">
        <v>2018</v>
      </c>
      <c r="G13" s="5">
        <v>2019</v>
      </c>
      <c r="H13" s="5">
        <v>2020</v>
      </c>
      <c r="I13" s="5">
        <v>2021</v>
      </c>
      <c r="J13" s="5">
        <v>2022</v>
      </c>
      <c r="K13" s="5">
        <v>2023</v>
      </c>
      <c r="L13" s="5">
        <v>2024</v>
      </c>
      <c r="M13" s="5">
        <v>2025</v>
      </c>
      <c r="N13" s="5">
        <v>2026</v>
      </c>
      <c r="O13" s="5">
        <v>2027</v>
      </c>
      <c r="P13" s="5">
        <v>2028</v>
      </c>
      <c r="Q13" s="5">
        <v>2029</v>
      </c>
      <c r="R13" s="5">
        <v>2030</v>
      </c>
      <c r="S13" s="5">
        <v>2031</v>
      </c>
      <c r="T13" s="5">
        <v>2032</v>
      </c>
      <c r="U13" s="5">
        <v>2033</v>
      </c>
      <c r="V13" s="5">
        <v>2034</v>
      </c>
      <c r="W13" s="5">
        <v>2035</v>
      </c>
      <c r="X13" s="5">
        <v>2036</v>
      </c>
      <c r="Y13" s="5">
        <v>2037</v>
      </c>
      <c r="Z13" s="5">
        <v>2038</v>
      </c>
      <c r="AA13" s="5">
        <v>2039</v>
      </c>
      <c r="AB13" s="5">
        <v>2040</v>
      </c>
      <c r="AC13" s="5">
        <v>2041</v>
      </c>
      <c r="AD13" s="5">
        <v>2042</v>
      </c>
      <c r="AE13" s="5">
        <v>2043</v>
      </c>
      <c r="AF13" s="5">
        <v>2044</v>
      </c>
      <c r="AG13" s="5">
        <v>2045</v>
      </c>
      <c r="AH13" s="5">
        <v>2046</v>
      </c>
      <c r="AI13" s="5">
        <v>2047</v>
      </c>
      <c r="AJ13" s="5">
        <v>2048</v>
      </c>
      <c r="AK13" s="5">
        <v>2049</v>
      </c>
      <c r="AL13" s="5">
        <v>2050</v>
      </c>
      <c r="AM13" s="5">
        <v>2050</v>
      </c>
    </row>
    <row r="14" spans="1:39" ht="15" customHeight="1" thickTop="1" x14ac:dyDescent="0.25"/>
    <row r="15" spans="1:39" ht="15" customHeight="1" x14ac:dyDescent="0.25">
      <c r="B15" s="10" t="s">
        <v>10</v>
      </c>
    </row>
    <row r="16" spans="1:39" ht="15" customHeight="1" x14ac:dyDescent="0.25">
      <c r="B16" s="10" t="s">
        <v>11</v>
      </c>
    </row>
    <row r="17" spans="1:39" ht="15" customHeight="1" x14ac:dyDescent="0.25">
      <c r="A17" s="7" t="s">
        <v>30</v>
      </c>
      <c r="B17" s="11" t="s">
        <v>31</v>
      </c>
      <c r="C17" s="12">
        <v>5324.8330079999996</v>
      </c>
      <c r="D17" s="12">
        <v>5374.2993159999996</v>
      </c>
      <c r="E17" s="12">
        <v>5671.8657229999999</v>
      </c>
      <c r="F17" s="12">
        <v>5769.1279299999997</v>
      </c>
      <c r="G17" s="12">
        <v>5859.1118159999996</v>
      </c>
      <c r="H17" s="12">
        <v>5988.3227539999998</v>
      </c>
      <c r="I17" s="12">
        <v>6143.9067379999997</v>
      </c>
      <c r="J17" s="12">
        <v>6291.7016599999997</v>
      </c>
      <c r="K17" s="12">
        <v>6432.4184569999998</v>
      </c>
      <c r="L17" s="12">
        <v>6560.9526370000003</v>
      </c>
      <c r="M17" s="12">
        <v>6632.9614259999998</v>
      </c>
      <c r="N17" s="12">
        <v>6673.3964839999999</v>
      </c>
      <c r="O17" s="12">
        <v>6766.0278319999998</v>
      </c>
      <c r="P17" s="12">
        <v>6874.2070309999999</v>
      </c>
      <c r="Q17" s="12">
        <v>6973.0961909999996</v>
      </c>
      <c r="R17" s="12">
        <v>7058.5004879999997</v>
      </c>
      <c r="S17" s="12">
        <v>7143.8466799999997</v>
      </c>
      <c r="T17" s="12">
        <v>7243.1259769999997</v>
      </c>
      <c r="U17" s="12">
        <v>7384.5058589999999</v>
      </c>
      <c r="V17" s="12">
        <v>7529.4028319999998</v>
      </c>
      <c r="W17" s="12">
        <v>7680.4492190000001</v>
      </c>
      <c r="X17" s="12">
        <v>7820.6416019999997</v>
      </c>
      <c r="Y17" s="12">
        <v>7989.7700199999999</v>
      </c>
      <c r="Z17" s="12">
        <v>8186.3369140000004</v>
      </c>
      <c r="AA17" s="12">
        <v>8351.8320309999999</v>
      </c>
      <c r="AB17" s="12">
        <v>8513.2216800000006</v>
      </c>
      <c r="AC17" s="12">
        <v>8682.1103519999997</v>
      </c>
      <c r="AD17" s="12">
        <v>8866.6279300000006</v>
      </c>
      <c r="AE17" s="12">
        <v>9064.6523440000001</v>
      </c>
      <c r="AF17" s="12">
        <v>9250.6416019999997</v>
      </c>
      <c r="AG17" s="12">
        <v>9436.7871090000008</v>
      </c>
      <c r="AH17" s="12">
        <v>9625.2929690000001</v>
      </c>
      <c r="AI17" s="12">
        <v>9806.6318360000005</v>
      </c>
      <c r="AJ17" s="12">
        <v>10004.371094</v>
      </c>
      <c r="AK17" s="12">
        <v>10226.269531</v>
      </c>
      <c r="AL17" s="12">
        <v>10448.175781</v>
      </c>
      <c r="AM17" s="13">
        <v>1.9744999999999999E-2</v>
      </c>
    </row>
    <row r="18" spans="1:39" ht="15" customHeight="1" x14ac:dyDescent="0.25">
      <c r="A18" s="7" t="s">
        <v>32</v>
      </c>
      <c r="B18" s="11" t="s">
        <v>33</v>
      </c>
      <c r="C18" s="12">
        <v>2048.8232419999999</v>
      </c>
      <c r="D18" s="12">
        <v>2079.1396479999999</v>
      </c>
      <c r="E18" s="12">
        <v>2208.1608890000002</v>
      </c>
      <c r="F18" s="12">
        <v>2288.1069339999999</v>
      </c>
      <c r="G18" s="12">
        <v>2327.9038089999999</v>
      </c>
      <c r="H18" s="12">
        <v>2360.421143</v>
      </c>
      <c r="I18" s="12">
        <v>2403.2341310000002</v>
      </c>
      <c r="J18" s="12">
        <v>2452.6811520000001</v>
      </c>
      <c r="K18" s="12">
        <v>2501.150635</v>
      </c>
      <c r="L18" s="12">
        <v>2534.2661130000001</v>
      </c>
      <c r="M18" s="12">
        <v>2556.4204100000002</v>
      </c>
      <c r="N18" s="12">
        <v>2561.4465329999998</v>
      </c>
      <c r="O18" s="12">
        <v>2567.3308109999998</v>
      </c>
      <c r="P18" s="12">
        <v>2587.9956050000001</v>
      </c>
      <c r="Q18" s="12">
        <v>2610.8466800000001</v>
      </c>
      <c r="R18" s="12">
        <v>2644.189453</v>
      </c>
      <c r="S18" s="12">
        <v>2674.5629880000001</v>
      </c>
      <c r="T18" s="12">
        <v>2684.5874020000001</v>
      </c>
      <c r="U18" s="12">
        <v>2699.491211</v>
      </c>
      <c r="V18" s="12">
        <v>2751.0715329999998</v>
      </c>
      <c r="W18" s="12">
        <v>2803.8718260000001</v>
      </c>
      <c r="X18" s="12">
        <v>2847.0200199999999</v>
      </c>
      <c r="Y18" s="12">
        <v>2881.6987300000001</v>
      </c>
      <c r="Z18" s="12">
        <v>2925.586182</v>
      </c>
      <c r="AA18" s="12">
        <v>2956.5092770000001</v>
      </c>
      <c r="AB18" s="12">
        <v>2989.0258789999998</v>
      </c>
      <c r="AC18" s="12">
        <v>3027.9560550000001</v>
      </c>
      <c r="AD18" s="12">
        <v>3057.2485350000002</v>
      </c>
      <c r="AE18" s="12">
        <v>3103.994385</v>
      </c>
      <c r="AF18" s="12">
        <v>3154.053711</v>
      </c>
      <c r="AG18" s="12">
        <v>3200.2846679999998</v>
      </c>
      <c r="AH18" s="12">
        <v>3250.2358399999998</v>
      </c>
      <c r="AI18" s="12">
        <v>3295.0434570000002</v>
      </c>
      <c r="AJ18" s="12">
        <v>3329.2436520000001</v>
      </c>
      <c r="AK18" s="12">
        <v>3362.4716800000001</v>
      </c>
      <c r="AL18" s="12">
        <v>3405.4565429999998</v>
      </c>
      <c r="AM18" s="13">
        <v>1.4618000000000001E-2</v>
      </c>
    </row>
    <row r="19" spans="1:39" ht="15" customHeight="1" x14ac:dyDescent="0.25">
      <c r="A19" s="7" t="s">
        <v>34</v>
      </c>
      <c r="B19" s="10" t="s">
        <v>35</v>
      </c>
      <c r="C19" s="14">
        <v>7373.65625</v>
      </c>
      <c r="D19" s="14">
        <v>7453.4389650000003</v>
      </c>
      <c r="E19" s="14">
        <v>7880.0263670000004</v>
      </c>
      <c r="F19" s="14">
        <v>8057.2348629999997</v>
      </c>
      <c r="G19" s="14">
        <v>8187.015625</v>
      </c>
      <c r="H19" s="14">
        <v>8348.7441409999992</v>
      </c>
      <c r="I19" s="14">
        <v>8547.140625</v>
      </c>
      <c r="J19" s="14">
        <v>8744.3828119999998</v>
      </c>
      <c r="K19" s="14">
        <v>8933.5693360000005</v>
      </c>
      <c r="L19" s="14">
        <v>9095.21875</v>
      </c>
      <c r="M19" s="14">
        <v>9189.3818360000005</v>
      </c>
      <c r="N19" s="14">
        <v>9234.8427730000003</v>
      </c>
      <c r="O19" s="14">
        <v>9333.3583980000003</v>
      </c>
      <c r="P19" s="14">
        <v>9462.203125</v>
      </c>
      <c r="Q19" s="14">
        <v>9583.9433590000008</v>
      </c>
      <c r="R19" s="14">
        <v>9702.6894530000009</v>
      </c>
      <c r="S19" s="14">
        <v>9818.4101559999999</v>
      </c>
      <c r="T19" s="14">
        <v>9927.7128909999992</v>
      </c>
      <c r="U19" s="14">
        <v>10083.997069999999</v>
      </c>
      <c r="V19" s="14">
        <v>10280.474609000001</v>
      </c>
      <c r="W19" s="14">
        <v>10484.321289</v>
      </c>
      <c r="X19" s="14">
        <v>10667.662109000001</v>
      </c>
      <c r="Y19" s="14">
        <v>10871.46875</v>
      </c>
      <c r="Z19" s="14">
        <v>11111.922852</v>
      </c>
      <c r="AA19" s="14">
        <v>11308.341796999999</v>
      </c>
      <c r="AB19" s="14">
        <v>11502.248046999999</v>
      </c>
      <c r="AC19" s="14">
        <v>11710.066406</v>
      </c>
      <c r="AD19" s="14">
        <v>11923.876953000001</v>
      </c>
      <c r="AE19" s="14">
        <v>12168.646484000001</v>
      </c>
      <c r="AF19" s="14">
        <v>12404.695312</v>
      </c>
      <c r="AG19" s="14">
        <v>12637.072265999999</v>
      </c>
      <c r="AH19" s="14">
        <v>12875.529296999999</v>
      </c>
      <c r="AI19" s="14">
        <v>13101.675781</v>
      </c>
      <c r="AJ19" s="14">
        <v>13333.615234000001</v>
      </c>
      <c r="AK19" s="14">
        <v>13588.741211</v>
      </c>
      <c r="AL19" s="14">
        <v>13853.632812</v>
      </c>
      <c r="AM19" s="15">
        <v>1.8398999999999999E-2</v>
      </c>
    </row>
    <row r="21" spans="1:39" ht="15" customHeight="1" x14ac:dyDescent="0.25">
      <c r="B21" s="10" t="s">
        <v>12</v>
      </c>
    </row>
    <row r="22" spans="1:39" ht="15" customHeight="1" x14ac:dyDescent="0.25">
      <c r="B22" s="10" t="s">
        <v>36</v>
      </c>
    </row>
    <row r="23" spans="1:39" ht="15" customHeight="1" x14ac:dyDescent="0.25">
      <c r="A23" s="7" t="s">
        <v>37</v>
      </c>
      <c r="B23" s="11" t="s">
        <v>38</v>
      </c>
      <c r="C23" s="16">
        <v>12.432567000000001</v>
      </c>
      <c r="D23" s="16">
        <v>11.486302</v>
      </c>
      <c r="E23" s="16">
        <v>11.627307</v>
      </c>
      <c r="F23" s="16">
        <v>12.702788</v>
      </c>
      <c r="G23" s="16">
        <v>12.733717</v>
      </c>
      <c r="H23" s="16">
        <v>12.716767000000001</v>
      </c>
      <c r="I23" s="16">
        <v>12.714897000000001</v>
      </c>
      <c r="J23" s="16">
        <v>13.138453999999999</v>
      </c>
      <c r="K23" s="16">
        <v>13.387439000000001</v>
      </c>
      <c r="L23" s="16">
        <v>13.470722</v>
      </c>
      <c r="M23" s="16">
        <v>13.502094</v>
      </c>
      <c r="N23" s="16">
        <v>13.611158</v>
      </c>
      <c r="O23" s="16">
        <v>13.843337999999999</v>
      </c>
      <c r="P23" s="16">
        <v>13.91353</v>
      </c>
      <c r="Q23" s="16">
        <v>13.965901000000001</v>
      </c>
      <c r="R23" s="16">
        <v>14.172031</v>
      </c>
      <c r="S23" s="16">
        <v>14.578906999999999</v>
      </c>
      <c r="T23" s="16">
        <v>14.834842</v>
      </c>
      <c r="U23" s="16">
        <v>14.892092</v>
      </c>
      <c r="V23" s="16">
        <v>15.072635999999999</v>
      </c>
      <c r="W23" s="16">
        <v>15.160168000000001</v>
      </c>
      <c r="X23" s="16">
        <v>15.491424</v>
      </c>
      <c r="Y23" s="16">
        <v>15.639657</v>
      </c>
      <c r="Z23" s="16">
        <v>15.895509000000001</v>
      </c>
      <c r="AA23" s="16">
        <v>16.231508000000002</v>
      </c>
      <c r="AB23" s="16">
        <v>16.400230000000001</v>
      </c>
      <c r="AC23" s="16">
        <v>16.526195999999999</v>
      </c>
      <c r="AD23" s="16">
        <v>16.703747</v>
      </c>
      <c r="AE23" s="16">
        <v>16.824341</v>
      </c>
      <c r="AF23" s="16">
        <v>16.985008000000001</v>
      </c>
      <c r="AG23" s="16">
        <v>17.142488</v>
      </c>
      <c r="AH23" s="16">
        <v>17.333206000000001</v>
      </c>
      <c r="AI23" s="16">
        <v>17.502621000000001</v>
      </c>
      <c r="AJ23" s="16">
        <v>17.690701000000001</v>
      </c>
      <c r="AK23" s="16">
        <v>17.871317000000001</v>
      </c>
      <c r="AL23" s="16">
        <v>18.085948999999999</v>
      </c>
      <c r="AM23" s="13">
        <v>1.3442000000000001E-2</v>
      </c>
    </row>
    <row r="24" spans="1:39" ht="15" customHeight="1" x14ac:dyDescent="0.25">
      <c r="A24" s="7" t="s">
        <v>39</v>
      </c>
      <c r="B24" s="11" t="s">
        <v>40</v>
      </c>
      <c r="C24" s="16">
        <v>20.674378999999998</v>
      </c>
      <c r="D24" s="16">
        <v>17.866925999999999</v>
      </c>
      <c r="E24" s="16">
        <v>18.640324</v>
      </c>
      <c r="F24" s="16">
        <v>18.396612000000001</v>
      </c>
      <c r="G24" s="16">
        <v>20.268229000000002</v>
      </c>
      <c r="H24" s="16">
        <v>21.400524000000001</v>
      </c>
      <c r="I24" s="16">
        <v>22.434350999999999</v>
      </c>
      <c r="J24" s="16">
        <v>23.489576</v>
      </c>
      <c r="K24" s="16">
        <v>23.765884</v>
      </c>
      <c r="L24" s="16">
        <v>23.972567000000002</v>
      </c>
      <c r="M24" s="16">
        <v>24.349979000000001</v>
      </c>
      <c r="N24" s="16">
        <v>24.641285</v>
      </c>
      <c r="O24" s="16">
        <v>24.719522000000001</v>
      </c>
      <c r="P24" s="16">
        <v>24.662571</v>
      </c>
      <c r="Q24" s="16">
        <v>24.821960000000001</v>
      </c>
      <c r="R24" s="16">
        <v>25.167459000000001</v>
      </c>
      <c r="S24" s="16">
        <v>25.536923999999999</v>
      </c>
      <c r="T24" s="16">
        <v>25.910229000000001</v>
      </c>
      <c r="U24" s="16">
        <v>25.854523</v>
      </c>
      <c r="V24" s="16">
        <v>26.123591999999999</v>
      </c>
      <c r="W24" s="16">
        <v>26.259401</v>
      </c>
      <c r="X24" s="16">
        <v>26.775645999999998</v>
      </c>
      <c r="Y24" s="16">
        <v>26.856304000000002</v>
      </c>
      <c r="Z24" s="16">
        <v>26.966049000000002</v>
      </c>
      <c r="AA24" s="16">
        <v>27.312071</v>
      </c>
      <c r="AB24" s="16">
        <v>27.535202000000002</v>
      </c>
      <c r="AC24" s="16">
        <v>27.666826</v>
      </c>
      <c r="AD24" s="16">
        <v>27.703968</v>
      </c>
      <c r="AE24" s="16">
        <v>27.796371000000001</v>
      </c>
      <c r="AF24" s="16">
        <v>27.866737000000001</v>
      </c>
      <c r="AG24" s="16">
        <v>27.972550999999999</v>
      </c>
      <c r="AH24" s="16">
        <v>28.093993999999999</v>
      </c>
      <c r="AI24" s="16">
        <v>28.253004000000001</v>
      </c>
      <c r="AJ24" s="16">
        <v>28.226780000000002</v>
      </c>
      <c r="AK24" s="16">
        <v>28.213863</v>
      </c>
      <c r="AL24" s="16">
        <v>28.605899999999998</v>
      </c>
      <c r="AM24" s="13">
        <v>1.3939E-2</v>
      </c>
    </row>
    <row r="25" spans="1:39" ht="15" customHeight="1" x14ac:dyDescent="0.25">
      <c r="A25" s="7" t="s">
        <v>41</v>
      </c>
      <c r="B25" s="11" t="s">
        <v>42</v>
      </c>
      <c r="C25" s="16">
        <v>17.254929000000001</v>
      </c>
      <c r="D25" s="16">
        <v>13.528606999999999</v>
      </c>
      <c r="E25" s="16">
        <v>16.231472</v>
      </c>
      <c r="F25" s="16">
        <v>17.862814</v>
      </c>
      <c r="G25" s="16">
        <v>18.76952</v>
      </c>
      <c r="H25" s="16">
        <v>19.152609000000002</v>
      </c>
      <c r="I25" s="16">
        <v>19.332813000000002</v>
      </c>
      <c r="J25" s="16">
        <v>19.608218999999998</v>
      </c>
      <c r="K25" s="16">
        <v>19.944230999999998</v>
      </c>
      <c r="L25" s="16">
        <v>20.227374999999999</v>
      </c>
      <c r="M25" s="16">
        <v>20.80864</v>
      </c>
      <c r="N25" s="16">
        <v>21.157910999999999</v>
      </c>
      <c r="O25" s="16">
        <v>21.406514999999999</v>
      </c>
      <c r="P25" s="16">
        <v>21.486813000000001</v>
      </c>
      <c r="Q25" s="16">
        <v>21.756043999999999</v>
      </c>
      <c r="R25" s="16">
        <v>22.208290000000002</v>
      </c>
      <c r="S25" s="16">
        <v>22.640447999999999</v>
      </c>
      <c r="T25" s="16">
        <v>23.076934999999999</v>
      </c>
      <c r="U25" s="16">
        <v>23.061841999999999</v>
      </c>
      <c r="V25" s="16">
        <v>23.36891</v>
      </c>
      <c r="W25" s="16">
        <v>23.529444000000002</v>
      </c>
      <c r="X25" s="16">
        <v>24.031131999999999</v>
      </c>
      <c r="Y25" s="16">
        <v>24.113454999999998</v>
      </c>
      <c r="Z25" s="16">
        <v>24.188547</v>
      </c>
      <c r="AA25" s="16">
        <v>24.498063999999999</v>
      </c>
      <c r="AB25" s="16">
        <v>24.660582000000002</v>
      </c>
      <c r="AC25" s="16">
        <v>24.709101</v>
      </c>
      <c r="AD25" s="16">
        <v>24.662333</v>
      </c>
      <c r="AE25" s="16">
        <v>24.662787999999999</v>
      </c>
      <c r="AF25" s="16">
        <v>24.704065</v>
      </c>
      <c r="AG25" s="16">
        <v>24.826505999999998</v>
      </c>
      <c r="AH25" s="16">
        <v>25.002414999999999</v>
      </c>
      <c r="AI25" s="16">
        <v>25.285298999999998</v>
      </c>
      <c r="AJ25" s="16">
        <v>25.456495</v>
      </c>
      <c r="AK25" s="16">
        <v>25.523019999999999</v>
      </c>
      <c r="AL25" s="16">
        <v>25.810680000000001</v>
      </c>
      <c r="AM25" s="13">
        <v>1.9181E-2</v>
      </c>
    </row>
    <row r="26" spans="1:39" ht="15" customHeight="1" x14ac:dyDescent="0.25">
      <c r="A26" s="7" t="s">
        <v>43</v>
      </c>
      <c r="B26" s="11" t="s">
        <v>44</v>
      </c>
      <c r="C26" s="16">
        <v>7.0128969999999997</v>
      </c>
      <c r="D26" s="16">
        <v>5.1523199999999996</v>
      </c>
      <c r="E26" s="16">
        <v>6.7435890000000001</v>
      </c>
      <c r="F26" s="16">
        <v>8.4696689999999997</v>
      </c>
      <c r="G26" s="16">
        <v>9.7138810000000007</v>
      </c>
      <c r="H26" s="16">
        <v>10.609959999999999</v>
      </c>
      <c r="I26" s="16">
        <v>11.315146</v>
      </c>
      <c r="J26" s="16">
        <v>11.916967</v>
      </c>
      <c r="K26" s="16">
        <v>12.27901</v>
      </c>
      <c r="L26" s="16">
        <v>12.558180999999999</v>
      </c>
      <c r="M26" s="16">
        <v>12.940341999999999</v>
      </c>
      <c r="N26" s="16">
        <v>13.252131</v>
      </c>
      <c r="O26" s="16">
        <v>13.421809</v>
      </c>
      <c r="P26" s="16">
        <v>13.474651</v>
      </c>
      <c r="Q26" s="16">
        <v>13.698441000000001</v>
      </c>
      <c r="R26" s="16">
        <v>14.037247000000001</v>
      </c>
      <c r="S26" s="16">
        <v>14.398915000000001</v>
      </c>
      <c r="T26" s="16">
        <v>14.772523</v>
      </c>
      <c r="U26" s="16">
        <v>14.734519000000001</v>
      </c>
      <c r="V26" s="16">
        <v>14.996054000000001</v>
      </c>
      <c r="W26" s="16">
        <v>15.125069</v>
      </c>
      <c r="X26" s="16">
        <v>15.549154</v>
      </c>
      <c r="Y26" s="16">
        <v>15.642417</v>
      </c>
      <c r="Z26" s="16">
        <v>15.748063</v>
      </c>
      <c r="AA26" s="16">
        <v>15.927581999999999</v>
      </c>
      <c r="AB26" s="16">
        <v>16.110973000000001</v>
      </c>
      <c r="AC26" s="16">
        <v>16.273308</v>
      </c>
      <c r="AD26" s="16">
        <v>16.274557000000001</v>
      </c>
      <c r="AE26" s="16">
        <v>16.262834999999999</v>
      </c>
      <c r="AF26" s="16">
        <v>16.337494</v>
      </c>
      <c r="AG26" s="16">
        <v>16.429563999999999</v>
      </c>
      <c r="AH26" s="16">
        <v>16.575378000000001</v>
      </c>
      <c r="AI26" s="16">
        <v>16.777850999999998</v>
      </c>
      <c r="AJ26" s="16">
        <v>16.913681</v>
      </c>
      <c r="AK26" s="16">
        <v>16.961672</v>
      </c>
      <c r="AL26" s="16">
        <v>17.204464000000002</v>
      </c>
      <c r="AM26" s="13">
        <v>3.6098999999999999E-2</v>
      </c>
    </row>
    <row r="27" spans="1:39" ht="15" customHeight="1" x14ac:dyDescent="0.25">
      <c r="A27" s="7" t="s">
        <v>45</v>
      </c>
      <c r="B27" s="11" t="s">
        <v>46</v>
      </c>
      <c r="C27" s="16">
        <v>3.5291070000000002</v>
      </c>
      <c r="D27" s="16">
        <v>2.5072519999999998</v>
      </c>
      <c r="E27" s="16">
        <v>3.314864</v>
      </c>
      <c r="F27" s="16">
        <v>5.163583</v>
      </c>
      <c r="G27" s="16">
        <v>6.4470450000000001</v>
      </c>
      <c r="H27" s="16">
        <v>7.3835649999999999</v>
      </c>
      <c r="I27" s="16">
        <v>8.2831670000000006</v>
      </c>
      <c r="J27" s="16">
        <v>9.1364680000000007</v>
      </c>
      <c r="K27" s="16">
        <v>9.3696260000000002</v>
      </c>
      <c r="L27" s="16">
        <v>9.6031499999999994</v>
      </c>
      <c r="M27" s="16">
        <v>9.9233770000000003</v>
      </c>
      <c r="N27" s="16">
        <v>10.15413</v>
      </c>
      <c r="O27" s="16">
        <v>10.28701</v>
      </c>
      <c r="P27" s="16">
        <v>10.317710999999999</v>
      </c>
      <c r="Q27" s="16">
        <v>10.485692</v>
      </c>
      <c r="R27" s="16">
        <v>10.768837</v>
      </c>
      <c r="S27" s="16">
        <v>11.023844</v>
      </c>
      <c r="T27" s="16">
        <v>11.313045000000001</v>
      </c>
      <c r="U27" s="16">
        <v>11.304827</v>
      </c>
      <c r="V27" s="16">
        <v>11.505849</v>
      </c>
      <c r="W27" s="16">
        <v>11.601372</v>
      </c>
      <c r="X27" s="16">
        <v>11.927911999999999</v>
      </c>
      <c r="Y27" s="16">
        <v>11.991175999999999</v>
      </c>
      <c r="Z27" s="16">
        <v>12.092790000000001</v>
      </c>
      <c r="AA27" s="16">
        <v>12.298223</v>
      </c>
      <c r="AB27" s="16">
        <v>12.455686</v>
      </c>
      <c r="AC27" s="16">
        <v>12.483601</v>
      </c>
      <c r="AD27" s="16">
        <v>12.530335000000001</v>
      </c>
      <c r="AE27" s="16">
        <v>12.557473</v>
      </c>
      <c r="AF27" s="16">
        <v>12.611132</v>
      </c>
      <c r="AG27" s="16">
        <v>12.687343</v>
      </c>
      <c r="AH27" s="16">
        <v>12.826186</v>
      </c>
      <c r="AI27" s="16">
        <v>12.98719</v>
      </c>
      <c r="AJ27" s="16">
        <v>13.114048</v>
      </c>
      <c r="AK27" s="16">
        <v>13.137015</v>
      </c>
      <c r="AL27" s="16">
        <v>13.327752</v>
      </c>
      <c r="AM27" s="13">
        <v>5.0363999999999999E-2</v>
      </c>
    </row>
    <row r="28" spans="1:39" ht="15" customHeight="1" x14ac:dyDescent="0.25">
      <c r="A28" s="7" t="s">
        <v>47</v>
      </c>
      <c r="B28" s="11" t="s">
        <v>48</v>
      </c>
      <c r="C28" s="16">
        <v>3.401942</v>
      </c>
      <c r="D28" s="16">
        <v>3.22438</v>
      </c>
      <c r="E28" s="16">
        <v>3.8597709999999998</v>
      </c>
      <c r="F28" s="16">
        <v>4.286149</v>
      </c>
      <c r="G28" s="16">
        <v>4.675389</v>
      </c>
      <c r="H28" s="16">
        <v>5.1044419999999997</v>
      </c>
      <c r="I28" s="16">
        <v>5.1438290000000002</v>
      </c>
      <c r="J28" s="16">
        <v>5.1640519999999999</v>
      </c>
      <c r="K28" s="16">
        <v>5.1981099999999998</v>
      </c>
      <c r="L28" s="16">
        <v>5.2507549999999998</v>
      </c>
      <c r="M28" s="16">
        <v>5.3114030000000003</v>
      </c>
      <c r="N28" s="16">
        <v>5.3535440000000003</v>
      </c>
      <c r="O28" s="16">
        <v>5.3657490000000001</v>
      </c>
      <c r="P28" s="16">
        <v>5.4500999999999999</v>
      </c>
      <c r="Q28" s="16">
        <v>5.5260740000000004</v>
      </c>
      <c r="R28" s="16">
        <v>5.5471399999999997</v>
      </c>
      <c r="S28" s="16">
        <v>5.6076230000000002</v>
      </c>
      <c r="T28" s="16">
        <v>5.604425</v>
      </c>
      <c r="U28" s="16">
        <v>5.5781599999999996</v>
      </c>
      <c r="V28" s="16">
        <v>5.5525359999999999</v>
      </c>
      <c r="W28" s="16">
        <v>5.6113160000000004</v>
      </c>
      <c r="X28" s="16">
        <v>5.6648670000000001</v>
      </c>
      <c r="Y28" s="16">
        <v>5.6987500000000004</v>
      </c>
      <c r="Z28" s="16">
        <v>5.6824870000000001</v>
      </c>
      <c r="AA28" s="16">
        <v>5.7161679999999997</v>
      </c>
      <c r="AB28" s="16">
        <v>5.692272</v>
      </c>
      <c r="AC28" s="16">
        <v>5.6610259999999997</v>
      </c>
      <c r="AD28" s="16">
        <v>5.7438079999999996</v>
      </c>
      <c r="AE28" s="16">
        <v>5.805542</v>
      </c>
      <c r="AF28" s="16">
        <v>5.8555619999999999</v>
      </c>
      <c r="AG28" s="16">
        <v>5.9221219999999999</v>
      </c>
      <c r="AH28" s="16">
        <v>5.9751269999999996</v>
      </c>
      <c r="AI28" s="16">
        <v>6.0445339999999996</v>
      </c>
      <c r="AJ28" s="16">
        <v>6.0951170000000001</v>
      </c>
      <c r="AK28" s="16">
        <v>6.1866909999999997</v>
      </c>
      <c r="AL28" s="16">
        <v>6.2175750000000001</v>
      </c>
      <c r="AM28" s="13">
        <v>1.9501000000000001E-2</v>
      </c>
    </row>
    <row r="29" spans="1:39" ht="15" customHeight="1" x14ac:dyDescent="0.25">
      <c r="A29" s="7" t="s">
        <v>49</v>
      </c>
      <c r="B29" s="11" t="s">
        <v>50</v>
      </c>
      <c r="C29" s="16">
        <v>4.0359809999999996</v>
      </c>
      <c r="D29" s="16">
        <v>3.731077</v>
      </c>
      <c r="E29" s="16">
        <v>4.2558939999999996</v>
      </c>
      <c r="F29" s="16">
        <v>4.6180589999999997</v>
      </c>
      <c r="G29" s="16">
        <v>5.0056120000000002</v>
      </c>
      <c r="H29" s="16">
        <v>5.4564620000000001</v>
      </c>
      <c r="I29" s="16">
        <v>5.4872069999999997</v>
      </c>
      <c r="J29" s="16">
        <v>5.5004530000000003</v>
      </c>
      <c r="K29" s="16">
        <v>5.5293150000000004</v>
      </c>
      <c r="L29" s="16">
        <v>5.5800559999999999</v>
      </c>
      <c r="M29" s="16">
        <v>5.6208489999999998</v>
      </c>
      <c r="N29" s="16">
        <v>5.664371</v>
      </c>
      <c r="O29" s="16">
        <v>5.7070660000000002</v>
      </c>
      <c r="P29" s="16">
        <v>5.787477</v>
      </c>
      <c r="Q29" s="16">
        <v>5.8606959999999999</v>
      </c>
      <c r="R29" s="16">
        <v>5.8904800000000002</v>
      </c>
      <c r="S29" s="16">
        <v>5.9579009999999997</v>
      </c>
      <c r="T29" s="16">
        <v>5.955317</v>
      </c>
      <c r="U29" s="16">
        <v>5.9285940000000004</v>
      </c>
      <c r="V29" s="16">
        <v>5.896579</v>
      </c>
      <c r="W29" s="16">
        <v>5.9477729999999998</v>
      </c>
      <c r="X29" s="16">
        <v>5.9931590000000003</v>
      </c>
      <c r="Y29" s="16">
        <v>6.0323630000000001</v>
      </c>
      <c r="Z29" s="16">
        <v>6.0176290000000003</v>
      </c>
      <c r="AA29" s="16">
        <v>6.051939</v>
      </c>
      <c r="AB29" s="16">
        <v>6.0302790000000002</v>
      </c>
      <c r="AC29" s="16">
        <v>6.002211</v>
      </c>
      <c r="AD29" s="16">
        <v>6.0879050000000001</v>
      </c>
      <c r="AE29" s="16">
        <v>6.1491689999999997</v>
      </c>
      <c r="AF29" s="16">
        <v>6.1972009999999997</v>
      </c>
      <c r="AG29" s="16">
        <v>6.2619530000000001</v>
      </c>
      <c r="AH29" s="16">
        <v>6.3172670000000002</v>
      </c>
      <c r="AI29" s="16">
        <v>6.3844329999999996</v>
      </c>
      <c r="AJ29" s="16">
        <v>6.4330220000000002</v>
      </c>
      <c r="AK29" s="16">
        <v>6.5217700000000001</v>
      </c>
      <c r="AL29" s="16">
        <v>6.5469720000000002</v>
      </c>
      <c r="AM29" s="13">
        <v>1.6676E-2</v>
      </c>
    </row>
    <row r="30" spans="1:39" ht="15" customHeight="1" x14ac:dyDescent="0.25">
      <c r="A30" s="7" t="s">
        <v>51</v>
      </c>
      <c r="B30" s="11" t="s">
        <v>52</v>
      </c>
      <c r="C30" s="16">
        <v>5.4321010000000003</v>
      </c>
      <c r="D30" s="16">
        <v>5.641108</v>
      </c>
      <c r="E30" s="16">
        <v>5.7936699999999997</v>
      </c>
      <c r="F30" s="16">
        <v>5.8847139999999998</v>
      </c>
      <c r="G30" s="16">
        <v>5.994853</v>
      </c>
      <c r="H30" s="16">
        <v>6.1287839999999996</v>
      </c>
      <c r="I30" s="16">
        <v>6.2167279999999998</v>
      </c>
      <c r="J30" s="16">
        <v>6.2949039999999998</v>
      </c>
      <c r="K30" s="16">
        <v>6.3809589999999998</v>
      </c>
      <c r="L30" s="16">
        <v>6.4748140000000003</v>
      </c>
      <c r="M30" s="16">
        <v>6.5747010000000001</v>
      </c>
      <c r="N30" s="16">
        <v>6.6775989999999998</v>
      </c>
      <c r="O30" s="16">
        <v>6.7698970000000003</v>
      </c>
      <c r="P30" s="16">
        <v>6.8694100000000002</v>
      </c>
      <c r="Q30" s="16">
        <v>6.96129</v>
      </c>
      <c r="R30" s="16">
        <v>7.0541010000000002</v>
      </c>
      <c r="S30" s="16">
        <v>7.111059</v>
      </c>
      <c r="T30" s="16">
        <v>7.1693319999999998</v>
      </c>
      <c r="U30" s="16">
        <v>7.2196129999999998</v>
      </c>
      <c r="V30" s="16">
        <v>7.2643310000000003</v>
      </c>
      <c r="W30" s="16">
        <v>7.3200079999999996</v>
      </c>
      <c r="X30" s="16">
        <v>7.3833359999999999</v>
      </c>
      <c r="Y30" s="16">
        <v>7.4328989999999999</v>
      </c>
      <c r="Z30" s="16">
        <v>7.470135</v>
      </c>
      <c r="AA30" s="16">
        <v>7.4554960000000001</v>
      </c>
      <c r="AB30" s="16">
        <v>7.3889630000000004</v>
      </c>
      <c r="AC30" s="16">
        <v>7.3192599999999999</v>
      </c>
      <c r="AD30" s="16">
        <v>7.3038090000000002</v>
      </c>
      <c r="AE30" s="16">
        <v>7.2861849999999997</v>
      </c>
      <c r="AF30" s="16">
        <v>7.2689570000000003</v>
      </c>
      <c r="AG30" s="16">
        <v>7.2528569999999997</v>
      </c>
      <c r="AH30" s="16">
        <v>7.2313739999999997</v>
      </c>
      <c r="AI30" s="16">
        <v>7.2155399999999998</v>
      </c>
      <c r="AJ30" s="16">
        <v>7.1922040000000003</v>
      </c>
      <c r="AK30" s="16">
        <v>7.1705410000000001</v>
      </c>
      <c r="AL30" s="16">
        <v>7.1421910000000004</v>
      </c>
      <c r="AM30" s="13">
        <v>6.9629999999999996E-3</v>
      </c>
    </row>
    <row r="31" spans="1:39" ht="15" customHeight="1" x14ac:dyDescent="0.25">
      <c r="A31" s="7" t="s">
        <v>53</v>
      </c>
      <c r="B31" s="11" t="s">
        <v>54</v>
      </c>
      <c r="C31" s="16">
        <v>3.4049149999999999</v>
      </c>
      <c r="D31" s="16">
        <v>3.341151</v>
      </c>
      <c r="E31" s="16">
        <v>3.341558</v>
      </c>
      <c r="F31" s="16">
        <v>3.3999450000000002</v>
      </c>
      <c r="G31" s="16">
        <v>3.4298989999999998</v>
      </c>
      <c r="H31" s="16">
        <v>3.4551129999999999</v>
      </c>
      <c r="I31" s="16">
        <v>3.4575429999999998</v>
      </c>
      <c r="J31" s="16">
        <v>3.4668060000000001</v>
      </c>
      <c r="K31" s="16">
        <v>3.4740039999999999</v>
      </c>
      <c r="L31" s="16">
        <v>3.4760960000000001</v>
      </c>
      <c r="M31" s="16">
        <v>3.470243</v>
      </c>
      <c r="N31" s="16">
        <v>3.471066</v>
      </c>
      <c r="O31" s="16">
        <v>3.4736410000000002</v>
      </c>
      <c r="P31" s="16">
        <v>3.4844710000000001</v>
      </c>
      <c r="Q31" s="16">
        <v>3.483422</v>
      </c>
      <c r="R31" s="16">
        <v>3.4936880000000001</v>
      </c>
      <c r="S31" s="16">
        <v>3.4987210000000002</v>
      </c>
      <c r="T31" s="16">
        <v>3.5000969999999998</v>
      </c>
      <c r="U31" s="16">
        <v>3.4982470000000001</v>
      </c>
      <c r="V31" s="16">
        <v>3.500178</v>
      </c>
      <c r="W31" s="16">
        <v>3.503441</v>
      </c>
      <c r="X31" s="16">
        <v>3.5115820000000002</v>
      </c>
      <c r="Y31" s="16">
        <v>3.5174780000000001</v>
      </c>
      <c r="Z31" s="16">
        <v>3.5344880000000001</v>
      </c>
      <c r="AA31" s="16">
        <v>3.5528149999999998</v>
      </c>
      <c r="AB31" s="16">
        <v>3.5769489999999999</v>
      </c>
      <c r="AC31" s="16">
        <v>3.593912</v>
      </c>
      <c r="AD31" s="16">
        <v>3.6081949999999998</v>
      </c>
      <c r="AE31" s="16">
        <v>3.6183079999999999</v>
      </c>
      <c r="AF31" s="16">
        <v>3.6309840000000002</v>
      </c>
      <c r="AG31" s="16">
        <v>3.6432449999999998</v>
      </c>
      <c r="AH31" s="16">
        <v>3.655729</v>
      </c>
      <c r="AI31" s="16">
        <v>3.6690489999999998</v>
      </c>
      <c r="AJ31" s="16">
        <v>3.680612</v>
      </c>
      <c r="AK31" s="16">
        <v>3.693209</v>
      </c>
      <c r="AL31" s="16">
        <v>3.707462</v>
      </c>
      <c r="AM31" s="13">
        <v>3.0639999999999999E-3</v>
      </c>
    </row>
    <row r="32" spans="1:39" ht="15" customHeight="1" x14ac:dyDescent="0.25">
      <c r="A32" s="7" t="s">
        <v>55</v>
      </c>
      <c r="B32" s="11" t="s">
        <v>56</v>
      </c>
      <c r="C32" s="13" t="s">
        <v>13</v>
      </c>
      <c r="D32" s="13" t="s">
        <v>13</v>
      </c>
      <c r="E32" s="13" t="s">
        <v>13</v>
      </c>
      <c r="F32" s="13" t="s">
        <v>13</v>
      </c>
      <c r="G32" s="13" t="s">
        <v>13</v>
      </c>
      <c r="H32" s="13" t="s">
        <v>13</v>
      </c>
      <c r="I32" s="13" t="s">
        <v>13</v>
      </c>
      <c r="J32" s="13" t="s">
        <v>13</v>
      </c>
      <c r="K32" s="13" t="s">
        <v>13</v>
      </c>
      <c r="L32" s="13" t="s">
        <v>13</v>
      </c>
      <c r="M32" s="13" t="s">
        <v>13</v>
      </c>
      <c r="N32" s="13" t="s">
        <v>13</v>
      </c>
      <c r="O32" s="13" t="s">
        <v>13</v>
      </c>
      <c r="P32" s="13" t="s">
        <v>13</v>
      </c>
      <c r="Q32" s="13" t="s">
        <v>13</v>
      </c>
      <c r="R32" s="13" t="s">
        <v>13</v>
      </c>
      <c r="S32" s="13" t="s">
        <v>13</v>
      </c>
      <c r="T32" s="13" t="s">
        <v>13</v>
      </c>
      <c r="U32" s="13" t="s">
        <v>13</v>
      </c>
      <c r="V32" s="13" t="s">
        <v>13</v>
      </c>
      <c r="W32" s="13" t="s">
        <v>13</v>
      </c>
      <c r="X32" s="13" t="s">
        <v>13</v>
      </c>
      <c r="Y32" s="13" t="s">
        <v>13</v>
      </c>
      <c r="Z32" s="13" t="s">
        <v>13</v>
      </c>
      <c r="AA32" s="13" t="s">
        <v>13</v>
      </c>
      <c r="AB32" s="13" t="s">
        <v>13</v>
      </c>
      <c r="AC32" s="13" t="s">
        <v>13</v>
      </c>
      <c r="AD32" s="13" t="s">
        <v>13</v>
      </c>
      <c r="AE32" s="13" t="s">
        <v>13</v>
      </c>
      <c r="AF32" s="13" t="s">
        <v>13</v>
      </c>
      <c r="AG32" s="13" t="s">
        <v>13</v>
      </c>
      <c r="AH32" s="13" t="s">
        <v>13</v>
      </c>
      <c r="AI32" s="13" t="s">
        <v>13</v>
      </c>
      <c r="AJ32" s="13" t="s">
        <v>13</v>
      </c>
      <c r="AK32" s="13" t="s">
        <v>13</v>
      </c>
      <c r="AL32" s="13" t="s">
        <v>13</v>
      </c>
      <c r="AM32" s="13" t="s">
        <v>13</v>
      </c>
    </row>
    <row r="33" spans="1:39" ht="15" customHeight="1" x14ac:dyDescent="0.25">
      <c r="A33" s="7" t="s">
        <v>57</v>
      </c>
      <c r="B33" s="11" t="s">
        <v>58</v>
      </c>
      <c r="C33" s="16">
        <v>20.538540000000001</v>
      </c>
      <c r="D33" s="16">
        <v>20.370854999999999</v>
      </c>
      <c r="E33" s="16">
        <v>20.610724999999999</v>
      </c>
      <c r="F33" s="16">
        <v>20.165751</v>
      </c>
      <c r="G33" s="16">
        <v>20.406932999999999</v>
      </c>
      <c r="H33" s="16">
        <v>20.675671000000001</v>
      </c>
      <c r="I33" s="16">
        <v>20.845219</v>
      </c>
      <c r="J33" s="16">
        <v>20.959292999999999</v>
      </c>
      <c r="K33" s="16">
        <v>20.946954999999999</v>
      </c>
      <c r="L33" s="16">
        <v>20.928609999999999</v>
      </c>
      <c r="M33" s="16">
        <v>21.072178000000001</v>
      </c>
      <c r="N33" s="16">
        <v>21.161089</v>
      </c>
      <c r="O33" s="16">
        <v>21.174420999999999</v>
      </c>
      <c r="P33" s="16">
        <v>21.234069999999999</v>
      </c>
      <c r="Q33" s="16">
        <v>21.295100999999999</v>
      </c>
      <c r="R33" s="16">
        <v>21.295203999999998</v>
      </c>
      <c r="S33" s="16">
        <v>21.336155000000002</v>
      </c>
      <c r="T33" s="16">
        <v>21.395493999999999</v>
      </c>
      <c r="U33" s="16">
        <v>21.423642999999998</v>
      </c>
      <c r="V33" s="16">
        <v>21.411489</v>
      </c>
      <c r="W33" s="16">
        <v>21.488161000000002</v>
      </c>
      <c r="X33" s="16">
        <v>21.584118</v>
      </c>
      <c r="Y33" s="16">
        <v>21.626377000000002</v>
      </c>
      <c r="Z33" s="16">
        <v>21.676758</v>
      </c>
      <c r="AA33" s="16">
        <v>21.74155</v>
      </c>
      <c r="AB33" s="16">
        <v>21.825132</v>
      </c>
      <c r="AC33" s="16">
        <v>21.770109000000001</v>
      </c>
      <c r="AD33" s="16">
        <v>21.678761999999999</v>
      </c>
      <c r="AE33" s="16">
        <v>21.682051000000001</v>
      </c>
      <c r="AF33" s="16">
        <v>21.722664000000002</v>
      </c>
      <c r="AG33" s="16">
        <v>21.800567999999998</v>
      </c>
      <c r="AH33" s="16">
        <v>21.884014000000001</v>
      </c>
      <c r="AI33" s="16">
        <v>21.963073999999999</v>
      </c>
      <c r="AJ33" s="16">
        <v>22.014430999999998</v>
      </c>
      <c r="AK33" s="16">
        <v>22.061886000000001</v>
      </c>
      <c r="AL33" s="16">
        <v>22.089279000000001</v>
      </c>
      <c r="AM33" s="13">
        <v>2.385E-3</v>
      </c>
    </row>
    <row r="34" spans="1:39" ht="15" customHeight="1" x14ac:dyDescent="0.25">
      <c r="B34" s="10" t="s">
        <v>59</v>
      </c>
    </row>
    <row r="35" spans="1:39" ht="15" customHeight="1" x14ac:dyDescent="0.25">
      <c r="A35" s="7" t="s">
        <v>60</v>
      </c>
      <c r="B35" s="11" t="s">
        <v>38</v>
      </c>
      <c r="C35" s="16">
        <v>12.258787999999999</v>
      </c>
      <c r="D35" s="16">
        <v>11.486302</v>
      </c>
      <c r="E35" s="16">
        <v>11.877943999999999</v>
      </c>
      <c r="F35" s="16">
        <v>13.232229999999999</v>
      </c>
      <c r="G35" s="16">
        <v>13.543018</v>
      </c>
      <c r="H35" s="16">
        <v>13.823808</v>
      </c>
      <c r="I35" s="16">
        <v>14.121624000000001</v>
      </c>
      <c r="J35" s="16">
        <v>14.898602</v>
      </c>
      <c r="K35" s="16">
        <v>15.490821</v>
      </c>
      <c r="L35" s="16">
        <v>15.910449</v>
      </c>
      <c r="M35" s="16">
        <v>16.294744000000001</v>
      </c>
      <c r="N35" s="16">
        <v>16.791775000000001</v>
      </c>
      <c r="O35" s="16">
        <v>17.469612000000001</v>
      </c>
      <c r="P35" s="16">
        <v>17.957236999999999</v>
      </c>
      <c r="Q35" s="16">
        <v>18.435959</v>
      </c>
      <c r="R35" s="16">
        <v>19.133862000000001</v>
      </c>
      <c r="S35" s="16">
        <v>20.126062000000001</v>
      </c>
      <c r="T35" s="16">
        <v>20.923082000000001</v>
      </c>
      <c r="U35" s="16">
        <v>21.440785999999999</v>
      </c>
      <c r="V35" s="16">
        <v>22.131981</v>
      </c>
      <c r="W35" s="16">
        <v>22.686136000000001</v>
      </c>
      <c r="X35" s="16">
        <v>23.620356000000001</v>
      </c>
      <c r="Y35" s="16">
        <v>24.292048999999999</v>
      </c>
      <c r="Z35" s="16">
        <v>25.154453</v>
      </c>
      <c r="AA35" s="16">
        <v>26.180510999999999</v>
      </c>
      <c r="AB35" s="16">
        <v>26.971577</v>
      </c>
      <c r="AC35" s="16">
        <v>27.729123999999999</v>
      </c>
      <c r="AD35" s="16">
        <v>28.604122</v>
      </c>
      <c r="AE35" s="16">
        <v>29.412486999999999</v>
      </c>
      <c r="AF35" s="16">
        <v>30.325426</v>
      </c>
      <c r="AG35" s="16">
        <v>31.267727000000001</v>
      </c>
      <c r="AH35" s="16">
        <v>32.307045000000002</v>
      </c>
      <c r="AI35" s="16">
        <v>33.340499999999999</v>
      </c>
      <c r="AJ35" s="16">
        <v>34.431164000000003</v>
      </c>
      <c r="AK35" s="16">
        <v>35.536372999999998</v>
      </c>
      <c r="AL35" s="16">
        <v>36.731791999999999</v>
      </c>
      <c r="AM35" s="13">
        <v>3.4782E-2</v>
      </c>
    </row>
    <row r="36" spans="1:39" ht="15" customHeight="1" x14ac:dyDescent="0.25">
      <c r="A36" s="7" t="s">
        <v>61</v>
      </c>
      <c r="B36" s="11" t="s">
        <v>40</v>
      </c>
      <c r="C36" s="16">
        <v>20.385399</v>
      </c>
      <c r="D36" s="16">
        <v>17.866925999999999</v>
      </c>
      <c r="E36" s="16">
        <v>19.042133</v>
      </c>
      <c r="F36" s="16">
        <v>19.163367999999998</v>
      </c>
      <c r="G36" s="16">
        <v>21.556393</v>
      </c>
      <c r="H36" s="16">
        <v>23.263518999999999</v>
      </c>
      <c r="I36" s="16">
        <v>24.916401</v>
      </c>
      <c r="J36" s="16">
        <v>26.636454000000001</v>
      </c>
      <c r="K36" s="16">
        <v>27.499887000000001</v>
      </c>
      <c r="L36" s="16">
        <v>28.314318</v>
      </c>
      <c r="M36" s="16">
        <v>29.386306999999999</v>
      </c>
      <c r="N36" s="16">
        <v>30.399391000000001</v>
      </c>
      <c r="O36" s="16">
        <v>31.194821999999998</v>
      </c>
      <c r="P36" s="16">
        <v>31.830282</v>
      </c>
      <c r="Q36" s="16">
        <v>32.766711999999998</v>
      </c>
      <c r="R36" s="16">
        <v>33.978943000000001</v>
      </c>
      <c r="S36" s="16">
        <v>35.253517000000002</v>
      </c>
      <c r="T36" s="16">
        <v>36.543818999999999</v>
      </c>
      <c r="U36" s="16">
        <v>37.223869000000001</v>
      </c>
      <c r="V36" s="16">
        <v>38.358707000000003</v>
      </c>
      <c r="W36" s="16">
        <v>39.295368000000003</v>
      </c>
      <c r="X36" s="16">
        <v>40.825831999999998</v>
      </c>
      <c r="Y36" s="16">
        <v>41.714126999999998</v>
      </c>
      <c r="Z36" s="16">
        <v>42.673450000000003</v>
      </c>
      <c r="AA36" s="16">
        <v>44.052833999999997</v>
      </c>
      <c r="AB36" s="16">
        <v>45.283988999999998</v>
      </c>
      <c r="AC36" s="16">
        <v>46.421866999999999</v>
      </c>
      <c r="AD36" s="16">
        <v>47.441310999999999</v>
      </c>
      <c r="AE36" s="16">
        <v>48.593902999999997</v>
      </c>
      <c r="AF36" s="16">
        <v>49.753922000000003</v>
      </c>
      <c r="AG36" s="16">
        <v>51.021652000000003</v>
      </c>
      <c r="AH36" s="16">
        <v>52.363875999999998</v>
      </c>
      <c r="AI36" s="16">
        <v>53.818756</v>
      </c>
      <c r="AJ36" s="16">
        <v>54.937389000000003</v>
      </c>
      <c r="AK36" s="16">
        <v>56.102093000000004</v>
      </c>
      <c r="AL36" s="16">
        <v>58.097369999999998</v>
      </c>
      <c r="AM36" s="13">
        <v>3.5290000000000002E-2</v>
      </c>
    </row>
    <row r="37" spans="1:39" ht="15" customHeight="1" x14ac:dyDescent="0.25">
      <c r="A37" s="7" t="s">
        <v>62</v>
      </c>
      <c r="B37" s="11" t="s">
        <v>42</v>
      </c>
      <c r="C37" s="16">
        <v>17.013743999999999</v>
      </c>
      <c r="D37" s="16">
        <v>13.528606999999999</v>
      </c>
      <c r="E37" s="16">
        <v>16.581356</v>
      </c>
      <c r="F37" s="16">
        <v>18.607320999999999</v>
      </c>
      <c r="G37" s="16">
        <v>19.962433000000001</v>
      </c>
      <c r="H37" s="16">
        <v>20.819914000000001</v>
      </c>
      <c r="I37" s="16">
        <v>21.471720000000001</v>
      </c>
      <c r="J37" s="16">
        <v>22.235115</v>
      </c>
      <c r="K37" s="16">
        <v>23.077791000000001</v>
      </c>
      <c r="L37" s="16">
        <v>23.890820999999999</v>
      </c>
      <c r="M37" s="16">
        <v>25.112508999999999</v>
      </c>
      <c r="N37" s="16">
        <v>26.102032000000001</v>
      </c>
      <c r="O37" s="16">
        <v>27.013968999999999</v>
      </c>
      <c r="P37" s="16">
        <v>27.731549999999999</v>
      </c>
      <c r="Q37" s="16">
        <v>28.71949</v>
      </c>
      <c r="R37" s="16">
        <v>29.983726999999998</v>
      </c>
      <c r="S37" s="16">
        <v>31.254953</v>
      </c>
      <c r="T37" s="16">
        <v>32.547741000000002</v>
      </c>
      <c r="U37" s="16">
        <v>33.203128999999997</v>
      </c>
      <c r="V37" s="16">
        <v>34.313858000000003</v>
      </c>
      <c r="W37" s="16">
        <v>35.210177999999999</v>
      </c>
      <c r="X37" s="16">
        <v>36.641171</v>
      </c>
      <c r="Y37" s="16">
        <v>37.453842000000002</v>
      </c>
      <c r="Z37" s="16">
        <v>38.278087999999997</v>
      </c>
      <c r="AA37" s="16">
        <v>39.514000000000003</v>
      </c>
      <c r="AB37" s="16">
        <v>40.556426999999999</v>
      </c>
      <c r="AC37" s="16">
        <v>41.459133000000001</v>
      </c>
      <c r="AD37" s="16">
        <v>42.232700000000001</v>
      </c>
      <c r="AE37" s="16">
        <v>43.115741999999997</v>
      </c>
      <c r="AF37" s="16">
        <v>44.107211999999997</v>
      </c>
      <c r="AG37" s="16">
        <v>45.283295000000003</v>
      </c>
      <c r="AH37" s="16">
        <v>46.60154</v>
      </c>
      <c r="AI37" s="16">
        <v>48.165615000000003</v>
      </c>
      <c r="AJ37" s="16">
        <v>49.54562</v>
      </c>
      <c r="AK37" s="16">
        <v>50.751465000000003</v>
      </c>
      <c r="AL37" s="16">
        <v>52.420394999999999</v>
      </c>
      <c r="AM37" s="13">
        <v>4.0641999999999998E-2</v>
      </c>
    </row>
    <row r="38" spans="1:39" ht="15" customHeight="1" x14ac:dyDescent="0.25">
      <c r="A38" s="7" t="s">
        <v>63</v>
      </c>
      <c r="B38" s="11" t="s">
        <v>44</v>
      </c>
      <c r="C38" s="16">
        <v>6.914873</v>
      </c>
      <c r="D38" s="16">
        <v>5.1523199999999996</v>
      </c>
      <c r="E38" s="16">
        <v>6.8889529999999999</v>
      </c>
      <c r="F38" s="16">
        <v>8.8226790000000008</v>
      </c>
      <c r="G38" s="16">
        <v>10.331255000000001</v>
      </c>
      <c r="H38" s="16">
        <v>11.533595</v>
      </c>
      <c r="I38" s="16">
        <v>12.56701</v>
      </c>
      <c r="J38" s="16">
        <v>13.513472999999999</v>
      </c>
      <c r="K38" s="16">
        <v>14.20824</v>
      </c>
      <c r="L38" s="16">
        <v>14.832635</v>
      </c>
      <c r="M38" s="16">
        <v>15.616804</v>
      </c>
      <c r="N38" s="16">
        <v>16.348852000000001</v>
      </c>
      <c r="O38" s="16">
        <v>16.937664000000002</v>
      </c>
      <c r="P38" s="16">
        <v>17.390806000000001</v>
      </c>
      <c r="Q38" s="16">
        <v>18.082891</v>
      </c>
      <c r="R38" s="16">
        <v>18.951885000000001</v>
      </c>
      <c r="S38" s="16">
        <v>19.877586000000001</v>
      </c>
      <c r="T38" s="16">
        <v>20.835186</v>
      </c>
      <c r="U38" s="16">
        <v>21.213920999999999</v>
      </c>
      <c r="V38" s="16">
        <v>22.019531000000001</v>
      </c>
      <c r="W38" s="16">
        <v>22.633614000000001</v>
      </c>
      <c r="X38" s="16">
        <v>23.708379999999998</v>
      </c>
      <c r="Y38" s="16">
        <v>24.296334999999999</v>
      </c>
      <c r="Z38" s="16">
        <v>24.921123999999999</v>
      </c>
      <c r="AA38" s="16">
        <v>25.690294000000002</v>
      </c>
      <c r="AB38" s="16">
        <v>26.495868999999999</v>
      </c>
      <c r="AC38" s="16">
        <v>27.304808000000001</v>
      </c>
      <c r="AD38" s="16">
        <v>27.869161999999999</v>
      </c>
      <c r="AE38" s="16">
        <v>28.430855000000001</v>
      </c>
      <c r="AF38" s="16">
        <v>29.169339999999998</v>
      </c>
      <c r="AG38" s="16">
        <v>29.967359999999999</v>
      </c>
      <c r="AH38" s="16">
        <v>30.894542999999999</v>
      </c>
      <c r="AI38" s="16">
        <v>31.959897999999999</v>
      </c>
      <c r="AJ38" s="16">
        <v>32.918861</v>
      </c>
      <c r="AK38" s="16">
        <v>33.727581000000001</v>
      </c>
      <c r="AL38" s="16">
        <v>34.941535999999999</v>
      </c>
      <c r="AM38" s="13">
        <v>5.7916000000000002E-2</v>
      </c>
    </row>
    <row r="39" spans="1:39" ht="15" customHeight="1" x14ac:dyDescent="0.25">
      <c r="A39" s="7" t="s">
        <v>64</v>
      </c>
      <c r="B39" s="11" t="s">
        <v>46</v>
      </c>
      <c r="C39" s="16">
        <v>3.479778</v>
      </c>
      <c r="D39" s="16">
        <v>2.5072519999999998</v>
      </c>
      <c r="E39" s="16">
        <v>3.3863189999999999</v>
      </c>
      <c r="F39" s="16">
        <v>5.3787969999999996</v>
      </c>
      <c r="G39" s="16">
        <v>6.8567929999999997</v>
      </c>
      <c r="H39" s="16">
        <v>8.026332</v>
      </c>
      <c r="I39" s="16">
        <v>9.1995839999999998</v>
      </c>
      <c r="J39" s="16">
        <v>10.360473000000001</v>
      </c>
      <c r="K39" s="16">
        <v>10.841745</v>
      </c>
      <c r="L39" s="16">
        <v>11.342409</v>
      </c>
      <c r="M39" s="16">
        <v>11.975838</v>
      </c>
      <c r="N39" s="16">
        <v>12.526916999999999</v>
      </c>
      <c r="O39" s="16">
        <v>12.981702</v>
      </c>
      <c r="P39" s="16">
        <v>13.31636</v>
      </c>
      <c r="Q39" s="16">
        <v>13.841842</v>
      </c>
      <c r="R39" s="16">
        <v>14.539160000000001</v>
      </c>
      <c r="S39" s="16">
        <v>15.218328</v>
      </c>
      <c r="T39" s="16">
        <v>15.955933999999999</v>
      </c>
      <c r="U39" s="16">
        <v>16.276046999999998</v>
      </c>
      <c r="V39" s="16">
        <v>16.894670000000001</v>
      </c>
      <c r="W39" s="16">
        <v>17.360645000000002</v>
      </c>
      <c r="X39" s="16">
        <v>18.186934999999998</v>
      </c>
      <c r="Y39" s="16">
        <v>18.625102999999999</v>
      </c>
      <c r="Z39" s="16">
        <v>19.136696000000001</v>
      </c>
      <c r="AA39" s="16">
        <v>19.836344</v>
      </c>
      <c r="AB39" s="16">
        <v>20.484435999999999</v>
      </c>
      <c r="AC39" s="16">
        <v>20.946096000000001</v>
      </c>
      <c r="AD39" s="16">
        <v>21.457415000000001</v>
      </c>
      <c r="AE39" s="16">
        <v>21.953104</v>
      </c>
      <c r="AF39" s="16">
        <v>22.516207000000001</v>
      </c>
      <c r="AG39" s="16">
        <v>23.141586</v>
      </c>
      <c r="AH39" s="16">
        <v>23.906492</v>
      </c>
      <c r="AI39" s="16">
        <v>24.739118999999999</v>
      </c>
      <c r="AJ39" s="16">
        <v>25.523689000000001</v>
      </c>
      <c r="AK39" s="16">
        <v>26.122408</v>
      </c>
      <c r="AL39" s="16">
        <v>27.068100000000001</v>
      </c>
      <c r="AM39" s="13">
        <v>7.2482000000000005E-2</v>
      </c>
    </row>
    <row r="40" spans="1:39" ht="15" customHeight="1" x14ac:dyDescent="0.25">
      <c r="A40" s="7" t="s">
        <v>65</v>
      </c>
      <c r="B40" s="11" t="s">
        <v>48</v>
      </c>
      <c r="C40" s="16">
        <v>3.35439</v>
      </c>
      <c r="D40" s="16">
        <v>3.22438</v>
      </c>
      <c r="E40" s="16">
        <v>3.9429720000000001</v>
      </c>
      <c r="F40" s="16">
        <v>4.464791</v>
      </c>
      <c r="G40" s="16">
        <v>4.972537</v>
      </c>
      <c r="H40" s="16">
        <v>5.5488020000000002</v>
      </c>
      <c r="I40" s="16">
        <v>5.7129219999999998</v>
      </c>
      <c r="J40" s="16">
        <v>5.8558760000000003</v>
      </c>
      <c r="K40" s="16">
        <v>6.0148159999999997</v>
      </c>
      <c r="L40" s="16">
        <v>6.2017369999999996</v>
      </c>
      <c r="M40" s="16">
        <v>6.4099649999999997</v>
      </c>
      <c r="N40" s="16">
        <v>6.6045449999999999</v>
      </c>
      <c r="O40" s="16">
        <v>6.771312</v>
      </c>
      <c r="P40" s="16">
        <v>7.0340689999999997</v>
      </c>
      <c r="Q40" s="16">
        <v>7.2948009999999996</v>
      </c>
      <c r="R40" s="16">
        <v>7.4892719999999997</v>
      </c>
      <c r="S40" s="16">
        <v>7.7412780000000003</v>
      </c>
      <c r="T40" s="16">
        <v>7.9044889999999999</v>
      </c>
      <c r="U40" s="16">
        <v>8.0311160000000008</v>
      </c>
      <c r="V40" s="16">
        <v>8.1530939999999994</v>
      </c>
      <c r="W40" s="16">
        <v>8.3969450000000005</v>
      </c>
      <c r="X40" s="16">
        <v>8.6374359999999992</v>
      </c>
      <c r="Y40" s="16">
        <v>8.8514920000000004</v>
      </c>
      <c r="Z40" s="16">
        <v>8.9924689999999998</v>
      </c>
      <c r="AA40" s="16">
        <v>9.2198580000000003</v>
      </c>
      <c r="AB40" s="16">
        <v>9.3614270000000008</v>
      </c>
      <c r="AC40" s="16">
        <v>9.4985739999999996</v>
      </c>
      <c r="AD40" s="16">
        <v>9.8359120000000004</v>
      </c>
      <c r="AE40" s="16">
        <v>10.149308</v>
      </c>
      <c r="AF40" s="16">
        <v>10.454656999999999</v>
      </c>
      <c r="AG40" s="16">
        <v>10.80189</v>
      </c>
      <c r="AH40" s="16">
        <v>11.136929</v>
      </c>
      <c r="AI40" s="16">
        <v>11.514149</v>
      </c>
      <c r="AJ40" s="16">
        <v>11.862842000000001</v>
      </c>
      <c r="AK40" s="16">
        <v>12.301978</v>
      </c>
      <c r="AL40" s="16">
        <v>12.62763</v>
      </c>
      <c r="AM40" s="13">
        <v>4.0967999999999997E-2</v>
      </c>
    </row>
    <row r="41" spans="1:39" ht="15" customHeight="1" x14ac:dyDescent="0.25">
      <c r="A41" s="7" t="s">
        <v>66</v>
      </c>
      <c r="B41" s="11" t="s">
        <v>50</v>
      </c>
      <c r="C41" s="16">
        <v>3.9795669999999999</v>
      </c>
      <c r="D41" s="16">
        <v>3.731077</v>
      </c>
      <c r="E41" s="16">
        <v>4.3476340000000002</v>
      </c>
      <c r="F41" s="16">
        <v>4.8105349999999998</v>
      </c>
      <c r="G41" s="16">
        <v>5.3237490000000003</v>
      </c>
      <c r="H41" s="16">
        <v>5.9314669999999996</v>
      </c>
      <c r="I41" s="16">
        <v>6.09429</v>
      </c>
      <c r="J41" s="16">
        <v>6.2373440000000002</v>
      </c>
      <c r="K41" s="16">
        <v>6.3980600000000001</v>
      </c>
      <c r="L41" s="16">
        <v>6.5906779999999996</v>
      </c>
      <c r="M41" s="16">
        <v>6.7834139999999996</v>
      </c>
      <c r="N41" s="16">
        <v>6.9880060000000004</v>
      </c>
      <c r="O41" s="16">
        <v>7.2020359999999997</v>
      </c>
      <c r="P41" s="16">
        <v>7.4694989999999999</v>
      </c>
      <c r="Q41" s="16">
        <v>7.7365259999999996</v>
      </c>
      <c r="R41" s="16">
        <v>7.95282</v>
      </c>
      <c r="S41" s="16">
        <v>8.2248330000000003</v>
      </c>
      <c r="T41" s="16">
        <v>8.3993859999999998</v>
      </c>
      <c r="U41" s="16">
        <v>8.5356520000000007</v>
      </c>
      <c r="V41" s="16">
        <v>8.6582709999999992</v>
      </c>
      <c r="W41" s="16">
        <v>8.9004290000000008</v>
      </c>
      <c r="X41" s="16">
        <v>9.1379950000000001</v>
      </c>
      <c r="Y41" s="16">
        <v>9.3696730000000006</v>
      </c>
      <c r="Z41" s="16">
        <v>9.5228260000000002</v>
      </c>
      <c r="AA41" s="16">
        <v>9.7614370000000008</v>
      </c>
      <c r="AB41" s="16">
        <v>9.9173089999999995</v>
      </c>
      <c r="AC41" s="16">
        <v>10.071045</v>
      </c>
      <c r="AD41" s="16">
        <v>10.425157</v>
      </c>
      <c r="AE41" s="16">
        <v>10.750041</v>
      </c>
      <c r="AF41" s="16">
        <v>11.064626000000001</v>
      </c>
      <c r="AG41" s="16">
        <v>11.42174</v>
      </c>
      <c r="AH41" s="16">
        <v>11.774637</v>
      </c>
      <c r="AI41" s="16">
        <v>12.161619</v>
      </c>
      <c r="AJ41" s="16">
        <v>12.520502</v>
      </c>
      <c r="AK41" s="16">
        <v>12.968268999999999</v>
      </c>
      <c r="AL41" s="16">
        <v>13.296621</v>
      </c>
      <c r="AM41" s="13">
        <v>3.8084E-2</v>
      </c>
    </row>
    <row r="42" spans="1:39" ht="15" customHeight="1" x14ac:dyDescent="0.25">
      <c r="A42" s="7" t="s">
        <v>67</v>
      </c>
      <c r="B42" s="11" t="s">
        <v>52</v>
      </c>
      <c r="C42" s="16">
        <v>5.3561730000000001</v>
      </c>
      <c r="D42" s="16">
        <v>5.641108</v>
      </c>
      <c r="E42" s="16">
        <v>5.918558</v>
      </c>
      <c r="F42" s="16">
        <v>6.1299840000000003</v>
      </c>
      <c r="G42" s="16">
        <v>6.3758609999999996</v>
      </c>
      <c r="H42" s="16">
        <v>6.6623169999999998</v>
      </c>
      <c r="I42" s="16">
        <v>6.904522</v>
      </c>
      <c r="J42" s="16">
        <v>7.1382269999999997</v>
      </c>
      <c r="K42" s="16">
        <v>7.3835100000000002</v>
      </c>
      <c r="L42" s="16">
        <v>7.6474900000000003</v>
      </c>
      <c r="M42" s="16">
        <v>7.934552</v>
      </c>
      <c r="N42" s="16">
        <v>8.2380019999999998</v>
      </c>
      <c r="O42" s="16">
        <v>8.5432780000000008</v>
      </c>
      <c r="P42" s="16">
        <v>8.8658739999999998</v>
      </c>
      <c r="Q42" s="16">
        <v>9.1893860000000007</v>
      </c>
      <c r="R42" s="16">
        <v>9.5238409999999991</v>
      </c>
      <c r="S42" s="16">
        <v>9.8167589999999993</v>
      </c>
      <c r="T42" s="16">
        <v>10.111635</v>
      </c>
      <c r="U42" s="16">
        <v>10.394387</v>
      </c>
      <c r="V42" s="16">
        <v>10.666615999999999</v>
      </c>
      <c r="W42" s="16">
        <v>10.953882999999999</v>
      </c>
      <c r="X42" s="16">
        <v>11.257649000000001</v>
      </c>
      <c r="Y42" s="16">
        <v>11.545032000000001</v>
      </c>
      <c r="Z42" s="16">
        <v>11.821400000000001</v>
      </c>
      <c r="AA42" s="16">
        <v>12.025297</v>
      </c>
      <c r="AB42" s="16">
        <v>12.15178</v>
      </c>
      <c r="AC42" s="16">
        <v>12.280906</v>
      </c>
      <c r="AD42" s="16">
        <v>12.507315999999999</v>
      </c>
      <c r="AE42" s="16">
        <v>12.737784</v>
      </c>
      <c r="AF42" s="16">
        <v>12.978164</v>
      </c>
      <c r="AG42" s="16">
        <v>13.229138000000001</v>
      </c>
      <c r="AH42" s="16">
        <v>13.478424</v>
      </c>
      <c r="AI42" s="16">
        <v>13.744781</v>
      </c>
      <c r="AJ42" s="16">
        <v>13.998087</v>
      </c>
      <c r="AK42" s="16">
        <v>14.258324</v>
      </c>
      <c r="AL42" s="16">
        <v>14.505485999999999</v>
      </c>
      <c r="AM42" s="13">
        <v>2.8167000000000001E-2</v>
      </c>
    </row>
    <row r="43" spans="1:39" ht="15" customHeight="1" x14ac:dyDescent="0.25">
      <c r="A43" s="7" t="s">
        <v>68</v>
      </c>
      <c r="B43" s="11" t="s">
        <v>54</v>
      </c>
      <c r="C43" s="16">
        <v>3.3573219999999999</v>
      </c>
      <c r="D43" s="16">
        <v>3.341151</v>
      </c>
      <c r="E43" s="16">
        <v>3.4135879999999998</v>
      </c>
      <c r="F43" s="16">
        <v>3.541652</v>
      </c>
      <c r="G43" s="16">
        <v>3.6478890000000002</v>
      </c>
      <c r="H43" s="16">
        <v>3.7558929999999999</v>
      </c>
      <c r="I43" s="16">
        <v>3.8400720000000002</v>
      </c>
      <c r="J43" s="16">
        <v>3.9312510000000001</v>
      </c>
      <c r="K43" s="16">
        <v>4.019825</v>
      </c>
      <c r="L43" s="16">
        <v>4.1056629999999998</v>
      </c>
      <c r="M43" s="16">
        <v>4.1879960000000001</v>
      </c>
      <c r="N43" s="16">
        <v>4.2821749999999996</v>
      </c>
      <c r="O43" s="16">
        <v>4.3835639999999998</v>
      </c>
      <c r="P43" s="16">
        <v>4.4971680000000003</v>
      </c>
      <c r="Q43" s="16">
        <v>4.5983590000000003</v>
      </c>
      <c r="R43" s="16">
        <v>4.7168780000000003</v>
      </c>
      <c r="S43" s="16">
        <v>4.8299560000000001</v>
      </c>
      <c r="T43" s="16">
        <v>4.9365420000000002</v>
      </c>
      <c r="U43" s="16">
        <v>5.0365770000000003</v>
      </c>
      <c r="V43" s="16">
        <v>5.1395030000000004</v>
      </c>
      <c r="W43" s="16">
        <v>5.2426560000000002</v>
      </c>
      <c r="X43" s="16">
        <v>5.354241</v>
      </c>
      <c r="Y43" s="16">
        <v>5.4634669999999996</v>
      </c>
      <c r="Z43" s="16">
        <v>5.593286</v>
      </c>
      <c r="AA43" s="16">
        <v>5.7304909999999998</v>
      </c>
      <c r="AB43" s="16">
        <v>5.8825969999999996</v>
      </c>
      <c r="AC43" s="16">
        <v>6.0301859999999996</v>
      </c>
      <c r="AD43" s="16">
        <v>6.1788080000000001</v>
      </c>
      <c r="AE43" s="16">
        <v>6.325564</v>
      </c>
      <c r="AF43" s="16">
        <v>6.4828419999999998</v>
      </c>
      <c r="AG43" s="16">
        <v>6.6452429999999998</v>
      </c>
      <c r="AH43" s="16">
        <v>6.8138449999999997</v>
      </c>
      <c r="AI43" s="16">
        <v>6.9891199999999998</v>
      </c>
      <c r="AJ43" s="16">
        <v>7.1635249999999999</v>
      </c>
      <c r="AK43" s="16">
        <v>7.3437919999999997</v>
      </c>
      <c r="AL43" s="16">
        <v>7.5296969999999996</v>
      </c>
      <c r="AM43" s="13">
        <v>2.4185999999999999E-2</v>
      </c>
    </row>
    <row r="44" spans="1:39" ht="15" customHeight="1" x14ac:dyDescent="0.25">
      <c r="A44" s="7" t="s">
        <v>69</v>
      </c>
      <c r="B44" s="11" t="s">
        <v>56</v>
      </c>
      <c r="C44" s="13" t="s">
        <v>13</v>
      </c>
      <c r="D44" s="13" t="s">
        <v>13</v>
      </c>
      <c r="E44" s="13" t="s">
        <v>13</v>
      </c>
      <c r="F44" s="13" t="s">
        <v>13</v>
      </c>
      <c r="G44" s="13" t="s">
        <v>13</v>
      </c>
      <c r="H44" s="13" t="s">
        <v>13</v>
      </c>
      <c r="I44" s="13" t="s">
        <v>13</v>
      </c>
      <c r="J44" s="13" t="s">
        <v>13</v>
      </c>
      <c r="K44" s="13" t="s">
        <v>13</v>
      </c>
      <c r="L44" s="13" t="s">
        <v>13</v>
      </c>
      <c r="M44" s="13" t="s">
        <v>13</v>
      </c>
      <c r="N44" s="13" t="s">
        <v>13</v>
      </c>
      <c r="O44" s="13" t="s">
        <v>13</v>
      </c>
      <c r="P44" s="13" t="s">
        <v>13</v>
      </c>
      <c r="Q44" s="13" t="s">
        <v>13</v>
      </c>
      <c r="R44" s="13" t="s">
        <v>13</v>
      </c>
      <c r="S44" s="13" t="s">
        <v>13</v>
      </c>
      <c r="T44" s="13" t="s">
        <v>13</v>
      </c>
      <c r="U44" s="13" t="s">
        <v>13</v>
      </c>
      <c r="V44" s="13" t="s">
        <v>13</v>
      </c>
      <c r="W44" s="13" t="s">
        <v>13</v>
      </c>
      <c r="X44" s="13" t="s">
        <v>13</v>
      </c>
      <c r="Y44" s="13" t="s">
        <v>13</v>
      </c>
      <c r="Z44" s="13" t="s">
        <v>13</v>
      </c>
      <c r="AA44" s="13" t="s">
        <v>13</v>
      </c>
      <c r="AB44" s="13" t="s">
        <v>13</v>
      </c>
      <c r="AC44" s="13" t="s">
        <v>13</v>
      </c>
      <c r="AD44" s="13" t="s">
        <v>13</v>
      </c>
      <c r="AE44" s="13" t="s">
        <v>13</v>
      </c>
      <c r="AF44" s="13" t="s">
        <v>13</v>
      </c>
      <c r="AG44" s="13" t="s">
        <v>13</v>
      </c>
      <c r="AH44" s="13" t="s">
        <v>13</v>
      </c>
      <c r="AI44" s="13" t="s">
        <v>13</v>
      </c>
      <c r="AJ44" s="13" t="s">
        <v>13</v>
      </c>
      <c r="AK44" s="13" t="s">
        <v>13</v>
      </c>
      <c r="AL44" s="13" t="s">
        <v>13</v>
      </c>
      <c r="AM44" s="13" t="s">
        <v>13</v>
      </c>
    </row>
    <row r="45" spans="1:39" ht="15" customHeight="1" x14ac:dyDescent="0.25">
      <c r="A45" s="7" t="s">
        <v>70</v>
      </c>
      <c r="B45" s="11" t="s">
        <v>58</v>
      </c>
      <c r="C45" s="16">
        <v>20.251459000000001</v>
      </c>
      <c r="D45" s="16">
        <v>20.370854999999999</v>
      </c>
      <c r="E45" s="16">
        <v>21.055009999999999</v>
      </c>
      <c r="F45" s="16">
        <v>21.006243000000001</v>
      </c>
      <c r="G45" s="16">
        <v>21.703913</v>
      </c>
      <c r="H45" s="16">
        <v>22.475563000000001</v>
      </c>
      <c r="I45" s="16">
        <v>23.151451000000002</v>
      </c>
      <c r="J45" s="16">
        <v>23.767191</v>
      </c>
      <c r="K45" s="16">
        <v>24.238057999999999</v>
      </c>
      <c r="L45" s="16">
        <v>24.719059000000001</v>
      </c>
      <c r="M45" s="16">
        <v>25.430554999999998</v>
      </c>
      <c r="N45" s="16">
        <v>26.105951000000001</v>
      </c>
      <c r="O45" s="16">
        <v>26.721081000000002</v>
      </c>
      <c r="P45" s="16">
        <v>27.405353999999999</v>
      </c>
      <c r="Q45" s="16">
        <v>28.111011999999999</v>
      </c>
      <c r="R45" s="16">
        <v>28.750957</v>
      </c>
      <c r="S45" s="16">
        <v>29.45439</v>
      </c>
      <c r="T45" s="16">
        <v>30.176234999999998</v>
      </c>
      <c r="U45" s="16">
        <v>30.844542000000001</v>
      </c>
      <c r="V45" s="16">
        <v>31.439668999999999</v>
      </c>
      <c r="W45" s="16">
        <v>32.155537000000002</v>
      </c>
      <c r="X45" s="16">
        <v>32.910117999999997</v>
      </c>
      <c r="Y45" s="16">
        <v>33.590828000000002</v>
      </c>
      <c r="Z45" s="16">
        <v>34.303210999999997</v>
      </c>
      <c r="AA45" s="16">
        <v>35.067901999999997</v>
      </c>
      <c r="AB45" s="16">
        <v>35.893290999999998</v>
      </c>
      <c r="AC45" s="16">
        <v>36.527831999999997</v>
      </c>
      <c r="AD45" s="16">
        <v>37.123524000000003</v>
      </c>
      <c r="AE45" s="16">
        <v>37.904784999999997</v>
      </c>
      <c r="AF45" s="16">
        <v>38.784148999999999</v>
      </c>
      <c r="AG45" s="16">
        <v>39.764015000000001</v>
      </c>
      <c r="AH45" s="16">
        <v>40.789211000000002</v>
      </c>
      <c r="AI45" s="16">
        <v>41.837153999999998</v>
      </c>
      <c r="AJ45" s="16">
        <v>42.846381999999998</v>
      </c>
      <c r="AK45" s="16">
        <v>43.869143999999999</v>
      </c>
      <c r="AL45" s="16">
        <v>44.862389</v>
      </c>
      <c r="AM45" s="13">
        <v>2.3491999999999999E-2</v>
      </c>
    </row>
    <row r="48" spans="1:39" ht="15" customHeight="1" x14ac:dyDescent="0.25">
      <c r="B48" s="10" t="s">
        <v>71</v>
      </c>
    </row>
    <row r="49" spans="1:39" ht="15" customHeight="1" x14ac:dyDescent="0.25">
      <c r="B49" s="10" t="s">
        <v>72</v>
      </c>
    </row>
    <row r="50" spans="1:39" ht="15" customHeight="1" x14ac:dyDescent="0.25">
      <c r="A50" s="7" t="s">
        <v>73</v>
      </c>
      <c r="B50" s="11" t="s">
        <v>74</v>
      </c>
      <c r="C50" s="16">
        <v>0.49505900000000003</v>
      </c>
      <c r="D50" s="16">
        <v>0.40945900000000002</v>
      </c>
      <c r="E50" s="16">
        <v>0.21165900000000001</v>
      </c>
      <c r="F50" s="16">
        <v>0.37594</v>
      </c>
      <c r="G50" s="16">
        <v>0.38065300000000002</v>
      </c>
      <c r="H50" s="16">
        <v>0.38391500000000001</v>
      </c>
      <c r="I50" s="16">
        <v>0.38768999999999998</v>
      </c>
      <c r="J50" s="16">
        <v>0.39081500000000002</v>
      </c>
      <c r="K50" s="16">
        <v>0.394789</v>
      </c>
      <c r="L50" s="16">
        <v>0.39755800000000002</v>
      </c>
      <c r="M50" s="16">
        <v>0.39858500000000002</v>
      </c>
      <c r="N50" s="16">
        <v>0.39817000000000002</v>
      </c>
      <c r="O50" s="16">
        <v>0.39751700000000001</v>
      </c>
      <c r="P50" s="16">
        <v>0.39837</v>
      </c>
      <c r="Q50" s="16">
        <v>0.39935799999999999</v>
      </c>
      <c r="R50" s="16">
        <v>0.40033099999999999</v>
      </c>
      <c r="S50" s="16">
        <v>0.40026099999999998</v>
      </c>
      <c r="T50" s="16">
        <v>0.39949600000000002</v>
      </c>
      <c r="U50" s="16">
        <v>0.40012900000000001</v>
      </c>
      <c r="V50" s="16">
        <v>0.40291900000000003</v>
      </c>
      <c r="W50" s="16">
        <v>0.40662999999999999</v>
      </c>
      <c r="X50" s="16">
        <v>0.40806599999999998</v>
      </c>
      <c r="Y50" s="16">
        <v>0.41023799999999999</v>
      </c>
      <c r="Z50" s="16">
        <v>0.41265299999999999</v>
      </c>
      <c r="AA50" s="16">
        <v>0.413997</v>
      </c>
      <c r="AB50" s="16">
        <v>0.41594700000000001</v>
      </c>
      <c r="AC50" s="16">
        <v>0.41811100000000001</v>
      </c>
      <c r="AD50" s="16">
        <v>0.41983399999999998</v>
      </c>
      <c r="AE50" s="16">
        <v>0.42339199999999999</v>
      </c>
      <c r="AF50" s="16">
        <v>0.42688799999999999</v>
      </c>
      <c r="AG50" s="16">
        <v>0.430091</v>
      </c>
      <c r="AH50" s="16">
        <v>0.43318699999999999</v>
      </c>
      <c r="AI50" s="16">
        <v>0.435805</v>
      </c>
      <c r="AJ50" s="16">
        <v>0.43762699999999999</v>
      </c>
      <c r="AK50" s="16">
        <v>0.43981500000000001</v>
      </c>
      <c r="AL50" s="16">
        <v>0.44229299999999999</v>
      </c>
      <c r="AM50" s="13">
        <v>2.271E-3</v>
      </c>
    </row>
    <row r="51" spans="1:39" ht="15" customHeight="1" x14ac:dyDescent="0.25">
      <c r="A51" s="7" t="s">
        <v>75</v>
      </c>
      <c r="B51" s="19" t="s">
        <v>76</v>
      </c>
      <c r="C51" s="16">
        <v>1.9870000000000001</v>
      </c>
      <c r="D51" s="16">
        <v>2.073</v>
      </c>
      <c r="E51" s="16">
        <v>2.3319999999999999</v>
      </c>
      <c r="F51" s="16">
        <v>2.3719999999999999</v>
      </c>
      <c r="G51" s="16">
        <v>2.5059999999999998</v>
      </c>
      <c r="H51" s="16">
        <v>2.563272</v>
      </c>
      <c r="I51" s="16">
        <v>2.6233200000000001</v>
      </c>
      <c r="J51" s="16">
        <v>2.7100170000000001</v>
      </c>
      <c r="K51" s="16">
        <v>2.7880020000000001</v>
      </c>
      <c r="L51" s="16">
        <v>2.844271</v>
      </c>
      <c r="M51" s="16">
        <v>2.8868369999999999</v>
      </c>
      <c r="N51" s="16">
        <v>2.9406699999999999</v>
      </c>
      <c r="O51" s="16">
        <v>2.9585020000000002</v>
      </c>
      <c r="P51" s="16">
        <v>2.972067</v>
      </c>
      <c r="Q51" s="16">
        <v>2.9963120000000001</v>
      </c>
      <c r="R51" s="16">
        <v>3.026602</v>
      </c>
      <c r="S51" s="16">
        <v>3.054808</v>
      </c>
      <c r="T51" s="16">
        <v>3.0776340000000002</v>
      </c>
      <c r="U51" s="16">
        <v>3.088012</v>
      </c>
      <c r="V51" s="16">
        <v>3.120212</v>
      </c>
      <c r="W51" s="16">
        <v>3.145572</v>
      </c>
      <c r="X51" s="16">
        <v>3.1721430000000002</v>
      </c>
      <c r="Y51" s="16">
        <v>3.1932749999999999</v>
      </c>
      <c r="Z51" s="16">
        <v>3.2206480000000002</v>
      </c>
      <c r="AA51" s="16">
        <v>3.255649</v>
      </c>
      <c r="AB51" s="16">
        <v>3.2761849999999999</v>
      </c>
      <c r="AC51" s="16">
        <v>3.2835559999999999</v>
      </c>
      <c r="AD51" s="16">
        <v>3.2855639999999999</v>
      </c>
      <c r="AE51" s="16">
        <v>3.2947950000000001</v>
      </c>
      <c r="AF51" s="16">
        <v>3.3035169999999998</v>
      </c>
      <c r="AG51" s="16">
        <v>3.3103889999999998</v>
      </c>
      <c r="AH51" s="16">
        <v>3.3109299999999999</v>
      </c>
      <c r="AI51" s="16">
        <v>3.3376190000000001</v>
      </c>
      <c r="AJ51" s="16">
        <v>3.3601519999999998</v>
      </c>
      <c r="AK51" s="16">
        <v>3.3838140000000001</v>
      </c>
      <c r="AL51" s="16">
        <v>3.4216090000000001</v>
      </c>
      <c r="AM51" s="13">
        <v>1.4848E-2</v>
      </c>
    </row>
    <row r="52" spans="1:39" ht="15" customHeight="1" x14ac:dyDescent="0.25">
      <c r="A52" s="7" t="s">
        <v>77</v>
      </c>
      <c r="B52" s="11" t="s">
        <v>40</v>
      </c>
      <c r="C52" s="16">
        <v>0.21990000000000001</v>
      </c>
      <c r="D52" s="16">
        <v>0.2243</v>
      </c>
      <c r="E52" s="16">
        <v>0.22489999999999999</v>
      </c>
      <c r="F52" s="16">
        <v>0.22511300000000001</v>
      </c>
      <c r="G52" s="16">
        <v>0.22543099999999999</v>
      </c>
      <c r="H52" s="16">
        <v>0.22559000000000001</v>
      </c>
      <c r="I52" s="16">
        <v>0.225665</v>
      </c>
      <c r="J52" s="16">
        <v>0.22609699999999999</v>
      </c>
      <c r="K52" s="16">
        <v>0.22711600000000001</v>
      </c>
      <c r="L52" s="16">
        <v>0.22806899999999999</v>
      </c>
      <c r="M52" s="16">
        <v>0.22831799999999999</v>
      </c>
      <c r="N52" s="16">
        <v>0.22753899999999999</v>
      </c>
      <c r="O52" s="16">
        <v>0.22648799999999999</v>
      </c>
      <c r="P52" s="16">
        <v>0.226463</v>
      </c>
      <c r="Q52" s="16">
        <v>0.226601</v>
      </c>
      <c r="R52" s="16">
        <v>0.226354</v>
      </c>
      <c r="S52" s="16">
        <v>0.226215</v>
      </c>
      <c r="T52" s="16">
        <v>0.226521</v>
      </c>
      <c r="U52" s="16">
        <v>0.22661500000000001</v>
      </c>
      <c r="V52" s="16">
        <v>0.22736899999999999</v>
      </c>
      <c r="W52" s="16">
        <v>0.22811799999999999</v>
      </c>
      <c r="X52" s="16">
        <v>0.228715</v>
      </c>
      <c r="Y52" s="16">
        <v>0.229436</v>
      </c>
      <c r="Z52" s="16">
        <v>0.230513</v>
      </c>
      <c r="AA52" s="16">
        <v>0.231354</v>
      </c>
      <c r="AB52" s="16">
        <v>0.23180700000000001</v>
      </c>
      <c r="AC52" s="16">
        <v>0.232296</v>
      </c>
      <c r="AD52" s="16">
        <v>0.233019</v>
      </c>
      <c r="AE52" s="16">
        <v>0.23400199999999999</v>
      </c>
      <c r="AF52" s="16">
        <v>0.234792</v>
      </c>
      <c r="AG52" s="16">
        <v>0.235401</v>
      </c>
      <c r="AH52" s="16">
        <v>0.236036</v>
      </c>
      <c r="AI52" s="16">
        <v>0.23682300000000001</v>
      </c>
      <c r="AJ52" s="16">
        <v>0.237761</v>
      </c>
      <c r="AK52" s="16">
        <v>0.23885999999999999</v>
      </c>
      <c r="AL52" s="16">
        <v>0.24023700000000001</v>
      </c>
      <c r="AM52" s="13">
        <v>2.0209999999999998E-3</v>
      </c>
    </row>
    <row r="53" spans="1:39" ht="15" customHeight="1" x14ac:dyDescent="0.25">
      <c r="A53" s="7" t="s">
        <v>78</v>
      </c>
      <c r="B53" s="11" t="s">
        <v>42</v>
      </c>
      <c r="C53" s="16">
        <v>1.333971</v>
      </c>
      <c r="D53" s="16">
        <v>1.289971</v>
      </c>
      <c r="E53" s="16">
        <v>1.3191710000000001</v>
      </c>
      <c r="F53" s="16">
        <v>1.3653999999999999</v>
      </c>
      <c r="G53" s="16">
        <v>1.4102490000000001</v>
      </c>
      <c r="H53" s="16">
        <v>1.4339580000000001</v>
      </c>
      <c r="I53" s="16">
        <v>1.4577100000000001</v>
      </c>
      <c r="J53" s="16">
        <v>1.486831</v>
      </c>
      <c r="K53" s="16">
        <v>1.51831</v>
      </c>
      <c r="L53" s="16">
        <v>1.5369120000000001</v>
      </c>
      <c r="M53" s="16">
        <v>1.548057</v>
      </c>
      <c r="N53" s="16">
        <v>1.5543210000000001</v>
      </c>
      <c r="O53" s="16">
        <v>1.5602339999999999</v>
      </c>
      <c r="P53" s="16">
        <v>1.562713</v>
      </c>
      <c r="Q53" s="16">
        <v>1.56603</v>
      </c>
      <c r="R53" s="16">
        <v>1.570784</v>
      </c>
      <c r="S53" s="16">
        <v>1.574465</v>
      </c>
      <c r="T53" s="16">
        <v>1.574559</v>
      </c>
      <c r="U53" s="16">
        <v>1.5766150000000001</v>
      </c>
      <c r="V53" s="16">
        <v>1.5870979999999999</v>
      </c>
      <c r="W53" s="16">
        <v>1.5999239999999999</v>
      </c>
      <c r="X53" s="16">
        <v>1.6089739999999999</v>
      </c>
      <c r="Y53" s="16">
        <v>1.618447</v>
      </c>
      <c r="Z53" s="16">
        <v>1.6302140000000001</v>
      </c>
      <c r="AA53" s="16">
        <v>1.6393450000000001</v>
      </c>
      <c r="AB53" s="16">
        <v>1.647634</v>
      </c>
      <c r="AC53" s="16">
        <v>1.657359</v>
      </c>
      <c r="AD53" s="16">
        <v>1.666458</v>
      </c>
      <c r="AE53" s="16">
        <v>1.680328</v>
      </c>
      <c r="AF53" s="16">
        <v>1.6945170000000001</v>
      </c>
      <c r="AG53" s="16">
        <v>1.7071160000000001</v>
      </c>
      <c r="AH53" s="16">
        <v>1.7192750000000001</v>
      </c>
      <c r="AI53" s="16">
        <v>1.7310220000000001</v>
      </c>
      <c r="AJ53" s="16">
        <v>1.741978</v>
      </c>
      <c r="AK53" s="16">
        <v>1.7544090000000001</v>
      </c>
      <c r="AL53" s="16">
        <v>1.769379</v>
      </c>
      <c r="AM53" s="13">
        <v>9.3380000000000008E-3</v>
      </c>
    </row>
    <row r="54" spans="1:39" ht="15" customHeight="1" x14ac:dyDescent="0.25">
      <c r="A54" s="7" t="s">
        <v>79</v>
      </c>
      <c r="B54" s="11" t="s">
        <v>44</v>
      </c>
      <c r="C54" s="16">
        <v>3.7816000000000002E-2</v>
      </c>
      <c r="D54" s="16">
        <v>5.1015999999999999E-2</v>
      </c>
      <c r="E54" s="16">
        <v>3.7316000000000002E-2</v>
      </c>
      <c r="F54" s="16">
        <v>3.7276999999999998E-2</v>
      </c>
      <c r="G54" s="16">
        <v>4.1278000000000002E-2</v>
      </c>
      <c r="H54" s="16">
        <v>4.4921000000000003E-2</v>
      </c>
      <c r="I54" s="16">
        <v>4.4889999999999999E-2</v>
      </c>
      <c r="J54" s="16">
        <v>4.5415999999999998E-2</v>
      </c>
      <c r="K54" s="16">
        <v>4.6996999999999997E-2</v>
      </c>
      <c r="L54" s="16">
        <v>4.7966000000000002E-2</v>
      </c>
      <c r="M54" s="16">
        <v>4.7971E-2</v>
      </c>
      <c r="N54" s="16">
        <v>4.8467999999999997E-2</v>
      </c>
      <c r="O54" s="16">
        <v>4.9263000000000001E-2</v>
      </c>
      <c r="P54" s="16">
        <v>4.9724999999999998E-2</v>
      </c>
      <c r="Q54" s="16">
        <v>4.9722000000000002E-2</v>
      </c>
      <c r="R54" s="16">
        <v>4.9217999999999998E-2</v>
      </c>
      <c r="S54" s="16">
        <v>4.8916000000000001E-2</v>
      </c>
      <c r="T54" s="16">
        <v>4.7935999999999999E-2</v>
      </c>
      <c r="U54" s="16">
        <v>4.7828000000000002E-2</v>
      </c>
      <c r="V54" s="16">
        <v>4.6989000000000003E-2</v>
      </c>
      <c r="W54" s="16">
        <v>4.7101999999999998E-2</v>
      </c>
      <c r="X54" s="16">
        <v>4.6535E-2</v>
      </c>
      <c r="Y54" s="16">
        <v>4.6795999999999997E-2</v>
      </c>
      <c r="Z54" s="16">
        <v>4.6755999999999999E-2</v>
      </c>
      <c r="AA54" s="16">
        <v>4.6877000000000002E-2</v>
      </c>
      <c r="AB54" s="16">
        <v>4.6614000000000003E-2</v>
      </c>
      <c r="AC54" s="16">
        <v>4.6285E-2</v>
      </c>
      <c r="AD54" s="16">
        <v>4.7024999999999997E-2</v>
      </c>
      <c r="AE54" s="16">
        <v>4.7745000000000003E-2</v>
      </c>
      <c r="AF54" s="16">
        <v>4.8265000000000002E-2</v>
      </c>
      <c r="AG54" s="16">
        <v>4.8825E-2</v>
      </c>
      <c r="AH54" s="16">
        <v>4.9190999999999999E-2</v>
      </c>
      <c r="AI54" s="16">
        <v>4.9584000000000003E-2</v>
      </c>
      <c r="AJ54" s="16">
        <v>4.9961999999999999E-2</v>
      </c>
      <c r="AK54" s="16">
        <v>5.0768000000000001E-2</v>
      </c>
      <c r="AL54" s="16">
        <v>5.0899E-2</v>
      </c>
      <c r="AM54" s="13">
        <v>-6.7000000000000002E-5</v>
      </c>
    </row>
    <row r="55" spans="1:39" ht="15" customHeight="1" x14ac:dyDescent="0.25">
      <c r="A55" s="7" t="s">
        <v>80</v>
      </c>
      <c r="B55" s="19" t="s">
        <v>81</v>
      </c>
      <c r="C55" s="16">
        <v>0.65710000000000002</v>
      </c>
      <c r="D55" s="16">
        <v>0.65669999999999995</v>
      </c>
      <c r="E55" s="16">
        <v>0.68010000000000004</v>
      </c>
      <c r="F55" s="16">
        <v>0.76151000000000002</v>
      </c>
      <c r="G55" s="16">
        <v>0.84016199999999996</v>
      </c>
      <c r="H55" s="16">
        <v>0.838507</v>
      </c>
      <c r="I55" s="16">
        <v>0.86707199999999995</v>
      </c>
      <c r="J55" s="16">
        <v>0.90500400000000003</v>
      </c>
      <c r="K55" s="16">
        <v>0.93938999999999995</v>
      </c>
      <c r="L55" s="16">
        <v>0.96431</v>
      </c>
      <c r="M55" s="16">
        <v>0.98275900000000005</v>
      </c>
      <c r="N55" s="16">
        <v>1.004864</v>
      </c>
      <c r="O55" s="16">
        <v>1.0125690000000001</v>
      </c>
      <c r="P55" s="16">
        <v>1.01817</v>
      </c>
      <c r="Q55" s="16">
        <v>1.027987</v>
      </c>
      <c r="R55" s="16">
        <v>1.0400510000000001</v>
      </c>
      <c r="S55" s="16">
        <v>1.05155</v>
      </c>
      <c r="T55" s="16">
        <v>1.0610790000000001</v>
      </c>
      <c r="U55" s="16">
        <v>1.0658179999999999</v>
      </c>
      <c r="V55" s="16">
        <v>1.079364</v>
      </c>
      <c r="W55" s="16">
        <v>1.090239</v>
      </c>
      <c r="X55" s="16">
        <v>1.1018969999999999</v>
      </c>
      <c r="Y55" s="16">
        <v>1.1110530000000001</v>
      </c>
      <c r="Z55" s="16">
        <v>1.122978</v>
      </c>
      <c r="AA55" s="16">
        <v>1.138927</v>
      </c>
      <c r="AB55" s="16">
        <v>1.148863</v>
      </c>
      <c r="AC55" s="16">
        <v>1.153035</v>
      </c>
      <c r="AD55" s="16">
        <v>1.1547210000000001</v>
      </c>
      <c r="AE55" s="16">
        <v>1.1588689999999999</v>
      </c>
      <c r="AF55" s="16">
        <v>1.1628609999999999</v>
      </c>
      <c r="AG55" s="16">
        <v>1.1660649999999999</v>
      </c>
      <c r="AH55" s="16">
        <v>1.1658200000000001</v>
      </c>
      <c r="AI55" s="16">
        <v>1.1782630000000001</v>
      </c>
      <c r="AJ55" s="16">
        <v>1.189398</v>
      </c>
      <c r="AK55" s="16">
        <v>1.2012020000000001</v>
      </c>
      <c r="AL55" s="16">
        <v>1.2195560000000001</v>
      </c>
      <c r="AM55" s="13">
        <v>1.8373E-2</v>
      </c>
    </row>
    <row r="56" spans="1:39" ht="15" customHeight="1" x14ac:dyDescent="0.25">
      <c r="A56" s="7" t="s">
        <v>82</v>
      </c>
      <c r="B56" s="19" t="s">
        <v>83</v>
      </c>
      <c r="C56" s="16">
        <v>0.147392</v>
      </c>
      <c r="D56" s="16">
        <v>0.16203100000000001</v>
      </c>
      <c r="E56" s="16">
        <v>0.24076700000000001</v>
      </c>
      <c r="F56" s="16">
        <v>0.20343</v>
      </c>
      <c r="G56" s="16">
        <v>0.183701</v>
      </c>
      <c r="H56" s="16">
        <v>0.17860300000000001</v>
      </c>
      <c r="I56" s="16">
        <v>0.16860700000000001</v>
      </c>
      <c r="J56" s="16">
        <v>0.159244</v>
      </c>
      <c r="K56" s="16">
        <v>0.15343300000000001</v>
      </c>
      <c r="L56" s="16">
        <v>0.15178800000000001</v>
      </c>
      <c r="M56" s="16">
        <v>0.14754</v>
      </c>
      <c r="N56" s="16">
        <v>0.143791</v>
      </c>
      <c r="O56" s="16">
        <v>0.14222499999999999</v>
      </c>
      <c r="P56" s="16">
        <v>0.14459</v>
      </c>
      <c r="Q56" s="16">
        <v>0.14584800000000001</v>
      </c>
      <c r="R56" s="16">
        <v>0.14587600000000001</v>
      </c>
      <c r="S56" s="16">
        <v>0.14466200000000001</v>
      </c>
      <c r="T56" s="16">
        <v>0.14297000000000001</v>
      </c>
      <c r="U56" s="16">
        <v>0.143703</v>
      </c>
      <c r="V56" s="16">
        <v>0.143954</v>
      </c>
      <c r="W56" s="16">
        <v>0.14563699999999999</v>
      </c>
      <c r="X56" s="16">
        <v>0.14572399999999999</v>
      </c>
      <c r="Y56" s="16">
        <v>0.147256</v>
      </c>
      <c r="Z56" s="16">
        <v>0.14854500000000001</v>
      </c>
      <c r="AA56" s="16">
        <v>0.149697</v>
      </c>
      <c r="AB56" s="16">
        <v>0.15038699999999999</v>
      </c>
      <c r="AC56" s="16">
        <v>0.15091599999999999</v>
      </c>
      <c r="AD56" s="16">
        <v>0.152975</v>
      </c>
      <c r="AE56" s="16">
        <v>0.15554000000000001</v>
      </c>
      <c r="AF56" s="16">
        <v>0.15765699999999999</v>
      </c>
      <c r="AG56" s="16">
        <v>0.15939800000000001</v>
      </c>
      <c r="AH56" s="16">
        <v>0.160715</v>
      </c>
      <c r="AI56" s="16">
        <v>0.16184799999999999</v>
      </c>
      <c r="AJ56" s="16">
        <v>0.16268199999999999</v>
      </c>
      <c r="AK56" s="16">
        <v>0.164377</v>
      </c>
      <c r="AL56" s="16">
        <v>0.164852</v>
      </c>
      <c r="AM56" s="13">
        <v>5.0799999999999999E-4</v>
      </c>
    </row>
    <row r="57" spans="1:39" ht="15" customHeight="1" x14ac:dyDescent="0.25">
      <c r="A57" s="7" t="s">
        <v>84</v>
      </c>
      <c r="B57" s="19" t="s">
        <v>46</v>
      </c>
      <c r="C57" s="16">
        <v>0.83169999999999999</v>
      </c>
      <c r="D57" s="16">
        <v>0.86480000000000001</v>
      </c>
      <c r="E57" s="16">
        <v>0.88790000000000002</v>
      </c>
      <c r="F57" s="16">
        <v>0.92293000000000003</v>
      </c>
      <c r="G57" s="16">
        <v>0.91823399999999999</v>
      </c>
      <c r="H57" s="16">
        <v>0.87751800000000002</v>
      </c>
      <c r="I57" s="16">
        <v>0.87732600000000005</v>
      </c>
      <c r="J57" s="16">
        <v>0.88183900000000004</v>
      </c>
      <c r="K57" s="16">
        <v>0.89540200000000003</v>
      </c>
      <c r="L57" s="16">
        <v>0.90592300000000003</v>
      </c>
      <c r="M57" s="16">
        <v>0.91167399999999998</v>
      </c>
      <c r="N57" s="16">
        <v>0.91922899999999996</v>
      </c>
      <c r="O57" s="16">
        <v>0.93424200000000002</v>
      </c>
      <c r="P57" s="16">
        <v>0.95483499999999999</v>
      </c>
      <c r="Q57" s="16">
        <v>0.97688600000000003</v>
      </c>
      <c r="R57" s="16">
        <v>1.003552</v>
      </c>
      <c r="S57" s="16">
        <v>1.031876</v>
      </c>
      <c r="T57" s="16">
        <v>1.0546089999999999</v>
      </c>
      <c r="U57" s="16">
        <v>1.078721</v>
      </c>
      <c r="V57" s="16">
        <v>1.1038539999999999</v>
      </c>
      <c r="W57" s="16">
        <v>1.1278349999999999</v>
      </c>
      <c r="X57" s="16">
        <v>1.1513329999999999</v>
      </c>
      <c r="Y57" s="16">
        <v>1.1761509999999999</v>
      </c>
      <c r="Z57" s="16">
        <v>1.2020379999999999</v>
      </c>
      <c r="AA57" s="16">
        <v>1.2288920000000001</v>
      </c>
      <c r="AB57" s="16">
        <v>1.256262</v>
      </c>
      <c r="AC57" s="16">
        <v>1.2840990000000001</v>
      </c>
      <c r="AD57" s="16">
        <v>1.3125519999999999</v>
      </c>
      <c r="AE57" s="16">
        <v>1.3417539999999999</v>
      </c>
      <c r="AF57" s="16">
        <v>1.3717299999999999</v>
      </c>
      <c r="AG57" s="16">
        <v>1.401856</v>
      </c>
      <c r="AH57" s="16">
        <v>1.432274</v>
      </c>
      <c r="AI57" s="16">
        <v>1.463516</v>
      </c>
      <c r="AJ57" s="16">
        <v>1.4952559999999999</v>
      </c>
      <c r="AK57" s="16">
        <v>1.5276380000000001</v>
      </c>
      <c r="AL57" s="16">
        <v>1.560454</v>
      </c>
      <c r="AM57" s="13">
        <v>1.7510999999999999E-2</v>
      </c>
    </row>
    <row r="58" spans="1:39" ht="15" customHeight="1" x14ac:dyDescent="0.25">
      <c r="A58" s="7" t="s">
        <v>85</v>
      </c>
      <c r="B58" s="11" t="s">
        <v>86</v>
      </c>
      <c r="C58" s="16">
        <v>0.43080000000000002</v>
      </c>
      <c r="D58" s="16">
        <v>0.42799999999999999</v>
      </c>
      <c r="E58" s="16">
        <v>0.43340000000000001</v>
      </c>
      <c r="F58" s="16">
        <v>0.42150500000000002</v>
      </c>
      <c r="G58" s="16">
        <v>0.41427799999999998</v>
      </c>
      <c r="H58" s="16">
        <v>0.41273100000000001</v>
      </c>
      <c r="I58" s="16">
        <v>0.41211799999999998</v>
      </c>
      <c r="J58" s="16">
        <v>0.411966</v>
      </c>
      <c r="K58" s="16">
        <v>0.41101300000000002</v>
      </c>
      <c r="L58" s="16">
        <v>0.41026899999999999</v>
      </c>
      <c r="M58" s="16">
        <v>0.406669</v>
      </c>
      <c r="N58" s="16">
        <v>0.401422</v>
      </c>
      <c r="O58" s="16">
        <v>0.397148</v>
      </c>
      <c r="P58" s="16">
        <v>0.39685799999999999</v>
      </c>
      <c r="Q58" s="16">
        <v>0.39646700000000001</v>
      </c>
      <c r="R58" s="16">
        <v>0.39593800000000001</v>
      </c>
      <c r="S58" s="16">
        <v>0.39439800000000003</v>
      </c>
      <c r="T58" s="16">
        <v>0.39259100000000002</v>
      </c>
      <c r="U58" s="16">
        <v>0.39258100000000001</v>
      </c>
      <c r="V58" s="16">
        <v>0.39408900000000002</v>
      </c>
      <c r="W58" s="16">
        <v>0.396152</v>
      </c>
      <c r="X58" s="16">
        <v>0.39683499999999999</v>
      </c>
      <c r="Y58" s="16">
        <v>0.39815</v>
      </c>
      <c r="Z58" s="16">
        <v>0.40097699999999997</v>
      </c>
      <c r="AA58" s="16">
        <v>0.40276400000000001</v>
      </c>
      <c r="AB58" s="16">
        <v>0.40421899999999999</v>
      </c>
      <c r="AC58" s="16">
        <v>0.40576200000000001</v>
      </c>
      <c r="AD58" s="16">
        <v>0.40681800000000001</v>
      </c>
      <c r="AE58" s="16">
        <v>0.40927000000000002</v>
      </c>
      <c r="AF58" s="16">
        <v>0.41189500000000001</v>
      </c>
      <c r="AG58" s="16">
        <v>0.41414099999999998</v>
      </c>
      <c r="AH58" s="16">
        <v>0.41649000000000003</v>
      </c>
      <c r="AI58" s="16">
        <v>0.41847899999999999</v>
      </c>
      <c r="AJ58" s="16">
        <v>0.42048099999999999</v>
      </c>
      <c r="AK58" s="16">
        <v>0.42256100000000002</v>
      </c>
      <c r="AL58" s="16">
        <v>0.42520200000000002</v>
      </c>
      <c r="AM58" s="13">
        <v>-1.93E-4</v>
      </c>
    </row>
    <row r="59" spans="1:39" ht="15" customHeight="1" x14ac:dyDescent="0.25">
      <c r="A59" s="7" t="s">
        <v>87</v>
      </c>
      <c r="B59" s="11" t="s">
        <v>88</v>
      </c>
      <c r="C59" s="16">
        <v>6.1407389999999999</v>
      </c>
      <c r="D59" s="16">
        <v>6.1592770000000003</v>
      </c>
      <c r="E59" s="16">
        <v>6.3672129999999996</v>
      </c>
      <c r="F59" s="16">
        <v>6.6851050000000001</v>
      </c>
      <c r="G59" s="16">
        <v>6.9199859999999997</v>
      </c>
      <c r="H59" s="16">
        <v>6.9590139999999998</v>
      </c>
      <c r="I59" s="16">
        <v>7.0643979999999997</v>
      </c>
      <c r="J59" s="16">
        <v>7.2172270000000003</v>
      </c>
      <c r="K59" s="16">
        <v>7.3744519999999998</v>
      </c>
      <c r="L59" s="16">
        <v>7.4870669999999997</v>
      </c>
      <c r="M59" s="16">
        <v>7.5584090000000002</v>
      </c>
      <c r="N59" s="16">
        <v>7.6384749999999997</v>
      </c>
      <c r="O59" s="16">
        <v>7.6781879999999996</v>
      </c>
      <c r="P59" s="16">
        <v>7.7237910000000003</v>
      </c>
      <c r="Q59" s="16">
        <v>7.7852100000000002</v>
      </c>
      <c r="R59" s="16">
        <v>7.8587059999999997</v>
      </c>
      <c r="S59" s="16">
        <v>7.9271529999999997</v>
      </c>
      <c r="T59" s="16">
        <v>7.9773969999999998</v>
      </c>
      <c r="U59" s="16">
        <v>8.0200209999999998</v>
      </c>
      <c r="V59" s="16">
        <v>8.1058459999999997</v>
      </c>
      <c r="W59" s="16">
        <v>8.1872089999999993</v>
      </c>
      <c r="X59" s="16">
        <v>8.2602200000000003</v>
      </c>
      <c r="Y59" s="16">
        <v>8.3308029999999995</v>
      </c>
      <c r="Z59" s="16">
        <v>8.4153210000000005</v>
      </c>
      <c r="AA59" s="16">
        <v>8.5075029999999998</v>
      </c>
      <c r="AB59" s="16">
        <v>8.5779180000000004</v>
      </c>
      <c r="AC59" s="16">
        <v>8.6314200000000003</v>
      </c>
      <c r="AD59" s="16">
        <v>8.6789660000000008</v>
      </c>
      <c r="AE59" s="16">
        <v>8.7456940000000003</v>
      </c>
      <c r="AF59" s="16">
        <v>8.8121220000000005</v>
      </c>
      <c r="AG59" s="16">
        <v>8.8732819999999997</v>
      </c>
      <c r="AH59" s="16">
        <v>8.9239189999999997</v>
      </c>
      <c r="AI59" s="16">
        <v>9.0129579999999994</v>
      </c>
      <c r="AJ59" s="16">
        <v>9.0952970000000004</v>
      </c>
      <c r="AK59" s="16">
        <v>9.1834450000000007</v>
      </c>
      <c r="AL59" s="16">
        <v>9.2944800000000001</v>
      </c>
      <c r="AM59" s="13">
        <v>1.2175E-2</v>
      </c>
    </row>
    <row r="60" spans="1:39" ht="15" customHeight="1" x14ac:dyDescent="0.25">
      <c r="A60" s="7" t="s">
        <v>89</v>
      </c>
      <c r="B60" s="11" t="s">
        <v>48</v>
      </c>
      <c r="C60" s="16">
        <v>5.6275469999999999</v>
      </c>
      <c r="D60" s="16">
        <v>5.7502019999999998</v>
      </c>
      <c r="E60" s="16">
        <v>5.7268829999999999</v>
      </c>
      <c r="F60" s="16">
        <v>5.8962110000000001</v>
      </c>
      <c r="G60" s="16">
        <v>5.9971709999999998</v>
      </c>
      <c r="H60" s="16">
        <v>6.0559719999999997</v>
      </c>
      <c r="I60" s="16">
        <v>6.1883809999999997</v>
      </c>
      <c r="J60" s="16">
        <v>6.3315109999999999</v>
      </c>
      <c r="K60" s="16">
        <v>6.453932</v>
      </c>
      <c r="L60" s="16">
        <v>6.5305299999999997</v>
      </c>
      <c r="M60" s="16">
        <v>6.5769149999999996</v>
      </c>
      <c r="N60" s="16">
        <v>6.5979979999999996</v>
      </c>
      <c r="O60" s="16">
        <v>6.6164160000000001</v>
      </c>
      <c r="P60" s="16">
        <v>6.6211919999999997</v>
      </c>
      <c r="Q60" s="16">
        <v>6.6365590000000001</v>
      </c>
      <c r="R60" s="16">
        <v>6.6564249999999996</v>
      </c>
      <c r="S60" s="16">
        <v>6.6698310000000003</v>
      </c>
      <c r="T60" s="16">
        <v>6.6956020000000001</v>
      </c>
      <c r="U60" s="16">
        <v>6.7253819999999997</v>
      </c>
      <c r="V60" s="16">
        <v>6.7784750000000003</v>
      </c>
      <c r="W60" s="16">
        <v>6.8185960000000003</v>
      </c>
      <c r="X60" s="16">
        <v>6.8609080000000002</v>
      </c>
      <c r="Y60" s="16">
        <v>6.9056980000000001</v>
      </c>
      <c r="Z60" s="16">
        <v>6.967835</v>
      </c>
      <c r="AA60" s="16">
        <v>7.0213150000000004</v>
      </c>
      <c r="AB60" s="16">
        <v>7.0764209999999999</v>
      </c>
      <c r="AC60" s="16">
        <v>7.1289819999999997</v>
      </c>
      <c r="AD60" s="16">
        <v>7.1706099999999999</v>
      </c>
      <c r="AE60" s="16">
        <v>7.224145</v>
      </c>
      <c r="AF60" s="16">
        <v>7.2841379999999996</v>
      </c>
      <c r="AG60" s="16">
        <v>7.3418489999999998</v>
      </c>
      <c r="AH60" s="16">
        <v>7.4004149999999997</v>
      </c>
      <c r="AI60" s="16">
        <v>7.4667620000000001</v>
      </c>
      <c r="AJ60" s="16">
        <v>7.5402959999999997</v>
      </c>
      <c r="AK60" s="16">
        <v>7.6155229999999996</v>
      </c>
      <c r="AL60" s="16">
        <v>7.7062309999999998</v>
      </c>
      <c r="AM60" s="13">
        <v>8.6490000000000004E-3</v>
      </c>
    </row>
    <row r="61" spans="1:39" ht="15" customHeight="1" x14ac:dyDescent="0.25">
      <c r="A61" s="7" t="s">
        <v>90</v>
      </c>
      <c r="B61" s="19" t="s">
        <v>50</v>
      </c>
      <c r="C61" s="16">
        <v>0.71899999999999997</v>
      </c>
      <c r="D61" s="16">
        <v>0.81100000000000005</v>
      </c>
      <c r="E61" s="16">
        <v>0.95599999999999996</v>
      </c>
      <c r="F61" s="16">
        <v>1.0349999999999999</v>
      </c>
      <c r="G61" s="16">
        <v>1.0960000000000001</v>
      </c>
      <c r="H61" s="16">
        <v>1.1186750000000001</v>
      </c>
      <c r="I61" s="16">
        <v>1.1469579999999999</v>
      </c>
      <c r="J61" s="16">
        <v>1.1775990000000001</v>
      </c>
      <c r="K61" s="16">
        <v>1.202985</v>
      </c>
      <c r="L61" s="16">
        <v>1.220229</v>
      </c>
      <c r="M61" s="16">
        <v>1.23468</v>
      </c>
      <c r="N61" s="16">
        <v>1.2529300000000001</v>
      </c>
      <c r="O61" s="16">
        <v>1.256051</v>
      </c>
      <c r="P61" s="16">
        <v>1.253765</v>
      </c>
      <c r="Q61" s="16">
        <v>1.2563610000000001</v>
      </c>
      <c r="R61" s="16">
        <v>1.2599130000000001</v>
      </c>
      <c r="S61" s="16">
        <v>1.2623409999999999</v>
      </c>
      <c r="T61" s="16">
        <v>1.2707379999999999</v>
      </c>
      <c r="U61" s="16">
        <v>1.2668010000000001</v>
      </c>
      <c r="V61" s="16">
        <v>1.271307</v>
      </c>
      <c r="W61" s="16">
        <v>1.2745040000000001</v>
      </c>
      <c r="X61" s="16">
        <v>1.2786379999999999</v>
      </c>
      <c r="Y61" s="16">
        <v>1.282008</v>
      </c>
      <c r="Z61" s="16">
        <v>1.2858000000000001</v>
      </c>
      <c r="AA61" s="16">
        <v>1.296084</v>
      </c>
      <c r="AB61" s="16">
        <v>1.301153</v>
      </c>
      <c r="AC61" s="16">
        <v>1.298748</v>
      </c>
      <c r="AD61" s="16">
        <v>1.2944770000000001</v>
      </c>
      <c r="AE61" s="16">
        <v>1.295269</v>
      </c>
      <c r="AF61" s="16">
        <v>1.293288</v>
      </c>
      <c r="AG61" s="16">
        <v>1.292087</v>
      </c>
      <c r="AH61" s="16">
        <v>1.2885249999999999</v>
      </c>
      <c r="AI61" s="16">
        <v>1.2921290000000001</v>
      </c>
      <c r="AJ61" s="16">
        <v>1.292451</v>
      </c>
      <c r="AK61" s="16">
        <v>1.293614</v>
      </c>
      <c r="AL61" s="16">
        <v>1.2972090000000001</v>
      </c>
      <c r="AM61" s="13">
        <v>1.3911E-2</v>
      </c>
    </row>
    <row r="62" spans="1:39" ht="15" customHeight="1" x14ac:dyDescent="0.25">
      <c r="A62" s="7" t="s">
        <v>91</v>
      </c>
      <c r="B62" s="11" t="s">
        <v>92</v>
      </c>
      <c r="C62" s="16">
        <v>1.630905</v>
      </c>
      <c r="D62" s="16">
        <v>1.616825</v>
      </c>
      <c r="E62" s="16">
        <v>1.68842</v>
      </c>
      <c r="F62" s="16">
        <v>1.7088950000000001</v>
      </c>
      <c r="G62" s="16">
        <v>1.70279</v>
      </c>
      <c r="H62" s="16">
        <v>1.694499</v>
      </c>
      <c r="I62" s="16">
        <v>1.703408</v>
      </c>
      <c r="J62" s="16">
        <v>1.722645</v>
      </c>
      <c r="K62" s="16">
        <v>1.7444729999999999</v>
      </c>
      <c r="L62" s="16">
        <v>1.766059</v>
      </c>
      <c r="M62" s="16">
        <v>1.7859970000000001</v>
      </c>
      <c r="N62" s="16">
        <v>1.8138570000000001</v>
      </c>
      <c r="O62" s="16">
        <v>1.81101</v>
      </c>
      <c r="P62" s="16">
        <v>1.821375</v>
      </c>
      <c r="Q62" s="16">
        <v>1.8285940000000001</v>
      </c>
      <c r="R62" s="16">
        <v>1.832355</v>
      </c>
      <c r="S62" s="16">
        <v>1.835213</v>
      </c>
      <c r="T62" s="16">
        <v>1.84158</v>
      </c>
      <c r="U62" s="16">
        <v>1.8469599999999999</v>
      </c>
      <c r="V62" s="16">
        <v>1.861024</v>
      </c>
      <c r="W62" s="16">
        <v>1.8864350000000001</v>
      </c>
      <c r="X62" s="16">
        <v>1.9088769999999999</v>
      </c>
      <c r="Y62" s="16">
        <v>1.925575</v>
      </c>
      <c r="Z62" s="16">
        <v>1.939297</v>
      </c>
      <c r="AA62" s="16">
        <v>1.9537009999999999</v>
      </c>
      <c r="AB62" s="16">
        <v>1.9663980000000001</v>
      </c>
      <c r="AC62" s="16">
        <v>1.976197</v>
      </c>
      <c r="AD62" s="16">
        <v>1.9783770000000001</v>
      </c>
      <c r="AE62" s="16">
        <v>1.98349</v>
      </c>
      <c r="AF62" s="16">
        <v>1.9930220000000001</v>
      </c>
      <c r="AG62" s="16">
        <v>2.001042</v>
      </c>
      <c r="AH62" s="16">
        <v>2.0148869999999999</v>
      </c>
      <c r="AI62" s="16">
        <v>2.0272890000000001</v>
      </c>
      <c r="AJ62" s="16">
        <v>2.0385330000000002</v>
      </c>
      <c r="AK62" s="16">
        <v>2.0481029999999998</v>
      </c>
      <c r="AL62" s="16">
        <v>2.0583689999999999</v>
      </c>
      <c r="AM62" s="13">
        <v>7.1269999999999997E-3</v>
      </c>
    </row>
    <row r="63" spans="1:39" ht="15" customHeight="1" x14ac:dyDescent="0.25">
      <c r="A63" s="7" t="s">
        <v>93</v>
      </c>
      <c r="B63" s="11" t="s">
        <v>94</v>
      </c>
      <c r="C63" s="16">
        <v>0</v>
      </c>
      <c r="D63" s="16">
        <v>1.6396000000000001E-2</v>
      </c>
      <c r="E63" s="16">
        <v>5.5049000000000001E-2</v>
      </c>
      <c r="F63" s="16">
        <v>0.105097</v>
      </c>
      <c r="G63" s="16">
        <v>0.19354299999999999</v>
      </c>
      <c r="H63" s="16">
        <v>0.30096499999999998</v>
      </c>
      <c r="I63" s="16">
        <v>0.31367</v>
      </c>
      <c r="J63" s="16">
        <v>0.33433000000000002</v>
      </c>
      <c r="K63" s="16">
        <v>0.35499000000000003</v>
      </c>
      <c r="L63" s="16">
        <v>0.38253700000000002</v>
      </c>
      <c r="M63" s="16">
        <v>0.38942399999999999</v>
      </c>
      <c r="N63" s="16">
        <v>0.40319700000000003</v>
      </c>
      <c r="O63" s="16">
        <v>0.410084</v>
      </c>
      <c r="P63" s="16">
        <v>0.42385699999999998</v>
      </c>
      <c r="Q63" s="16">
        <v>0.43074400000000002</v>
      </c>
      <c r="R63" s="16">
        <v>0.43763000000000002</v>
      </c>
      <c r="S63" s="16">
        <v>0.444517</v>
      </c>
      <c r="T63" s="16">
        <v>0.45140400000000003</v>
      </c>
      <c r="U63" s="16">
        <v>0.45828999999999998</v>
      </c>
      <c r="V63" s="16">
        <v>0.45828999999999998</v>
      </c>
      <c r="W63" s="16">
        <v>0.46517700000000001</v>
      </c>
      <c r="X63" s="16">
        <v>0.47206399999999998</v>
      </c>
      <c r="Y63" s="16">
        <v>0.47894999999999999</v>
      </c>
      <c r="Z63" s="16">
        <v>0.47894999999999999</v>
      </c>
      <c r="AA63" s="16">
        <v>0.47894999999999999</v>
      </c>
      <c r="AB63" s="16">
        <v>0.47894999999999999</v>
      </c>
      <c r="AC63" s="16">
        <v>0.47894999999999999</v>
      </c>
      <c r="AD63" s="16">
        <v>0.47894999999999999</v>
      </c>
      <c r="AE63" s="16">
        <v>0.47894999999999999</v>
      </c>
      <c r="AF63" s="16">
        <v>0.47894999999999999</v>
      </c>
      <c r="AG63" s="16">
        <v>0.47894999999999999</v>
      </c>
      <c r="AH63" s="16">
        <v>0.47894999999999999</v>
      </c>
      <c r="AI63" s="16">
        <v>0.47894999999999999</v>
      </c>
      <c r="AJ63" s="16">
        <v>0.47894999999999999</v>
      </c>
      <c r="AK63" s="16">
        <v>0.47894999999999999</v>
      </c>
      <c r="AL63" s="16">
        <v>0.47894999999999999</v>
      </c>
      <c r="AM63" s="13">
        <v>0.10434499999999999</v>
      </c>
    </row>
    <row r="64" spans="1:39" ht="15" customHeight="1" x14ac:dyDescent="0.25">
      <c r="A64" s="7" t="s">
        <v>95</v>
      </c>
      <c r="B64" s="11" t="s">
        <v>96</v>
      </c>
      <c r="C64" s="16">
        <v>7.9774520000000004</v>
      </c>
      <c r="D64" s="16">
        <v>8.1944219999999994</v>
      </c>
      <c r="E64" s="16">
        <v>8.4263519999999996</v>
      </c>
      <c r="F64" s="16">
        <v>8.7452030000000001</v>
      </c>
      <c r="G64" s="16">
        <v>8.9895040000000002</v>
      </c>
      <c r="H64" s="16">
        <v>9.1701099999999993</v>
      </c>
      <c r="I64" s="16">
        <v>9.3524180000000001</v>
      </c>
      <c r="J64" s="16">
        <v>9.5660860000000003</v>
      </c>
      <c r="K64" s="16">
        <v>9.7563809999999993</v>
      </c>
      <c r="L64" s="16">
        <v>9.8993549999999999</v>
      </c>
      <c r="M64" s="16">
        <v>9.9870160000000006</v>
      </c>
      <c r="N64" s="16">
        <v>10.067983</v>
      </c>
      <c r="O64" s="16">
        <v>10.093560999999999</v>
      </c>
      <c r="P64" s="16">
        <v>10.120189999999999</v>
      </c>
      <c r="Q64" s="16">
        <v>10.152259000000001</v>
      </c>
      <c r="R64" s="16">
        <v>10.186324000000001</v>
      </c>
      <c r="S64" s="16">
        <v>10.211903</v>
      </c>
      <c r="T64" s="16">
        <v>10.259323999999999</v>
      </c>
      <c r="U64" s="16">
        <v>10.297434000000001</v>
      </c>
      <c r="V64" s="16">
        <v>10.369096000000001</v>
      </c>
      <c r="W64" s="16">
        <v>10.444713</v>
      </c>
      <c r="X64" s="16">
        <v>10.520486</v>
      </c>
      <c r="Y64" s="16">
        <v>10.592231999999999</v>
      </c>
      <c r="Z64" s="16">
        <v>10.671882999999999</v>
      </c>
      <c r="AA64" s="16">
        <v>10.750050999999999</v>
      </c>
      <c r="AB64" s="16">
        <v>10.822922999999999</v>
      </c>
      <c r="AC64" s="16">
        <v>10.882877000000001</v>
      </c>
      <c r="AD64" s="16">
        <v>10.922414</v>
      </c>
      <c r="AE64" s="16">
        <v>10.981854</v>
      </c>
      <c r="AF64" s="16">
        <v>11.049398</v>
      </c>
      <c r="AG64" s="16">
        <v>11.113928</v>
      </c>
      <c r="AH64" s="16">
        <v>11.182777</v>
      </c>
      <c r="AI64" s="16">
        <v>11.265129999999999</v>
      </c>
      <c r="AJ64" s="16">
        <v>11.35023</v>
      </c>
      <c r="AK64" s="16">
        <v>11.436191000000001</v>
      </c>
      <c r="AL64" s="16">
        <v>11.540760000000001</v>
      </c>
      <c r="AM64" s="13">
        <v>1.0122000000000001E-2</v>
      </c>
    </row>
    <row r="65" spans="1:39" ht="15" customHeight="1" x14ac:dyDescent="0.25">
      <c r="A65" s="7" t="s">
        <v>97</v>
      </c>
      <c r="B65" s="19" t="s">
        <v>98</v>
      </c>
      <c r="C65" s="16">
        <v>0.54379999999999995</v>
      </c>
      <c r="D65" s="16">
        <v>0.52029999999999998</v>
      </c>
      <c r="E65" s="16">
        <v>0.52710000000000001</v>
      </c>
      <c r="F65" s="16">
        <v>0.49096499999999998</v>
      </c>
      <c r="G65" s="16">
        <v>0.47626600000000002</v>
      </c>
      <c r="H65" s="16">
        <v>0.47601500000000002</v>
      </c>
      <c r="I65" s="16">
        <v>0.48369899999999999</v>
      </c>
      <c r="J65" s="16">
        <v>0.47713100000000003</v>
      </c>
      <c r="K65" s="16">
        <v>0.467532</v>
      </c>
      <c r="L65" s="16">
        <v>0.45394699999999999</v>
      </c>
      <c r="M65" s="16">
        <v>0.43552800000000003</v>
      </c>
      <c r="N65" s="16">
        <v>0.413107</v>
      </c>
      <c r="O65" s="16">
        <v>0.39643699999999998</v>
      </c>
      <c r="P65" s="16">
        <v>0.37982100000000002</v>
      </c>
      <c r="Q65" s="16">
        <v>0.370116</v>
      </c>
      <c r="R65" s="16">
        <v>0.35934899999999997</v>
      </c>
      <c r="S65" s="16">
        <v>0.34200199999999997</v>
      </c>
      <c r="T65" s="16">
        <v>0.32839600000000002</v>
      </c>
      <c r="U65" s="16">
        <v>0.32395600000000002</v>
      </c>
      <c r="V65" s="16">
        <v>0.31348999999999999</v>
      </c>
      <c r="W65" s="16">
        <v>0.308253</v>
      </c>
      <c r="X65" s="16">
        <v>0.30017199999999999</v>
      </c>
      <c r="Y65" s="16">
        <v>0.295705</v>
      </c>
      <c r="Z65" s="16">
        <v>0.29275400000000001</v>
      </c>
      <c r="AA65" s="16">
        <v>0.28309200000000001</v>
      </c>
      <c r="AB65" s="16">
        <v>0.27057500000000001</v>
      </c>
      <c r="AC65" s="16">
        <v>0.25712299999999999</v>
      </c>
      <c r="AD65" s="16">
        <v>0.24771699999999999</v>
      </c>
      <c r="AE65" s="16">
        <v>0.23998</v>
      </c>
      <c r="AF65" s="16">
        <v>0.23338999999999999</v>
      </c>
      <c r="AG65" s="16">
        <v>0.228632</v>
      </c>
      <c r="AH65" s="16">
        <v>0.22364600000000001</v>
      </c>
      <c r="AI65" s="16">
        <v>0.21862999999999999</v>
      </c>
      <c r="AJ65" s="16">
        <v>0.21432999999999999</v>
      </c>
      <c r="AK65" s="16">
        <v>0.208262</v>
      </c>
      <c r="AL65" s="16">
        <v>0.20408299999999999</v>
      </c>
      <c r="AM65" s="13">
        <v>-2.7150000000000001E-2</v>
      </c>
    </row>
    <row r="66" spans="1:39" ht="15" customHeight="1" x14ac:dyDescent="0.25">
      <c r="A66" s="7" t="s">
        <v>99</v>
      </c>
      <c r="B66" s="11" t="s">
        <v>54</v>
      </c>
      <c r="C66" s="16">
        <v>0.73951699999999998</v>
      </c>
      <c r="D66" s="16">
        <v>0.70985500000000001</v>
      </c>
      <c r="E66" s="16">
        <v>0.689689</v>
      </c>
      <c r="F66" s="16">
        <v>0.69867999999999997</v>
      </c>
      <c r="G66" s="16">
        <v>0.71426599999999996</v>
      </c>
      <c r="H66" s="16">
        <v>0.72237600000000002</v>
      </c>
      <c r="I66" s="16">
        <v>0.73696499999999998</v>
      </c>
      <c r="J66" s="16">
        <v>0.75067499999999998</v>
      </c>
      <c r="K66" s="16">
        <v>0.75992499999999996</v>
      </c>
      <c r="L66" s="16">
        <v>0.75983199999999995</v>
      </c>
      <c r="M66" s="16">
        <v>0.75539100000000003</v>
      </c>
      <c r="N66" s="16">
        <v>0.74899800000000005</v>
      </c>
      <c r="O66" s="16">
        <v>0.74472499999999997</v>
      </c>
      <c r="P66" s="16">
        <v>0.73380900000000004</v>
      </c>
      <c r="Q66" s="16">
        <v>0.72253500000000004</v>
      </c>
      <c r="R66" s="16">
        <v>0.71179999999999999</v>
      </c>
      <c r="S66" s="16">
        <v>0.69811199999999995</v>
      </c>
      <c r="T66" s="16">
        <v>0.68909500000000001</v>
      </c>
      <c r="U66" s="16">
        <v>0.68378099999999997</v>
      </c>
      <c r="V66" s="16">
        <v>0.67936700000000005</v>
      </c>
      <c r="W66" s="16">
        <v>0.67560500000000001</v>
      </c>
      <c r="X66" s="16">
        <v>0.67122599999999999</v>
      </c>
      <c r="Y66" s="16">
        <v>0.669234</v>
      </c>
      <c r="Z66" s="16">
        <v>0.66823200000000005</v>
      </c>
      <c r="AA66" s="16">
        <v>0.66557699999999997</v>
      </c>
      <c r="AB66" s="16">
        <v>0.663856</v>
      </c>
      <c r="AC66" s="16">
        <v>0.66237500000000005</v>
      </c>
      <c r="AD66" s="16">
        <v>0.66121700000000005</v>
      </c>
      <c r="AE66" s="16">
        <v>0.66163700000000003</v>
      </c>
      <c r="AF66" s="16">
        <v>0.66218100000000002</v>
      </c>
      <c r="AG66" s="16">
        <v>0.662435</v>
      </c>
      <c r="AH66" s="16">
        <v>0.66292200000000001</v>
      </c>
      <c r="AI66" s="16">
        <v>0.66254800000000003</v>
      </c>
      <c r="AJ66" s="16">
        <v>0.66271000000000002</v>
      </c>
      <c r="AK66" s="16">
        <v>0.66276100000000004</v>
      </c>
      <c r="AL66" s="16">
        <v>0.66414399999999996</v>
      </c>
      <c r="AM66" s="13">
        <v>-1.9559999999999998E-3</v>
      </c>
    </row>
    <row r="67" spans="1:39" ht="15" customHeight="1" x14ac:dyDescent="0.25">
      <c r="A67" s="7" t="s">
        <v>100</v>
      </c>
      <c r="B67" s="11" t="s">
        <v>101</v>
      </c>
      <c r="C67" s="16">
        <v>1.283317</v>
      </c>
      <c r="D67" s="16">
        <v>1.2301550000000001</v>
      </c>
      <c r="E67" s="16">
        <v>1.2167889999999999</v>
      </c>
      <c r="F67" s="16">
        <v>1.1896450000000001</v>
      </c>
      <c r="G67" s="16">
        <v>1.1905319999999999</v>
      </c>
      <c r="H67" s="16">
        <v>1.1983900000000001</v>
      </c>
      <c r="I67" s="16">
        <v>1.220664</v>
      </c>
      <c r="J67" s="16">
        <v>1.227806</v>
      </c>
      <c r="K67" s="16">
        <v>1.227457</v>
      </c>
      <c r="L67" s="16">
        <v>1.2137789999999999</v>
      </c>
      <c r="M67" s="16">
        <v>1.19092</v>
      </c>
      <c r="N67" s="16">
        <v>1.162104</v>
      </c>
      <c r="O67" s="16">
        <v>1.141162</v>
      </c>
      <c r="P67" s="16">
        <v>1.1136299999999999</v>
      </c>
      <c r="Q67" s="16">
        <v>1.092651</v>
      </c>
      <c r="R67" s="16">
        <v>1.0711489999999999</v>
      </c>
      <c r="S67" s="16">
        <v>1.040114</v>
      </c>
      <c r="T67" s="16">
        <v>1.0174920000000001</v>
      </c>
      <c r="U67" s="16">
        <v>1.0077370000000001</v>
      </c>
      <c r="V67" s="16">
        <v>0.99285699999999999</v>
      </c>
      <c r="W67" s="16">
        <v>0.98385699999999998</v>
      </c>
      <c r="X67" s="16">
        <v>0.97139799999999998</v>
      </c>
      <c r="Y67" s="16">
        <v>0.96493899999999999</v>
      </c>
      <c r="Z67" s="16">
        <v>0.96098499999999998</v>
      </c>
      <c r="AA67" s="16">
        <v>0.94866799999999996</v>
      </c>
      <c r="AB67" s="16">
        <v>0.93443100000000001</v>
      </c>
      <c r="AC67" s="16">
        <v>0.91949899999999996</v>
      </c>
      <c r="AD67" s="16">
        <v>0.90893400000000002</v>
      </c>
      <c r="AE67" s="16">
        <v>0.901617</v>
      </c>
      <c r="AF67" s="16">
        <v>0.89557200000000003</v>
      </c>
      <c r="AG67" s="16">
        <v>0.89106700000000005</v>
      </c>
      <c r="AH67" s="16">
        <v>0.88656800000000002</v>
      </c>
      <c r="AI67" s="16">
        <v>0.88117800000000002</v>
      </c>
      <c r="AJ67" s="16">
        <v>0.87704099999999996</v>
      </c>
      <c r="AK67" s="16">
        <v>0.87102299999999999</v>
      </c>
      <c r="AL67" s="16">
        <v>0.86822699999999997</v>
      </c>
      <c r="AM67" s="13">
        <v>-1.0196E-2</v>
      </c>
    </row>
    <row r="68" spans="1:39" ht="15" customHeight="1" x14ac:dyDescent="0.25">
      <c r="A68" s="7" t="s">
        <v>102</v>
      </c>
      <c r="B68" s="11" t="s">
        <v>103</v>
      </c>
      <c r="C68" s="16">
        <v>1.4851700000000001</v>
      </c>
      <c r="D68" s="16">
        <v>1.44987</v>
      </c>
      <c r="E68" s="16">
        <v>1.43187</v>
      </c>
      <c r="F68" s="16">
        <v>1.4590209999999999</v>
      </c>
      <c r="G68" s="16">
        <v>1.472925</v>
      </c>
      <c r="H68" s="16">
        <v>1.4887680000000001</v>
      </c>
      <c r="I68" s="16">
        <v>1.518734</v>
      </c>
      <c r="J68" s="16">
        <v>1.552843</v>
      </c>
      <c r="K68" s="16">
        <v>1.5886960000000001</v>
      </c>
      <c r="L68" s="16">
        <v>1.607005</v>
      </c>
      <c r="M68" s="16">
        <v>1.609578</v>
      </c>
      <c r="N68" s="16">
        <v>1.6072789999999999</v>
      </c>
      <c r="O68" s="16">
        <v>1.618803</v>
      </c>
      <c r="P68" s="16">
        <v>1.6256619999999999</v>
      </c>
      <c r="Q68" s="16">
        <v>1.6280749999999999</v>
      </c>
      <c r="R68" s="16">
        <v>1.624728</v>
      </c>
      <c r="S68" s="16">
        <v>1.621205</v>
      </c>
      <c r="T68" s="16">
        <v>1.618052</v>
      </c>
      <c r="U68" s="16">
        <v>1.622379</v>
      </c>
      <c r="V68" s="16">
        <v>1.629515</v>
      </c>
      <c r="W68" s="16">
        <v>1.637513</v>
      </c>
      <c r="X68" s="16">
        <v>1.645011</v>
      </c>
      <c r="Y68" s="16">
        <v>1.659043</v>
      </c>
      <c r="Z68" s="16">
        <v>1.6761999999999999</v>
      </c>
      <c r="AA68" s="16">
        <v>1.687954</v>
      </c>
      <c r="AB68" s="16">
        <v>1.699643</v>
      </c>
      <c r="AC68" s="16">
        <v>1.7157</v>
      </c>
      <c r="AD68" s="16">
        <v>1.7327220000000001</v>
      </c>
      <c r="AE68" s="16">
        <v>1.7521359999999999</v>
      </c>
      <c r="AF68" s="16">
        <v>1.769609</v>
      </c>
      <c r="AG68" s="16">
        <v>1.7857179999999999</v>
      </c>
      <c r="AH68" s="16">
        <v>1.799879</v>
      </c>
      <c r="AI68" s="16">
        <v>1.809404</v>
      </c>
      <c r="AJ68" s="16">
        <v>1.8177669999999999</v>
      </c>
      <c r="AK68" s="16">
        <v>1.82846</v>
      </c>
      <c r="AL68" s="16">
        <v>1.838401</v>
      </c>
      <c r="AM68" s="13">
        <v>7.0070000000000002E-3</v>
      </c>
    </row>
    <row r="69" spans="1:39" ht="15" customHeight="1" x14ac:dyDescent="0.25">
      <c r="A69" s="7" t="s">
        <v>104</v>
      </c>
      <c r="B69" s="11" t="s">
        <v>105</v>
      </c>
      <c r="C69" s="16">
        <v>3.0737100000000002</v>
      </c>
      <c r="D69" s="16">
        <v>3.0312100000000002</v>
      </c>
      <c r="E69" s="16">
        <v>3.0748099999999998</v>
      </c>
      <c r="F69" s="16">
        <v>3.185867</v>
      </c>
      <c r="G69" s="16">
        <v>3.2787440000000001</v>
      </c>
      <c r="H69" s="16">
        <v>3.3418459999999999</v>
      </c>
      <c r="I69" s="16">
        <v>3.4196330000000001</v>
      </c>
      <c r="J69" s="16">
        <v>3.5034130000000001</v>
      </c>
      <c r="K69" s="16">
        <v>3.581035</v>
      </c>
      <c r="L69" s="16">
        <v>3.6285970000000001</v>
      </c>
      <c r="M69" s="16">
        <v>3.6496789999999999</v>
      </c>
      <c r="N69" s="16">
        <v>3.6579890000000002</v>
      </c>
      <c r="O69" s="16">
        <v>3.6740879999999998</v>
      </c>
      <c r="P69" s="16">
        <v>3.674947</v>
      </c>
      <c r="Q69" s="16">
        <v>3.6755740000000001</v>
      </c>
      <c r="R69" s="16">
        <v>3.6739600000000001</v>
      </c>
      <c r="S69" s="16">
        <v>3.6685810000000001</v>
      </c>
      <c r="T69" s="16">
        <v>3.6660759999999999</v>
      </c>
      <c r="U69" s="16">
        <v>3.6775150000000001</v>
      </c>
      <c r="V69" s="16">
        <v>3.7007599999999998</v>
      </c>
      <c r="W69" s="16">
        <v>3.7229359999999998</v>
      </c>
      <c r="X69" s="16">
        <v>3.739131</v>
      </c>
      <c r="Y69" s="16">
        <v>3.7627989999999998</v>
      </c>
      <c r="Z69" s="16">
        <v>3.796141</v>
      </c>
      <c r="AA69" s="16">
        <v>3.8188740000000001</v>
      </c>
      <c r="AB69" s="16">
        <v>3.841151</v>
      </c>
      <c r="AC69" s="16">
        <v>3.8628830000000001</v>
      </c>
      <c r="AD69" s="16">
        <v>3.885332</v>
      </c>
      <c r="AE69" s="16">
        <v>3.9152879999999999</v>
      </c>
      <c r="AF69" s="16">
        <v>3.9426399999999999</v>
      </c>
      <c r="AG69" s="16">
        <v>3.967031</v>
      </c>
      <c r="AH69" s="16">
        <v>3.9914130000000001</v>
      </c>
      <c r="AI69" s="16">
        <v>4.0155630000000002</v>
      </c>
      <c r="AJ69" s="16">
        <v>4.0423</v>
      </c>
      <c r="AK69" s="16">
        <v>4.0726889999999996</v>
      </c>
      <c r="AL69" s="16">
        <v>4.1080100000000002</v>
      </c>
      <c r="AM69" s="13">
        <v>8.9809999999999994E-3</v>
      </c>
    </row>
    <row r="70" spans="1:39" ht="15" customHeight="1" x14ac:dyDescent="0.25">
      <c r="A70" s="7" t="s">
        <v>106</v>
      </c>
      <c r="B70" s="10" t="s">
        <v>107</v>
      </c>
      <c r="C70" s="17">
        <v>19.960387999999998</v>
      </c>
      <c r="D70" s="17">
        <v>20.064934000000001</v>
      </c>
      <c r="E70" s="17">
        <v>20.517033000000001</v>
      </c>
      <c r="F70" s="17">
        <v>21.264841000000001</v>
      </c>
      <c r="G70" s="17">
        <v>21.851692</v>
      </c>
      <c r="H70" s="17">
        <v>22.158127</v>
      </c>
      <c r="I70" s="17">
        <v>22.575848000000001</v>
      </c>
      <c r="J70" s="17">
        <v>23.067377</v>
      </c>
      <c r="K70" s="17">
        <v>23.528019</v>
      </c>
      <c r="L70" s="17">
        <v>23.835802000000001</v>
      </c>
      <c r="M70" s="17">
        <v>23.995602000000002</v>
      </c>
      <c r="N70" s="17">
        <v>24.133828999999999</v>
      </c>
      <c r="O70" s="17">
        <v>24.205803</v>
      </c>
      <c r="P70" s="17">
        <v>24.258220999999999</v>
      </c>
      <c r="Q70" s="17">
        <v>24.333770999999999</v>
      </c>
      <c r="R70" s="17">
        <v>24.414864999999999</v>
      </c>
      <c r="S70" s="17">
        <v>24.468955999999999</v>
      </c>
      <c r="T70" s="17">
        <v>24.538342</v>
      </c>
      <c r="U70" s="17">
        <v>24.625086</v>
      </c>
      <c r="V70" s="17">
        <v>24.798072999999999</v>
      </c>
      <c r="W70" s="17">
        <v>24.976227000000002</v>
      </c>
      <c r="X70" s="17">
        <v>25.136244000000001</v>
      </c>
      <c r="Y70" s="17">
        <v>25.309816000000001</v>
      </c>
      <c r="Z70" s="17">
        <v>25.520530999999998</v>
      </c>
      <c r="AA70" s="17">
        <v>25.713049000000002</v>
      </c>
      <c r="AB70" s="17">
        <v>25.876066000000002</v>
      </c>
      <c r="AC70" s="17">
        <v>26.012378999999999</v>
      </c>
      <c r="AD70" s="17">
        <v>26.128367999999998</v>
      </c>
      <c r="AE70" s="17">
        <v>26.296589000000001</v>
      </c>
      <c r="AF70" s="17">
        <v>26.469341</v>
      </c>
      <c r="AG70" s="17">
        <v>26.631025000000001</v>
      </c>
      <c r="AH70" s="17">
        <v>26.784557</v>
      </c>
      <c r="AI70" s="17">
        <v>26.984234000000001</v>
      </c>
      <c r="AJ70" s="17">
        <v>27.182632000000002</v>
      </c>
      <c r="AK70" s="17">
        <v>27.391808000000001</v>
      </c>
      <c r="AL70" s="17">
        <v>27.649878000000001</v>
      </c>
      <c r="AM70" s="15">
        <v>9.4750000000000008E-3</v>
      </c>
    </row>
    <row r="71" spans="1:39" ht="15" customHeight="1" x14ac:dyDescent="0.25">
      <c r="A71" s="7" t="s">
        <v>108</v>
      </c>
      <c r="B71" s="11" t="s">
        <v>109</v>
      </c>
      <c r="C71" s="16">
        <v>6.158353</v>
      </c>
      <c r="D71" s="16">
        <v>5.9148490000000002</v>
      </c>
      <c r="E71" s="16">
        <v>6.0258880000000001</v>
      </c>
      <c r="F71" s="16">
        <v>6.1792350000000003</v>
      </c>
      <c r="G71" s="16">
        <v>6.3919009999999998</v>
      </c>
      <c r="H71" s="16">
        <v>6.5465970000000002</v>
      </c>
      <c r="I71" s="16">
        <v>6.6960240000000004</v>
      </c>
      <c r="J71" s="16">
        <v>6.8672930000000001</v>
      </c>
      <c r="K71" s="16">
        <v>7.0213570000000001</v>
      </c>
      <c r="L71" s="16">
        <v>7.1102470000000002</v>
      </c>
      <c r="M71" s="16">
        <v>7.124403</v>
      </c>
      <c r="N71" s="16">
        <v>7.1085209999999996</v>
      </c>
      <c r="O71" s="16">
        <v>7.1333169999999999</v>
      </c>
      <c r="P71" s="16">
        <v>7.1158950000000001</v>
      </c>
      <c r="Q71" s="16">
        <v>7.0996050000000004</v>
      </c>
      <c r="R71" s="16">
        <v>7.0759030000000003</v>
      </c>
      <c r="S71" s="16">
        <v>7.038348</v>
      </c>
      <c r="T71" s="16">
        <v>7.0126749999999998</v>
      </c>
      <c r="U71" s="16">
        <v>7.008426</v>
      </c>
      <c r="V71" s="16">
        <v>7.0195239999999997</v>
      </c>
      <c r="W71" s="16">
        <v>7.0297689999999999</v>
      </c>
      <c r="X71" s="16">
        <v>7.036124</v>
      </c>
      <c r="Y71" s="16">
        <v>7.0483729999999998</v>
      </c>
      <c r="Z71" s="16">
        <v>7.0824049999999996</v>
      </c>
      <c r="AA71" s="16">
        <v>7.0908910000000001</v>
      </c>
      <c r="AB71" s="16">
        <v>7.1017049999999999</v>
      </c>
      <c r="AC71" s="16">
        <v>7.1141509999999997</v>
      </c>
      <c r="AD71" s="16">
        <v>7.13</v>
      </c>
      <c r="AE71" s="16">
        <v>7.1653570000000002</v>
      </c>
      <c r="AF71" s="16">
        <v>7.1828709999999996</v>
      </c>
      <c r="AG71" s="16">
        <v>7.1972300000000002</v>
      </c>
      <c r="AH71" s="16">
        <v>7.2138609999999996</v>
      </c>
      <c r="AI71" s="16">
        <v>7.2240320000000002</v>
      </c>
      <c r="AJ71" s="16">
        <v>7.2360579999999999</v>
      </c>
      <c r="AK71" s="16">
        <v>7.2731300000000001</v>
      </c>
      <c r="AL71" s="16">
        <v>7.2948870000000001</v>
      </c>
      <c r="AM71" s="13">
        <v>6.1869999999999998E-3</v>
      </c>
    </row>
    <row r="72" spans="1:39" ht="15" customHeight="1" x14ac:dyDescent="0.25">
      <c r="A72" s="7" t="s">
        <v>110</v>
      </c>
      <c r="B72" s="10" t="s">
        <v>35</v>
      </c>
      <c r="C72" s="17">
        <v>26.118739999999999</v>
      </c>
      <c r="D72" s="17">
        <v>25.979782</v>
      </c>
      <c r="E72" s="17">
        <v>26.542921</v>
      </c>
      <c r="F72" s="17">
        <v>27.444077</v>
      </c>
      <c r="G72" s="17">
        <v>28.243593000000001</v>
      </c>
      <c r="H72" s="17">
        <v>28.704723000000001</v>
      </c>
      <c r="I72" s="17">
        <v>29.271871999999998</v>
      </c>
      <c r="J72" s="17">
        <v>29.934669</v>
      </c>
      <c r="K72" s="17">
        <v>30.549375999999999</v>
      </c>
      <c r="L72" s="17">
        <v>30.946048999999999</v>
      </c>
      <c r="M72" s="17">
        <v>31.120004999999999</v>
      </c>
      <c r="N72" s="17">
        <v>31.242349999999998</v>
      </c>
      <c r="O72" s="17">
        <v>31.339119</v>
      </c>
      <c r="P72" s="17">
        <v>31.374115</v>
      </c>
      <c r="Q72" s="17">
        <v>31.433375999999999</v>
      </c>
      <c r="R72" s="17">
        <v>31.490767999999999</v>
      </c>
      <c r="S72" s="17">
        <v>31.507303</v>
      </c>
      <c r="T72" s="17">
        <v>31.551016000000001</v>
      </c>
      <c r="U72" s="17">
        <v>31.633512</v>
      </c>
      <c r="V72" s="17">
        <v>31.817596000000002</v>
      </c>
      <c r="W72" s="17">
        <v>32.005997000000001</v>
      </c>
      <c r="X72" s="17">
        <v>32.172367000000001</v>
      </c>
      <c r="Y72" s="17">
        <v>32.358189000000003</v>
      </c>
      <c r="Z72" s="17">
        <v>32.602936</v>
      </c>
      <c r="AA72" s="17">
        <v>32.803939999999997</v>
      </c>
      <c r="AB72" s="17">
        <v>32.977772000000002</v>
      </c>
      <c r="AC72" s="17">
        <v>33.126530000000002</v>
      </c>
      <c r="AD72" s="17">
        <v>33.258369000000002</v>
      </c>
      <c r="AE72" s="17">
        <v>33.461945</v>
      </c>
      <c r="AF72" s="17">
        <v>33.652214000000001</v>
      </c>
      <c r="AG72" s="17">
        <v>33.828254999999999</v>
      </c>
      <c r="AH72" s="17">
        <v>33.998417000000003</v>
      </c>
      <c r="AI72" s="17">
        <v>34.208266999999999</v>
      </c>
      <c r="AJ72" s="17">
        <v>34.418689999999998</v>
      </c>
      <c r="AK72" s="17">
        <v>34.664935999999997</v>
      </c>
      <c r="AL72" s="17">
        <v>34.944763000000002</v>
      </c>
      <c r="AM72" s="15">
        <v>8.7569999999999992E-3</v>
      </c>
    </row>
    <row r="75" spans="1:39" ht="15" customHeight="1" x14ac:dyDescent="0.25">
      <c r="B75" s="10" t="s">
        <v>111</v>
      </c>
    </row>
    <row r="76" spans="1:39" ht="15" customHeight="1" x14ac:dyDescent="0.25">
      <c r="A76" s="7" t="s">
        <v>112</v>
      </c>
      <c r="B76" s="11" t="s">
        <v>113</v>
      </c>
      <c r="C76" s="16">
        <v>1.0841E-2</v>
      </c>
      <c r="D76" s="16">
        <v>1.0841E-2</v>
      </c>
      <c r="E76" s="16">
        <v>1.0841E-2</v>
      </c>
      <c r="F76" s="16">
        <v>0</v>
      </c>
      <c r="G76" s="16">
        <v>0</v>
      </c>
      <c r="H76" s="16">
        <v>0</v>
      </c>
      <c r="I76" s="16">
        <v>0</v>
      </c>
      <c r="J76" s="16">
        <v>0</v>
      </c>
      <c r="K76" s="16">
        <v>0</v>
      </c>
      <c r="L76" s="16">
        <v>0</v>
      </c>
      <c r="M76" s="16">
        <v>0</v>
      </c>
      <c r="N76" s="16">
        <v>0</v>
      </c>
      <c r="O76" s="16">
        <v>0</v>
      </c>
      <c r="P76" s="16">
        <v>0</v>
      </c>
      <c r="Q76" s="16">
        <v>0</v>
      </c>
      <c r="R76" s="16">
        <v>0</v>
      </c>
      <c r="S76" s="16">
        <v>0</v>
      </c>
      <c r="T76" s="16">
        <v>0</v>
      </c>
      <c r="U76" s="16">
        <v>0</v>
      </c>
      <c r="V76" s="16">
        <v>0</v>
      </c>
      <c r="W76" s="16">
        <v>0</v>
      </c>
      <c r="X76" s="16">
        <v>0</v>
      </c>
      <c r="Y76" s="16">
        <v>0</v>
      </c>
      <c r="Z76" s="16">
        <v>0</v>
      </c>
      <c r="AA76" s="16">
        <v>0</v>
      </c>
      <c r="AB76" s="16">
        <v>0</v>
      </c>
      <c r="AC76" s="16">
        <v>0</v>
      </c>
      <c r="AD76" s="16">
        <v>0</v>
      </c>
      <c r="AE76" s="16">
        <v>0</v>
      </c>
      <c r="AF76" s="16">
        <v>0</v>
      </c>
      <c r="AG76" s="16">
        <v>0</v>
      </c>
      <c r="AH76" s="16">
        <v>0</v>
      </c>
      <c r="AI76" s="16">
        <v>0</v>
      </c>
      <c r="AJ76" s="16">
        <v>0</v>
      </c>
      <c r="AK76" s="16">
        <v>0</v>
      </c>
      <c r="AL76" s="16">
        <v>0</v>
      </c>
      <c r="AM76" s="13" t="s">
        <v>13</v>
      </c>
    </row>
    <row r="77" spans="1:39" ht="15" customHeight="1" x14ac:dyDescent="0.25">
      <c r="A77" s="7" t="s">
        <v>114</v>
      </c>
      <c r="B77" s="11" t="s">
        <v>42</v>
      </c>
      <c r="C77" s="16">
        <v>2.1210000000000001E-3</v>
      </c>
      <c r="D77" s="16">
        <v>2.1210000000000001E-3</v>
      </c>
      <c r="E77" s="16">
        <v>2.1210000000000001E-3</v>
      </c>
      <c r="F77" s="16">
        <v>0</v>
      </c>
      <c r="G77" s="16">
        <v>0</v>
      </c>
      <c r="H77" s="16">
        <v>0</v>
      </c>
      <c r="I77" s="16">
        <v>0</v>
      </c>
      <c r="J77" s="16">
        <v>0</v>
      </c>
      <c r="K77" s="16">
        <v>0</v>
      </c>
      <c r="L77" s="16">
        <v>0</v>
      </c>
      <c r="M77" s="16">
        <v>0</v>
      </c>
      <c r="N77" s="16">
        <v>0</v>
      </c>
      <c r="O77" s="16">
        <v>0</v>
      </c>
      <c r="P77" s="16">
        <v>0</v>
      </c>
      <c r="Q77" s="16">
        <v>0</v>
      </c>
      <c r="R77" s="16">
        <v>0</v>
      </c>
      <c r="S77" s="16">
        <v>0</v>
      </c>
      <c r="T77" s="16">
        <v>0</v>
      </c>
      <c r="U77" s="16">
        <v>0</v>
      </c>
      <c r="V77" s="16">
        <v>0</v>
      </c>
      <c r="W77" s="16">
        <v>0</v>
      </c>
      <c r="X77" s="16">
        <v>0</v>
      </c>
      <c r="Y77" s="16">
        <v>0</v>
      </c>
      <c r="Z77" s="16">
        <v>0</v>
      </c>
      <c r="AA77" s="16">
        <v>0</v>
      </c>
      <c r="AB77" s="16">
        <v>0</v>
      </c>
      <c r="AC77" s="16">
        <v>0</v>
      </c>
      <c r="AD77" s="16">
        <v>0</v>
      </c>
      <c r="AE77" s="16">
        <v>0</v>
      </c>
      <c r="AF77" s="16">
        <v>0</v>
      </c>
      <c r="AG77" s="16">
        <v>0</v>
      </c>
      <c r="AH77" s="16">
        <v>0</v>
      </c>
      <c r="AI77" s="16">
        <v>0</v>
      </c>
      <c r="AJ77" s="16">
        <v>0</v>
      </c>
      <c r="AK77" s="16">
        <v>0</v>
      </c>
      <c r="AL77" s="16">
        <v>0</v>
      </c>
      <c r="AM77" s="13" t="s">
        <v>13</v>
      </c>
    </row>
    <row r="78" spans="1:39" ht="15" customHeight="1" x14ac:dyDescent="0.25">
      <c r="A78" s="7" t="s">
        <v>115</v>
      </c>
      <c r="B78" s="11" t="s">
        <v>44</v>
      </c>
      <c r="C78" s="16">
        <v>2.4840000000000001E-3</v>
      </c>
      <c r="D78" s="16">
        <v>2.4840000000000001E-3</v>
      </c>
      <c r="E78" s="16">
        <v>2.4840000000000001E-3</v>
      </c>
      <c r="F78" s="16">
        <v>0</v>
      </c>
      <c r="G78" s="16">
        <v>0</v>
      </c>
      <c r="H78" s="16">
        <v>0</v>
      </c>
      <c r="I78" s="16">
        <v>0</v>
      </c>
      <c r="J78" s="16">
        <v>0</v>
      </c>
      <c r="K78" s="16">
        <v>0</v>
      </c>
      <c r="L78" s="16">
        <v>0</v>
      </c>
      <c r="M78" s="16">
        <v>0</v>
      </c>
      <c r="N78" s="16">
        <v>0</v>
      </c>
      <c r="O78" s="16">
        <v>0</v>
      </c>
      <c r="P78" s="16">
        <v>0</v>
      </c>
      <c r="Q78" s="16">
        <v>0</v>
      </c>
      <c r="R78" s="16">
        <v>0</v>
      </c>
      <c r="S78" s="16">
        <v>0</v>
      </c>
      <c r="T78" s="16">
        <v>0</v>
      </c>
      <c r="U78" s="16">
        <v>0</v>
      </c>
      <c r="V78" s="16">
        <v>0</v>
      </c>
      <c r="W78" s="16">
        <v>0</v>
      </c>
      <c r="X78" s="16">
        <v>0</v>
      </c>
      <c r="Y78" s="16">
        <v>0</v>
      </c>
      <c r="Z78" s="16">
        <v>0</v>
      </c>
      <c r="AA78" s="16">
        <v>0</v>
      </c>
      <c r="AB78" s="16">
        <v>0</v>
      </c>
      <c r="AC78" s="16">
        <v>0</v>
      </c>
      <c r="AD78" s="16">
        <v>0</v>
      </c>
      <c r="AE78" s="16">
        <v>0</v>
      </c>
      <c r="AF78" s="16">
        <v>0</v>
      </c>
      <c r="AG78" s="16">
        <v>0</v>
      </c>
      <c r="AH78" s="16">
        <v>0</v>
      </c>
      <c r="AI78" s="16">
        <v>0</v>
      </c>
      <c r="AJ78" s="16">
        <v>0</v>
      </c>
      <c r="AK78" s="16">
        <v>0</v>
      </c>
      <c r="AL78" s="16">
        <v>0</v>
      </c>
      <c r="AM78" s="13" t="s">
        <v>13</v>
      </c>
    </row>
    <row r="79" spans="1:39" ht="15" customHeight="1" x14ac:dyDescent="0.25">
      <c r="A79" s="7" t="s">
        <v>116</v>
      </c>
      <c r="B79" s="11" t="s">
        <v>83</v>
      </c>
      <c r="C79" s="16">
        <v>0.51560799999999996</v>
      </c>
      <c r="D79" s="16">
        <v>0.464669</v>
      </c>
      <c r="E79" s="16">
        <v>0.41373300000000002</v>
      </c>
      <c r="F79" s="16">
        <v>0.39338499999999998</v>
      </c>
      <c r="G79" s="16">
        <v>0.373527</v>
      </c>
      <c r="H79" s="16">
        <v>0.36737900000000001</v>
      </c>
      <c r="I79" s="16">
        <v>0.36255399999999999</v>
      </c>
      <c r="J79" s="16">
        <v>0.36761199999999999</v>
      </c>
      <c r="K79" s="16">
        <v>0.37107899999999999</v>
      </c>
      <c r="L79" s="16">
        <v>0.372805</v>
      </c>
      <c r="M79" s="16">
        <v>0.37302000000000002</v>
      </c>
      <c r="N79" s="16">
        <v>0.37726599999999999</v>
      </c>
      <c r="O79" s="16">
        <v>0.38099499999999997</v>
      </c>
      <c r="P79" s="16">
        <v>0.38206699999999999</v>
      </c>
      <c r="Q79" s="16">
        <v>0.38619399999999998</v>
      </c>
      <c r="R79" s="16">
        <v>0.39224799999999999</v>
      </c>
      <c r="S79" s="16">
        <v>0.39092900000000003</v>
      </c>
      <c r="T79" s="16">
        <v>0.38913300000000001</v>
      </c>
      <c r="U79" s="16">
        <v>0.387071</v>
      </c>
      <c r="V79" s="16">
        <v>0.383685</v>
      </c>
      <c r="W79" s="16">
        <v>0.37956200000000001</v>
      </c>
      <c r="X79" s="16">
        <v>0.37884000000000001</v>
      </c>
      <c r="Y79" s="16">
        <v>0.37694499999999997</v>
      </c>
      <c r="Z79" s="16">
        <v>0.37805699999999998</v>
      </c>
      <c r="AA79" s="16">
        <v>0.37855299999999997</v>
      </c>
      <c r="AB79" s="16">
        <v>0.37526900000000002</v>
      </c>
      <c r="AC79" s="16">
        <v>0.37289600000000001</v>
      </c>
      <c r="AD79" s="16">
        <v>0.37515100000000001</v>
      </c>
      <c r="AE79" s="16">
        <v>0.373332</v>
      </c>
      <c r="AF79" s="16">
        <v>0.37200800000000001</v>
      </c>
      <c r="AG79" s="16">
        <v>0.37118099999999998</v>
      </c>
      <c r="AH79" s="16">
        <v>0.37093799999999999</v>
      </c>
      <c r="AI79" s="16">
        <v>0.36551299999999998</v>
      </c>
      <c r="AJ79" s="16">
        <v>0.36095300000000002</v>
      </c>
      <c r="AK79" s="16">
        <v>0.36038599999999998</v>
      </c>
      <c r="AL79" s="16">
        <v>0.36411399999999999</v>
      </c>
      <c r="AM79" s="13">
        <v>-7.1469999999999997E-3</v>
      </c>
    </row>
    <row r="80" spans="1:39" ht="15" customHeight="1" x14ac:dyDescent="0.25">
      <c r="A80" s="7" t="s">
        <v>117</v>
      </c>
      <c r="B80" s="11" t="s">
        <v>118</v>
      </c>
      <c r="C80" s="16">
        <v>1.4589049999999999</v>
      </c>
      <c r="D80" s="16">
        <v>1.4950060000000001</v>
      </c>
      <c r="E80" s="16">
        <v>1.5311060000000001</v>
      </c>
      <c r="F80" s="16">
        <v>1.7190270000000001</v>
      </c>
      <c r="G80" s="16">
        <v>1.727066</v>
      </c>
      <c r="H80" s="16">
        <v>1.7168650000000001</v>
      </c>
      <c r="I80" s="16">
        <v>1.723986</v>
      </c>
      <c r="J80" s="16">
        <v>1.7376959999999999</v>
      </c>
      <c r="K80" s="16">
        <v>1.7428410000000001</v>
      </c>
      <c r="L80" s="16">
        <v>1.744022</v>
      </c>
      <c r="M80" s="16">
        <v>1.739309</v>
      </c>
      <c r="N80" s="16">
        <v>1.734964</v>
      </c>
      <c r="O80" s="16">
        <v>1.7371019999999999</v>
      </c>
      <c r="P80" s="16">
        <v>1.722135</v>
      </c>
      <c r="Q80" s="16">
        <v>1.7271540000000001</v>
      </c>
      <c r="R80" s="16">
        <v>1.733779</v>
      </c>
      <c r="S80" s="16">
        <v>1.7232069999999999</v>
      </c>
      <c r="T80" s="16">
        <v>1.7202120000000001</v>
      </c>
      <c r="U80" s="16">
        <v>1.7081679999999999</v>
      </c>
      <c r="V80" s="16">
        <v>1.704464</v>
      </c>
      <c r="W80" s="16">
        <v>1.697673</v>
      </c>
      <c r="X80" s="16">
        <v>1.6982710000000001</v>
      </c>
      <c r="Y80" s="16">
        <v>1.702383</v>
      </c>
      <c r="Z80" s="16">
        <v>1.6952750000000001</v>
      </c>
      <c r="AA80" s="16">
        <v>1.707419</v>
      </c>
      <c r="AB80" s="16">
        <v>1.710869</v>
      </c>
      <c r="AC80" s="16">
        <v>1.699165</v>
      </c>
      <c r="AD80" s="16">
        <v>1.70675</v>
      </c>
      <c r="AE80" s="16">
        <v>1.6985539999999999</v>
      </c>
      <c r="AF80" s="16">
        <v>1.7002740000000001</v>
      </c>
      <c r="AG80" s="16">
        <v>1.70275</v>
      </c>
      <c r="AH80" s="16">
        <v>1.7060249999999999</v>
      </c>
      <c r="AI80" s="16">
        <v>1.704993</v>
      </c>
      <c r="AJ80" s="16">
        <v>1.697327</v>
      </c>
      <c r="AK80" s="16">
        <v>1.694555</v>
      </c>
      <c r="AL80" s="16">
        <v>1.703586</v>
      </c>
      <c r="AM80" s="13">
        <v>3.849E-3</v>
      </c>
    </row>
    <row r="81" spans="1:39" ht="15" customHeight="1" x14ac:dyDescent="0.25">
      <c r="A81" s="7" t="s">
        <v>119</v>
      </c>
      <c r="B81" s="11" t="s">
        <v>86</v>
      </c>
      <c r="C81" s="16">
        <v>5.5120000000000004E-3</v>
      </c>
      <c r="D81" s="16">
        <v>5.5120000000000004E-3</v>
      </c>
      <c r="E81" s="16">
        <v>5.5120000000000004E-3</v>
      </c>
      <c r="F81" s="16">
        <v>1.75E-4</v>
      </c>
      <c r="G81" s="16">
        <v>2.1599999999999999E-4</v>
      </c>
      <c r="H81" s="16">
        <v>6.0000000000000002E-6</v>
      </c>
      <c r="I81" s="16">
        <v>0</v>
      </c>
      <c r="J81" s="16">
        <v>1.9999999999999999E-6</v>
      </c>
      <c r="K81" s="16">
        <v>0</v>
      </c>
      <c r="L81" s="16">
        <v>5.0000000000000004E-6</v>
      </c>
      <c r="M81" s="16">
        <v>0</v>
      </c>
      <c r="N81" s="16">
        <v>0</v>
      </c>
      <c r="O81" s="16">
        <v>0</v>
      </c>
      <c r="P81" s="16">
        <v>0</v>
      </c>
      <c r="Q81" s="16">
        <v>1.2E-5</v>
      </c>
      <c r="R81" s="16">
        <v>0</v>
      </c>
      <c r="S81" s="16">
        <v>5.0000000000000004E-6</v>
      </c>
      <c r="T81" s="16">
        <v>1.2E-5</v>
      </c>
      <c r="U81" s="16">
        <v>9.0000000000000002E-6</v>
      </c>
      <c r="V81" s="16">
        <v>5.0000000000000004E-6</v>
      </c>
      <c r="W81" s="16">
        <v>0</v>
      </c>
      <c r="X81" s="16">
        <v>7.9999999999999996E-6</v>
      </c>
      <c r="Y81" s="16">
        <v>1.9999999999999999E-6</v>
      </c>
      <c r="Z81" s="16">
        <v>3.8000000000000002E-5</v>
      </c>
      <c r="AA81" s="16">
        <v>9.9999999999999995E-7</v>
      </c>
      <c r="AB81" s="16">
        <v>0</v>
      </c>
      <c r="AC81" s="16">
        <v>5.0000000000000004E-6</v>
      </c>
      <c r="AD81" s="16">
        <v>0</v>
      </c>
      <c r="AE81" s="16">
        <v>0</v>
      </c>
      <c r="AF81" s="16">
        <v>0</v>
      </c>
      <c r="AG81" s="16">
        <v>1.1E-5</v>
      </c>
      <c r="AH81" s="16">
        <v>0</v>
      </c>
      <c r="AI81" s="16">
        <v>3.3000000000000003E-5</v>
      </c>
      <c r="AJ81" s="16">
        <v>9.9999999999999995E-7</v>
      </c>
      <c r="AK81" s="16">
        <v>3.4E-5</v>
      </c>
      <c r="AL81" s="16">
        <v>6.9999999999999999E-6</v>
      </c>
      <c r="AM81" s="13">
        <v>-0.17765700000000001</v>
      </c>
    </row>
    <row r="82" spans="1:39" ht="15" customHeight="1" x14ac:dyDescent="0.25">
      <c r="A82" s="7" t="s">
        <v>120</v>
      </c>
      <c r="B82" s="11" t="s">
        <v>88</v>
      </c>
      <c r="C82" s="16">
        <v>1.995471</v>
      </c>
      <c r="D82" s="16">
        <v>1.9806330000000001</v>
      </c>
      <c r="E82" s="16">
        <v>1.965797</v>
      </c>
      <c r="F82" s="16">
        <v>2.112587</v>
      </c>
      <c r="G82" s="16">
        <v>2.1008100000000001</v>
      </c>
      <c r="H82" s="16">
        <v>2.0842499999999999</v>
      </c>
      <c r="I82" s="16">
        <v>2.0865399999999998</v>
      </c>
      <c r="J82" s="16">
        <v>2.1053090000000001</v>
      </c>
      <c r="K82" s="16">
        <v>2.1139209999999999</v>
      </c>
      <c r="L82" s="16">
        <v>2.116832</v>
      </c>
      <c r="M82" s="16">
        <v>2.1123289999999999</v>
      </c>
      <c r="N82" s="16">
        <v>2.1122299999999998</v>
      </c>
      <c r="O82" s="16">
        <v>2.1180970000000001</v>
      </c>
      <c r="P82" s="16">
        <v>2.1042019999999999</v>
      </c>
      <c r="Q82" s="16">
        <v>2.1133609999999998</v>
      </c>
      <c r="R82" s="16">
        <v>2.1260270000000001</v>
      </c>
      <c r="S82" s="16">
        <v>2.1141420000000002</v>
      </c>
      <c r="T82" s="16">
        <v>2.1093570000000001</v>
      </c>
      <c r="U82" s="16">
        <v>2.0952480000000002</v>
      </c>
      <c r="V82" s="16">
        <v>2.0881539999999998</v>
      </c>
      <c r="W82" s="16">
        <v>2.0772349999999999</v>
      </c>
      <c r="X82" s="16">
        <v>2.077118</v>
      </c>
      <c r="Y82" s="16">
        <v>2.0793309999999998</v>
      </c>
      <c r="Z82" s="16">
        <v>2.0733709999999999</v>
      </c>
      <c r="AA82" s="16">
        <v>2.0859730000000001</v>
      </c>
      <c r="AB82" s="16">
        <v>2.0861390000000002</v>
      </c>
      <c r="AC82" s="16">
        <v>2.0720649999999998</v>
      </c>
      <c r="AD82" s="16">
        <v>2.0819019999999999</v>
      </c>
      <c r="AE82" s="16">
        <v>2.0718860000000001</v>
      </c>
      <c r="AF82" s="16">
        <v>2.0722830000000001</v>
      </c>
      <c r="AG82" s="16">
        <v>2.0739420000000002</v>
      </c>
      <c r="AH82" s="16">
        <v>2.0769630000000001</v>
      </c>
      <c r="AI82" s="16">
        <v>2.0705390000000001</v>
      </c>
      <c r="AJ82" s="16">
        <v>2.058281</v>
      </c>
      <c r="AK82" s="16">
        <v>2.0549759999999999</v>
      </c>
      <c r="AL82" s="16">
        <v>2.067707</v>
      </c>
      <c r="AM82" s="13">
        <v>1.266E-3</v>
      </c>
    </row>
    <row r="83" spans="1:39" ht="15" customHeight="1" x14ac:dyDescent="0.25">
      <c r="A83" s="7" t="s">
        <v>121</v>
      </c>
      <c r="B83" s="11" t="s">
        <v>48</v>
      </c>
      <c r="C83" s="16">
        <v>1.2482009999999999</v>
      </c>
      <c r="D83" s="16">
        <v>1.204191</v>
      </c>
      <c r="E83" s="16">
        <v>1.162382</v>
      </c>
      <c r="F83" s="16">
        <v>1.0804100000000001</v>
      </c>
      <c r="G83" s="16">
        <v>1.1136509999999999</v>
      </c>
      <c r="H83" s="16">
        <v>1.111637</v>
      </c>
      <c r="I83" s="16">
        <v>1.108608</v>
      </c>
      <c r="J83" s="16">
        <v>1.1055090000000001</v>
      </c>
      <c r="K83" s="16">
        <v>1.094357</v>
      </c>
      <c r="L83" s="16">
        <v>1.084295</v>
      </c>
      <c r="M83" s="16">
        <v>1.0796049999999999</v>
      </c>
      <c r="N83" s="16">
        <v>1.0592360000000001</v>
      </c>
      <c r="O83" s="16">
        <v>0.99938899999999997</v>
      </c>
      <c r="P83" s="16">
        <v>1.005223</v>
      </c>
      <c r="Q83" s="16">
        <v>1.0030589999999999</v>
      </c>
      <c r="R83" s="16">
        <v>0.99513399999999996</v>
      </c>
      <c r="S83" s="16">
        <v>0.99464600000000003</v>
      </c>
      <c r="T83" s="16">
        <v>1.00247</v>
      </c>
      <c r="U83" s="16">
        <v>1.0116050000000001</v>
      </c>
      <c r="V83" s="16">
        <v>1.025182</v>
      </c>
      <c r="W83" s="16">
        <v>1.0403579999999999</v>
      </c>
      <c r="X83" s="16">
        <v>1.063933</v>
      </c>
      <c r="Y83" s="16">
        <v>1.0733969999999999</v>
      </c>
      <c r="Z83" s="16">
        <v>1.0700019999999999</v>
      </c>
      <c r="AA83" s="16">
        <v>1.0837110000000001</v>
      </c>
      <c r="AB83" s="16">
        <v>1.0933170000000001</v>
      </c>
      <c r="AC83" s="16">
        <v>1.095906</v>
      </c>
      <c r="AD83" s="16">
        <v>1.0953029999999999</v>
      </c>
      <c r="AE83" s="16">
        <v>1.0894140000000001</v>
      </c>
      <c r="AF83" s="16">
        <v>1.09449</v>
      </c>
      <c r="AG83" s="16">
        <v>1.106201</v>
      </c>
      <c r="AH83" s="16">
        <v>1.1159479999999999</v>
      </c>
      <c r="AI83" s="16">
        <v>1.1179939999999999</v>
      </c>
      <c r="AJ83" s="16">
        <v>1.1117250000000001</v>
      </c>
      <c r="AK83" s="16">
        <v>1.117372</v>
      </c>
      <c r="AL83" s="16">
        <v>1.112911</v>
      </c>
      <c r="AM83" s="13">
        <v>-2.3159999999999999E-3</v>
      </c>
    </row>
    <row r="84" spans="1:39" ht="15" customHeight="1" x14ac:dyDescent="0.25">
      <c r="A84" s="7" t="s">
        <v>122</v>
      </c>
      <c r="B84" s="19" t="s">
        <v>50</v>
      </c>
      <c r="C84" s="16">
        <v>0.180953</v>
      </c>
      <c r="D84" s="16">
        <v>0.18331700000000001</v>
      </c>
      <c r="E84" s="16">
        <v>0.18995699999999999</v>
      </c>
      <c r="F84" s="16">
        <v>0.27999299999999999</v>
      </c>
      <c r="G84" s="16">
        <v>0.30636799999999997</v>
      </c>
      <c r="H84" s="16">
        <v>0.30587799999999998</v>
      </c>
      <c r="I84" s="16">
        <v>0.29990499999999998</v>
      </c>
      <c r="J84" s="16">
        <v>0.29733799999999999</v>
      </c>
      <c r="K84" s="16">
        <v>0.29187299999999999</v>
      </c>
      <c r="L84" s="16">
        <v>0.29069899999999999</v>
      </c>
      <c r="M84" s="16">
        <v>0.293655</v>
      </c>
      <c r="N84" s="16">
        <v>0.28759899999999999</v>
      </c>
      <c r="O84" s="16">
        <v>0.264073</v>
      </c>
      <c r="P84" s="16">
        <v>0.26727800000000002</v>
      </c>
      <c r="Q84" s="16">
        <v>0.27160899999999999</v>
      </c>
      <c r="R84" s="16">
        <v>0.269681</v>
      </c>
      <c r="S84" s="16">
        <v>0.27742299999999998</v>
      </c>
      <c r="T84" s="16">
        <v>0.28665200000000002</v>
      </c>
      <c r="U84" s="16">
        <v>0.29352499999999998</v>
      </c>
      <c r="V84" s="16">
        <v>0.29843399999999998</v>
      </c>
      <c r="W84" s="16">
        <v>0.30207200000000001</v>
      </c>
      <c r="X84" s="16">
        <v>0.31762499999999999</v>
      </c>
      <c r="Y84" s="16">
        <v>0.32400200000000001</v>
      </c>
      <c r="Z84" s="16">
        <v>0.32735199999999998</v>
      </c>
      <c r="AA84" s="16">
        <v>0.335256</v>
      </c>
      <c r="AB84" s="16">
        <v>0.33793099999999998</v>
      </c>
      <c r="AC84" s="16">
        <v>0.33522200000000002</v>
      </c>
      <c r="AD84" s="16">
        <v>0.33705600000000002</v>
      </c>
      <c r="AE84" s="16">
        <v>0.33412999999999998</v>
      </c>
      <c r="AF84" s="16">
        <v>0.33607300000000001</v>
      </c>
      <c r="AG84" s="16">
        <v>0.342192</v>
      </c>
      <c r="AH84" s="16">
        <v>0.34635300000000002</v>
      </c>
      <c r="AI84" s="16">
        <v>0.34056799999999998</v>
      </c>
      <c r="AJ84" s="16">
        <v>0.33406599999999997</v>
      </c>
      <c r="AK84" s="16">
        <v>0.33923199999999998</v>
      </c>
      <c r="AL84" s="16">
        <v>0.34130199999999999</v>
      </c>
      <c r="AM84" s="13">
        <v>1.8449E-2</v>
      </c>
    </row>
    <row r="85" spans="1:39" ht="15" customHeight="1" x14ac:dyDescent="0.25">
      <c r="A85" s="7" t="s">
        <v>123</v>
      </c>
      <c r="B85" s="11" t="s">
        <v>124</v>
      </c>
      <c r="C85" s="16">
        <v>0</v>
      </c>
      <c r="D85" s="16">
        <v>0</v>
      </c>
      <c r="E85" s="16">
        <v>0</v>
      </c>
      <c r="F85" s="16">
        <v>0</v>
      </c>
      <c r="G85" s="16">
        <v>0</v>
      </c>
      <c r="H85" s="16">
        <v>0</v>
      </c>
      <c r="I85" s="16">
        <v>0</v>
      </c>
      <c r="J85" s="16">
        <v>0</v>
      </c>
      <c r="K85" s="16">
        <v>0</v>
      </c>
      <c r="L85" s="16">
        <v>0</v>
      </c>
      <c r="M85" s="16">
        <v>0</v>
      </c>
      <c r="N85" s="16">
        <v>0</v>
      </c>
      <c r="O85" s="16">
        <v>0</v>
      </c>
      <c r="P85" s="16">
        <v>0</v>
      </c>
      <c r="Q85" s="16">
        <v>0</v>
      </c>
      <c r="R85" s="16">
        <v>0</v>
      </c>
      <c r="S85" s="16">
        <v>0</v>
      </c>
      <c r="T85" s="16">
        <v>0</v>
      </c>
      <c r="U85" s="16">
        <v>0</v>
      </c>
      <c r="V85" s="16">
        <v>0</v>
      </c>
      <c r="W85" s="16">
        <v>0</v>
      </c>
      <c r="X85" s="16">
        <v>0</v>
      </c>
      <c r="Y85" s="16">
        <v>0</v>
      </c>
      <c r="Z85" s="16">
        <v>0</v>
      </c>
      <c r="AA85" s="16">
        <v>0</v>
      </c>
      <c r="AB85" s="16">
        <v>0</v>
      </c>
      <c r="AC85" s="16">
        <v>0</v>
      </c>
      <c r="AD85" s="16">
        <v>0</v>
      </c>
      <c r="AE85" s="16">
        <v>0</v>
      </c>
      <c r="AF85" s="16">
        <v>0</v>
      </c>
      <c r="AG85" s="16">
        <v>0</v>
      </c>
      <c r="AH85" s="16">
        <v>0</v>
      </c>
      <c r="AI85" s="16">
        <v>0</v>
      </c>
      <c r="AJ85" s="16">
        <v>0</v>
      </c>
      <c r="AK85" s="16">
        <v>0</v>
      </c>
      <c r="AL85" s="16">
        <v>0</v>
      </c>
      <c r="AM85" s="13" t="s">
        <v>13</v>
      </c>
    </row>
    <row r="86" spans="1:39" ht="15" customHeight="1" x14ac:dyDescent="0.25">
      <c r="A86" s="7" t="s">
        <v>125</v>
      </c>
      <c r="B86" s="11" t="s">
        <v>96</v>
      </c>
      <c r="C86" s="16">
        <v>1.429154</v>
      </c>
      <c r="D86" s="16">
        <v>1.387508</v>
      </c>
      <c r="E86" s="16">
        <v>1.352339</v>
      </c>
      <c r="F86" s="16">
        <v>1.3604019999999999</v>
      </c>
      <c r="G86" s="16">
        <v>1.4200189999999999</v>
      </c>
      <c r="H86" s="16">
        <v>1.417516</v>
      </c>
      <c r="I86" s="16">
        <v>1.4085129999999999</v>
      </c>
      <c r="J86" s="16">
        <v>1.402846</v>
      </c>
      <c r="K86" s="16">
        <v>1.3862300000000001</v>
      </c>
      <c r="L86" s="16">
        <v>1.3749929999999999</v>
      </c>
      <c r="M86" s="16">
        <v>1.3732599999999999</v>
      </c>
      <c r="N86" s="16">
        <v>1.346835</v>
      </c>
      <c r="O86" s="16">
        <v>1.2634620000000001</v>
      </c>
      <c r="P86" s="16">
        <v>1.2725010000000001</v>
      </c>
      <c r="Q86" s="16">
        <v>1.274667</v>
      </c>
      <c r="R86" s="16">
        <v>1.264815</v>
      </c>
      <c r="S86" s="16">
        <v>1.2720689999999999</v>
      </c>
      <c r="T86" s="16">
        <v>1.2891220000000001</v>
      </c>
      <c r="U86" s="16">
        <v>1.3051299999999999</v>
      </c>
      <c r="V86" s="16">
        <v>1.323615</v>
      </c>
      <c r="W86" s="16">
        <v>1.34243</v>
      </c>
      <c r="X86" s="16">
        <v>1.3815569999999999</v>
      </c>
      <c r="Y86" s="16">
        <v>1.3973979999999999</v>
      </c>
      <c r="Z86" s="16">
        <v>1.3973549999999999</v>
      </c>
      <c r="AA86" s="16">
        <v>1.4189670000000001</v>
      </c>
      <c r="AB86" s="16">
        <v>1.4312480000000001</v>
      </c>
      <c r="AC86" s="16">
        <v>1.431128</v>
      </c>
      <c r="AD86" s="16">
        <v>1.4323589999999999</v>
      </c>
      <c r="AE86" s="16">
        <v>1.4235439999999999</v>
      </c>
      <c r="AF86" s="16">
        <v>1.430563</v>
      </c>
      <c r="AG86" s="16">
        <v>1.448394</v>
      </c>
      <c r="AH86" s="16">
        <v>1.462302</v>
      </c>
      <c r="AI86" s="16">
        <v>1.4585619999999999</v>
      </c>
      <c r="AJ86" s="16">
        <v>1.445791</v>
      </c>
      <c r="AK86" s="16">
        <v>1.4566049999999999</v>
      </c>
      <c r="AL86" s="16">
        <v>1.4542139999999999</v>
      </c>
      <c r="AM86" s="13">
        <v>1.382E-3</v>
      </c>
    </row>
    <row r="87" spans="1:39" ht="15" customHeight="1" x14ac:dyDescent="0.25">
      <c r="A87" s="7" t="s">
        <v>126</v>
      </c>
      <c r="B87" s="11" t="s">
        <v>54</v>
      </c>
      <c r="C87" s="16">
        <v>2.4E-2</v>
      </c>
      <c r="D87" s="16">
        <v>2.4E-2</v>
      </c>
      <c r="E87" s="16">
        <v>2.4E-2</v>
      </c>
      <c r="F87" s="16">
        <v>0</v>
      </c>
      <c r="G87" s="16">
        <v>0</v>
      </c>
      <c r="H87" s="16">
        <v>0</v>
      </c>
      <c r="I87" s="16">
        <v>0</v>
      </c>
      <c r="J87" s="16">
        <v>0</v>
      </c>
      <c r="K87" s="16">
        <v>0</v>
      </c>
      <c r="L87" s="16">
        <v>0</v>
      </c>
      <c r="M87" s="16">
        <v>0</v>
      </c>
      <c r="N87" s="16">
        <v>0</v>
      </c>
      <c r="O87" s="16">
        <v>0</v>
      </c>
      <c r="P87" s="16">
        <v>0</v>
      </c>
      <c r="Q87" s="16">
        <v>0</v>
      </c>
      <c r="R87" s="16">
        <v>0</v>
      </c>
      <c r="S87" s="16">
        <v>0</v>
      </c>
      <c r="T87" s="16">
        <v>0</v>
      </c>
      <c r="U87" s="16">
        <v>0</v>
      </c>
      <c r="V87" s="16">
        <v>0</v>
      </c>
      <c r="W87" s="16">
        <v>0</v>
      </c>
      <c r="X87" s="16">
        <v>0</v>
      </c>
      <c r="Y87" s="16">
        <v>0</v>
      </c>
      <c r="Z87" s="16">
        <v>0</v>
      </c>
      <c r="AA87" s="16">
        <v>0</v>
      </c>
      <c r="AB87" s="16">
        <v>0</v>
      </c>
      <c r="AC87" s="16">
        <v>0</v>
      </c>
      <c r="AD87" s="16">
        <v>0</v>
      </c>
      <c r="AE87" s="16">
        <v>0</v>
      </c>
      <c r="AF87" s="16">
        <v>0</v>
      </c>
      <c r="AG87" s="16">
        <v>0</v>
      </c>
      <c r="AH87" s="16">
        <v>0</v>
      </c>
      <c r="AI87" s="16">
        <v>0</v>
      </c>
      <c r="AJ87" s="16">
        <v>0</v>
      </c>
      <c r="AK87" s="16">
        <v>0</v>
      </c>
      <c r="AL87" s="16">
        <v>0</v>
      </c>
      <c r="AM87" s="13" t="s">
        <v>13</v>
      </c>
    </row>
    <row r="88" spans="1:39" ht="15" customHeight="1" x14ac:dyDescent="0.25">
      <c r="A88" s="7" t="s">
        <v>127</v>
      </c>
      <c r="B88" s="11" t="s">
        <v>128</v>
      </c>
      <c r="C88" s="16">
        <v>0</v>
      </c>
      <c r="D88" s="16">
        <v>0</v>
      </c>
      <c r="E88" s="16">
        <v>0</v>
      </c>
      <c r="F88" s="16">
        <v>0</v>
      </c>
      <c r="G88" s="16">
        <v>0</v>
      </c>
      <c r="H88" s="16">
        <v>0</v>
      </c>
      <c r="I88" s="16">
        <v>0</v>
      </c>
      <c r="J88" s="16">
        <v>0</v>
      </c>
      <c r="K88" s="16">
        <v>0</v>
      </c>
      <c r="L88" s="16">
        <v>0</v>
      </c>
      <c r="M88" s="16">
        <v>0</v>
      </c>
      <c r="N88" s="16">
        <v>0</v>
      </c>
      <c r="O88" s="16">
        <v>0</v>
      </c>
      <c r="P88" s="16">
        <v>0</v>
      </c>
      <c r="Q88" s="16">
        <v>0</v>
      </c>
      <c r="R88" s="16">
        <v>0</v>
      </c>
      <c r="S88" s="16">
        <v>0</v>
      </c>
      <c r="T88" s="16">
        <v>0</v>
      </c>
      <c r="U88" s="16">
        <v>0</v>
      </c>
      <c r="V88" s="16">
        <v>0</v>
      </c>
      <c r="W88" s="16">
        <v>0</v>
      </c>
      <c r="X88" s="16">
        <v>0</v>
      </c>
      <c r="Y88" s="16">
        <v>0</v>
      </c>
      <c r="Z88" s="16">
        <v>0</v>
      </c>
      <c r="AA88" s="16">
        <v>0</v>
      </c>
      <c r="AB88" s="16">
        <v>0</v>
      </c>
      <c r="AC88" s="16">
        <v>0</v>
      </c>
      <c r="AD88" s="16">
        <v>0</v>
      </c>
      <c r="AE88" s="16">
        <v>0</v>
      </c>
      <c r="AF88" s="16">
        <v>0</v>
      </c>
      <c r="AG88" s="16">
        <v>0</v>
      </c>
      <c r="AH88" s="16">
        <v>0</v>
      </c>
      <c r="AI88" s="16">
        <v>0</v>
      </c>
      <c r="AJ88" s="16">
        <v>0</v>
      </c>
      <c r="AK88" s="16">
        <v>0</v>
      </c>
      <c r="AL88" s="16">
        <v>0</v>
      </c>
      <c r="AM88" s="13" t="s">
        <v>13</v>
      </c>
    </row>
    <row r="89" spans="1:39" ht="15" customHeight="1" x14ac:dyDescent="0.25">
      <c r="A89" s="7" t="s">
        <v>129</v>
      </c>
      <c r="B89" s="11" t="s">
        <v>101</v>
      </c>
      <c r="C89" s="16">
        <v>2.4E-2</v>
      </c>
      <c r="D89" s="16">
        <v>2.4E-2</v>
      </c>
      <c r="E89" s="16">
        <v>2.4E-2</v>
      </c>
      <c r="F89" s="16">
        <v>0</v>
      </c>
      <c r="G89" s="16">
        <v>0</v>
      </c>
      <c r="H89" s="16">
        <v>0</v>
      </c>
      <c r="I89" s="16">
        <v>0</v>
      </c>
      <c r="J89" s="16">
        <v>0</v>
      </c>
      <c r="K89" s="16">
        <v>0</v>
      </c>
      <c r="L89" s="16">
        <v>0</v>
      </c>
      <c r="M89" s="16">
        <v>0</v>
      </c>
      <c r="N89" s="16">
        <v>0</v>
      </c>
      <c r="O89" s="16">
        <v>0</v>
      </c>
      <c r="P89" s="16">
        <v>0</v>
      </c>
      <c r="Q89" s="16">
        <v>0</v>
      </c>
      <c r="R89" s="16">
        <v>0</v>
      </c>
      <c r="S89" s="16">
        <v>0</v>
      </c>
      <c r="T89" s="16">
        <v>0</v>
      </c>
      <c r="U89" s="16">
        <v>0</v>
      </c>
      <c r="V89" s="16">
        <v>0</v>
      </c>
      <c r="W89" s="16">
        <v>0</v>
      </c>
      <c r="X89" s="16">
        <v>0</v>
      </c>
      <c r="Y89" s="16">
        <v>0</v>
      </c>
      <c r="Z89" s="16">
        <v>0</v>
      </c>
      <c r="AA89" s="16">
        <v>0</v>
      </c>
      <c r="AB89" s="16">
        <v>0</v>
      </c>
      <c r="AC89" s="16">
        <v>0</v>
      </c>
      <c r="AD89" s="16">
        <v>0</v>
      </c>
      <c r="AE89" s="16">
        <v>0</v>
      </c>
      <c r="AF89" s="16">
        <v>0</v>
      </c>
      <c r="AG89" s="16">
        <v>0</v>
      </c>
      <c r="AH89" s="16">
        <v>0</v>
      </c>
      <c r="AI89" s="16">
        <v>0</v>
      </c>
      <c r="AJ89" s="16">
        <v>0</v>
      </c>
      <c r="AK89" s="16">
        <v>0</v>
      </c>
      <c r="AL89" s="16">
        <v>0</v>
      </c>
      <c r="AM89" s="13" t="s">
        <v>13</v>
      </c>
    </row>
    <row r="90" spans="1:39" ht="15" customHeight="1" x14ac:dyDescent="0.25">
      <c r="A90" s="7" t="s">
        <v>130</v>
      </c>
      <c r="B90" s="11" t="s">
        <v>131</v>
      </c>
      <c r="C90" s="16">
        <v>0.84771700000000005</v>
      </c>
      <c r="D90" s="16">
        <v>0.89812999999999998</v>
      </c>
      <c r="E90" s="16">
        <v>0.89724099999999996</v>
      </c>
      <c r="F90" s="16">
        <v>0.87283299999999997</v>
      </c>
      <c r="G90" s="16">
        <v>0.87101899999999999</v>
      </c>
      <c r="H90" s="16">
        <v>0.86619999999999997</v>
      </c>
      <c r="I90" s="16">
        <v>0.86204400000000003</v>
      </c>
      <c r="J90" s="16">
        <v>0.86221999999999999</v>
      </c>
      <c r="K90" s="16">
        <v>0.86229800000000001</v>
      </c>
      <c r="L90" s="16">
        <v>0.86148499999999995</v>
      </c>
      <c r="M90" s="16">
        <v>0.86227900000000002</v>
      </c>
      <c r="N90" s="16">
        <v>0.85339900000000002</v>
      </c>
      <c r="O90" s="16">
        <v>0.85172099999999995</v>
      </c>
      <c r="P90" s="16">
        <v>0.85149799999999998</v>
      </c>
      <c r="Q90" s="16">
        <v>0.85038800000000003</v>
      </c>
      <c r="R90" s="16">
        <v>0.85050700000000001</v>
      </c>
      <c r="S90" s="16">
        <v>0.83988399999999996</v>
      </c>
      <c r="T90" s="16">
        <v>0.83662099999999995</v>
      </c>
      <c r="U90" s="16">
        <v>0.83656399999999997</v>
      </c>
      <c r="V90" s="16">
        <v>0.83656600000000003</v>
      </c>
      <c r="W90" s="16">
        <v>0.83656600000000003</v>
      </c>
      <c r="X90" s="16">
        <v>0.83659899999999998</v>
      </c>
      <c r="Y90" s="16">
        <v>0.837561</v>
      </c>
      <c r="Z90" s="16">
        <v>0.839557</v>
      </c>
      <c r="AA90" s="16">
        <v>0.84143699999999999</v>
      </c>
      <c r="AB90" s="16">
        <v>0.84198700000000004</v>
      </c>
      <c r="AC90" s="16">
        <v>0.83787199999999995</v>
      </c>
      <c r="AD90" s="16">
        <v>0.83709299999999998</v>
      </c>
      <c r="AE90" s="16">
        <v>0.83525099999999997</v>
      </c>
      <c r="AF90" s="16">
        <v>0.83525099999999997</v>
      </c>
      <c r="AG90" s="16">
        <v>0.83403000000000005</v>
      </c>
      <c r="AH90" s="16">
        <v>0.83392699999999997</v>
      </c>
      <c r="AI90" s="16">
        <v>0.83597900000000003</v>
      </c>
      <c r="AJ90" s="16">
        <v>0.83484599999999998</v>
      </c>
      <c r="AK90" s="16">
        <v>0.82216299999999998</v>
      </c>
      <c r="AL90" s="16">
        <v>0.79795799999999995</v>
      </c>
      <c r="AM90" s="13">
        <v>-3.4719999999999998E-3</v>
      </c>
    </row>
    <row r="91" spans="1:39" ht="15" customHeight="1" x14ac:dyDescent="0.25">
      <c r="A91" s="7" t="s">
        <v>132</v>
      </c>
      <c r="B91" s="11" t="s">
        <v>105</v>
      </c>
      <c r="C91" s="16">
        <v>0.19689000000000001</v>
      </c>
      <c r="D91" s="16">
        <v>0.19689000000000001</v>
      </c>
      <c r="E91" s="16">
        <v>0.19689000000000001</v>
      </c>
      <c r="F91" s="16">
        <v>0.19192400000000001</v>
      </c>
      <c r="G91" s="16">
        <v>0.19778699999999999</v>
      </c>
      <c r="H91" s="16">
        <v>0.19661500000000001</v>
      </c>
      <c r="I91" s="16">
        <v>0.19486400000000001</v>
      </c>
      <c r="J91" s="16">
        <v>0.19476299999999999</v>
      </c>
      <c r="K91" s="16">
        <v>0.192605</v>
      </c>
      <c r="L91" s="16">
        <v>0.190418</v>
      </c>
      <c r="M91" s="16">
        <v>0.188335</v>
      </c>
      <c r="N91" s="16">
        <v>0.18484100000000001</v>
      </c>
      <c r="O91" s="16">
        <v>0.18263299999999999</v>
      </c>
      <c r="P91" s="16">
        <v>0.17845</v>
      </c>
      <c r="Q91" s="16">
        <v>0.178201</v>
      </c>
      <c r="R91" s="16">
        <v>0.178949</v>
      </c>
      <c r="S91" s="16">
        <v>0.177813</v>
      </c>
      <c r="T91" s="16">
        <v>0.178226</v>
      </c>
      <c r="U91" s="16">
        <v>0.177977</v>
      </c>
      <c r="V91" s="16">
        <v>0.17905699999999999</v>
      </c>
      <c r="W91" s="16">
        <v>0.17888299999999999</v>
      </c>
      <c r="X91" s="16">
        <v>0.18180299999999999</v>
      </c>
      <c r="Y91" s="16">
        <v>0.182556</v>
      </c>
      <c r="Z91" s="16">
        <v>0.18252599999999999</v>
      </c>
      <c r="AA91" s="16">
        <v>0.18360399999999999</v>
      </c>
      <c r="AB91" s="16">
        <v>0.184477</v>
      </c>
      <c r="AC91" s="16">
        <v>0.183473</v>
      </c>
      <c r="AD91" s="16">
        <v>0.18445600000000001</v>
      </c>
      <c r="AE91" s="16">
        <v>0.18307599999999999</v>
      </c>
      <c r="AF91" s="16">
        <v>0.18418499999999999</v>
      </c>
      <c r="AG91" s="16">
        <v>0.18477499999999999</v>
      </c>
      <c r="AH91" s="16">
        <v>0.18498600000000001</v>
      </c>
      <c r="AI91" s="16">
        <v>0.18460199999999999</v>
      </c>
      <c r="AJ91" s="16">
        <v>0.18420400000000001</v>
      </c>
      <c r="AK91" s="16">
        <v>0.18340600000000001</v>
      </c>
      <c r="AL91" s="16">
        <v>0.18420700000000001</v>
      </c>
      <c r="AM91" s="13">
        <v>-1.957E-3</v>
      </c>
    </row>
    <row r="92" spans="1:39" ht="15" customHeight="1" x14ac:dyDescent="0.25">
      <c r="A92" s="7" t="s">
        <v>133</v>
      </c>
      <c r="B92" s="10" t="s">
        <v>107</v>
      </c>
      <c r="C92" s="17">
        <v>4.4932319999999999</v>
      </c>
      <c r="D92" s="17">
        <v>4.4871610000000004</v>
      </c>
      <c r="E92" s="17">
        <v>4.436267</v>
      </c>
      <c r="F92" s="17">
        <v>4.5377460000000003</v>
      </c>
      <c r="G92" s="17">
        <v>4.5896350000000004</v>
      </c>
      <c r="H92" s="17">
        <v>4.5645810000000004</v>
      </c>
      <c r="I92" s="17">
        <v>4.5519610000000004</v>
      </c>
      <c r="J92" s="17">
        <v>4.5651380000000001</v>
      </c>
      <c r="K92" s="17">
        <v>4.555053</v>
      </c>
      <c r="L92" s="17">
        <v>4.5437279999999998</v>
      </c>
      <c r="M92" s="17">
        <v>4.5362030000000004</v>
      </c>
      <c r="N92" s="17">
        <v>4.4973049999999999</v>
      </c>
      <c r="O92" s="17">
        <v>4.4159139999999999</v>
      </c>
      <c r="P92" s="17">
        <v>4.4066510000000001</v>
      </c>
      <c r="Q92" s="17">
        <v>4.4166169999999996</v>
      </c>
      <c r="R92" s="17">
        <v>4.4202969999999997</v>
      </c>
      <c r="S92" s="17">
        <v>4.4039089999999996</v>
      </c>
      <c r="T92" s="17">
        <v>4.4133259999999996</v>
      </c>
      <c r="U92" s="17">
        <v>4.4149200000000004</v>
      </c>
      <c r="V92" s="17">
        <v>4.4273930000000004</v>
      </c>
      <c r="W92" s="17">
        <v>4.4351130000000003</v>
      </c>
      <c r="X92" s="17">
        <v>4.4770770000000004</v>
      </c>
      <c r="Y92" s="17">
        <v>4.4968450000000004</v>
      </c>
      <c r="Z92" s="17">
        <v>4.4928090000000003</v>
      </c>
      <c r="AA92" s="17">
        <v>4.5299810000000003</v>
      </c>
      <c r="AB92" s="17">
        <v>4.5438520000000002</v>
      </c>
      <c r="AC92" s="17">
        <v>4.5245379999999997</v>
      </c>
      <c r="AD92" s="17">
        <v>4.5358099999999997</v>
      </c>
      <c r="AE92" s="17">
        <v>4.513757</v>
      </c>
      <c r="AF92" s="17">
        <v>4.5222829999999998</v>
      </c>
      <c r="AG92" s="17">
        <v>4.5411409999999997</v>
      </c>
      <c r="AH92" s="17">
        <v>4.5581779999999998</v>
      </c>
      <c r="AI92" s="17">
        <v>4.5496829999999999</v>
      </c>
      <c r="AJ92" s="17">
        <v>4.5231209999999997</v>
      </c>
      <c r="AK92" s="17">
        <v>4.51715</v>
      </c>
      <c r="AL92" s="17">
        <v>4.5040849999999999</v>
      </c>
      <c r="AM92" s="15">
        <v>1.11E-4</v>
      </c>
    </row>
    <row r="93" spans="1:39" ht="15" customHeight="1" x14ac:dyDescent="0.25">
      <c r="A93" s="7" t="s">
        <v>134</v>
      </c>
      <c r="B93" s="11" t="s">
        <v>109</v>
      </c>
      <c r="C93" s="16">
        <v>0.39448</v>
      </c>
      <c r="D93" s="16">
        <v>0.38419500000000001</v>
      </c>
      <c r="E93" s="16">
        <v>0.38585700000000001</v>
      </c>
      <c r="F93" s="16">
        <v>0.372251</v>
      </c>
      <c r="G93" s="16">
        <v>0.38558500000000001</v>
      </c>
      <c r="H93" s="16">
        <v>0.38516400000000001</v>
      </c>
      <c r="I93" s="16">
        <v>0.38156499999999999</v>
      </c>
      <c r="J93" s="16">
        <v>0.38176900000000002</v>
      </c>
      <c r="K93" s="16">
        <v>0.377641</v>
      </c>
      <c r="L93" s="16">
        <v>0.37312499999999998</v>
      </c>
      <c r="M93" s="16">
        <v>0.36764200000000002</v>
      </c>
      <c r="N93" s="16">
        <v>0.35920000000000002</v>
      </c>
      <c r="O93" s="16">
        <v>0.35458600000000001</v>
      </c>
      <c r="P93" s="16">
        <v>0.34553699999999998</v>
      </c>
      <c r="Q93" s="16">
        <v>0.34420699999999999</v>
      </c>
      <c r="R93" s="16">
        <v>0.34464800000000001</v>
      </c>
      <c r="S93" s="16">
        <v>0.341142</v>
      </c>
      <c r="T93" s="16">
        <v>0.34092099999999997</v>
      </c>
      <c r="U93" s="16">
        <v>0.33917999999999998</v>
      </c>
      <c r="V93" s="16">
        <v>0.33963199999999999</v>
      </c>
      <c r="W93" s="16">
        <v>0.33777200000000002</v>
      </c>
      <c r="X93" s="16">
        <v>0.34210800000000002</v>
      </c>
      <c r="Y93" s="16">
        <v>0.34195799999999998</v>
      </c>
      <c r="Z93" s="16">
        <v>0.34053600000000001</v>
      </c>
      <c r="AA93" s="16">
        <v>0.34091500000000002</v>
      </c>
      <c r="AB93" s="16">
        <v>0.34106999999999998</v>
      </c>
      <c r="AC93" s="16">
        <v>0.337897</v>
      </c>
      <c r="AD93" s="16">
        <v>0.33849600000000002</v>
      </c>
      <c r="AE93" s="16">
        <v>0.33504699999999998</v>
      </c>
      <c r="AF93" s="16">
        <v>0.33555699999999999</v>
      </c>
      <c r="AG93" s="16">
        <v>0.335231</v>
      </c>
      <c r="AH93" s="16">
        <v>0.33433400000000002</v>
      </c>
      <c r="AI93" s="16">
        <v>0.33210099999999998</v>
      </c>
      <c r="AJ93" s="16">
        <v>0.32973999999999998</v>
      </c>
      <c r="AK93" s="16">
        <v>0.32753300000000002</v>
      </c>
      <c r="AL93" s="16">
        <v>0.32710899999999998</v>
      </c>
      <c r="AM93" s="13">
        <v>-4.7200000000000002E-3</v>
      </c>
    </row>
    <row r="94" spans="1:39" ht="15" customHeight="1" x14ac:dyDescent="0.25">
      <c r="A94" s="7" t="s">
        <v>135</v>
      </c>
      <c r="B94" s="10" t="s">
        <v>35</v>
      </c>
      <c r="C94" s="17">
        <v>4.8877119999999996</v>
      </c>
      <c r="D94" s="17">
        <v>4.8713550000000003</v>
      </c>
      <c r="E94" s="17">
        <v>4.8221239999999996</v>
      </c>
      <c r="F94" s="17">
        <v>4.9099969999999997</v>
      </c>
      <c r="G94" s="17">
        <v>4.9752200000000002</v>
      </c>
      <c r="H94" s="17">
        <v>4.9497450000000001</v>
      </c>
      <c r="I94" s="17">
        <v>4.9335259999999996</v>
      </c>
      <c r="J94" s="17">
        <v>4.9469079999999996</v>
      </c>
      <c r="K94" s="17">
        <v>4.9326930000000004</v>
      </c>
      <c r="L94" s="17">
        <v>4.9168539999999998</v>
      </c>
      <c r="M94" s="17">
        <v>4.9038459999999997</v>
      </c>
      <c r="N94" s="17">
        <v>4.8565040000000002</v>
      </c>
      <c r="O94" s="17">
        <v>4.7705010000000003</v>
      </c>
      <c r="P94" s="17">
        <v>4.7521880000000003</v>
      </c>
      <c r="Q94" s="17">
        <v>4.7608249999999996</v>
      </c>
      <c r="R94" s="17">
        <v>4.764945</v>
      </c>
      <c r="S94" s="17">
        <v>4.7450510000000001</v>
      </c>
      <c r="T94" s="17">
        <v>4.7542479999999996</v>
      </c>
      <c r="U94" s="17">
        <v>4.7541010000000004</v>
      </c>
      <c r="V94" s="17">
        <v>4.7670250000000003</v>
      </c>
      <c r="W94" s="17">
        <v>4.7728849999999996</v>
      </c>
      <c r="X94" s="17">
        <v>4.8191860000000002</v>
      </c>
      <c r="Y94" s="17">
        <v>4.8388030000000004</v>
      </c>
      <c r="Z94" s="17">
        <v>4.8333459999999997</v>
      </c>
      <c r="AA94" s="17">
        <v>4.8708960000000001</v>
      </c>
      <c r="AB94" s="17">
        <v>4.8849220000000004</v>
      </c>
      <c r="AC94" s="17">
        <v>4.8624349999999996</v>
      </c>
      <c r="AD94" s="17">
        <v>4.8743059999999998</v>
      </c>
      <c r="AE94" s="17">
        <v>4.8488040000000003</v>
      </c>
      <c r="AF94" s="17">
        <v>4.8578400000000004</v>
      </c>
      <c r="AG94" s="17">
        <v>4.8763719999999999</v>
      </c>
      <c r="AH94" s="17">
        <v>4.8925130000000001</v>
      </c>
      <c r="AI94" s="17">
        <v>4.8817830000000004</v>
      </c>
      <c r="AJ94" s="17">
        <v>4.8528609999999999</v>
      </c>
      <c r="AK94" s="17">
        <v>4.8446829999999999</v>
      </c>
      <c r="AL94" s="17">
        <v>4.831194</v>
      </c>
      <c r="AM94" s="15">
        <v>-2.43E-4</v>
      </c>
    </row>
    <row r="96" spans="1:39" ht="15" customHeight="1" x14ac:dyDescent="0.25">
      <c r="B96" s="10" t="s">
        <v>136</v>
      </c>
    </row>
    <row r="97" spans="1:39" ht="15" customHeight="1" x14ac:dyDescent="0.25">
      <c r="A97" s="7" t="s">
        <v>137</v>
      </c>
      <c r="B97" s="11" t="s">
        <v>113</v>
      </c>
      <c r="C97" s="16">
        <v>0.50590000000000002</v>
      </c>
      <c r="D97" s="16">
        <v>0.42030000000000001</v>
      </c>
      <c r="E97" s="16">
        <v>0.2225</v>
      </c>
      <c r="F97" s="16">
        <v>0.37594</v>
      </c>
      <c r="G97" s="16">
        <v>0.38065300000000002</v>
      </c>
      <c r="H97" s="16">
        <v>0.38391500000000001</v>
      </c>
      <c r="I97" s="16">
        <v>0.38768999999999998</v>
      </c>
      <c r="J97" s="16">
        <v>0.39081500000000002</v>
      </c>
      <c r="K97" s="16">
        <v>0.394789</v>
      </c>
      <c r="L97" s="16">
        <v>0.39755800000000002</v>
      </c>
      <c r="M97" s="16">
        <v>0.39858500000000002</v>
      </c>
      <c r="N97" s="16">
        <v>0.39817000000000002</v>
      </c>
      <c r="O97" s="16">
        <v>0.39751700000000001</v>
      </c>
      <c r="P97" s="16">
        <v>0.39837</v>
      </c>
      <c r="Q97" s="16">
        <v>0.39935799999999999</v>
      </c>
      <c r="R97" s="16">
        <v>0.40033099999999999</v>
      </c>
      <c r="S97" s="16">
        <v>0.40026099999999998</v>
      </c>
      <c r="T97" s="16">
        <v>0.39949600000000002</v>
      </c>
      <c r="U97" s="16">
        <v>0.40012900000000001</v>
      </c>
      <c r="V97" s="16">
        <v>0.40291900000000003</v>
      </c>
      <c r="W97" s="16">
        <v>0.40662999999999999</v>
      </c>
      <c r="X97" s="16">
        <v>0.40806599999999998</v>
      </c>
      <c r="Y97" s="16">
        <v>0.41023799999999999</v>
      </c>
      <c r="Z97" s="16">
        <v>0.41265299999999999</v>
      </c>
      <c r="AA97" s="16">
        <v>0.413997</v>
      </c>
      <c r="AB97" s="16">
        <v>0.41594700000000001</v>
      </c>
      <c r="AC97" s="16">
        <v>0.41811100000000001</v>
      </c>
      <c r="AD97" s="16">
        <v>0.41983399999999998</v>
      </c>
      <c r="AE97" s="16">
        <v>0.42339199999999999</v>
      </c>
      <c r="AF97" s="16">
        <v>0.42688799999999999</v>
      </c>
      <c r="AG97" s="16">
        <v>0.430091</v>
      </c>
      <c r="AH97" s="16">
        <v>0.43318699999999999</v>
      </c>
      <c r="AI97" s="16">
        <v>0.435805</v>
      </c>
      <c r="AJ97" s="16">
        <v>0.43762699999999999</v>
      </c>
      <c r="AK97" s="16">
        <v>0.43981500000000001</v>
      </c>
      <c r="AL97" s="16">
        <v>0.44229299999999999</v>
      </c>
      <c r="AM97" s="13">
        <v>1.5009999999999999E-3</v>
      </c>
    </row>
    <row r="98" spans="1:39" ht="15" customHeight="1" x14ac:dyDescent="0.25">
      <c r="A98" s="7" t="s">
        <v>138</v>
      </c>
      <c r="B98" s="19" t="s">
        <v>76</v>
      </c>
      <c r="C98" s="16">
        <v>1.9870000000000001</v>
      </c>
      <c r="D98" s="16">
        <v>2.073</v>
      </c>
      <c r="E98" s="16">
        <v>2.3319999999999999</v>
      </c>
      <c r="F98" s="16">
        <v>2.3719999999999999</v>
      </c>
      <c r="G98" s="16">
        <v>2.5059999999999998</v>
      </c>
      <c r="H98" s="16">
        <v>2.563272</v>
      </c>
      <c r="I98" s="16">
        <v>2.6233200000000001</v>
      </c>
      <c r="J98" s="16">
        <v>2.7100170000000001</v>
      </c>
      <c r="K98" s="16">
        <v>2.7880020000000001</v>
      </c>
      <c r="L98" s="16">
        <v>2.844271</v>
      </c>
      <c r="M98" s="16">
        <v>2.8868369999999999</v>
      </c>
      <c r="N98" s="16">
        <v>2.9406699999999999</v>
      </c>
      <c r="O98" s="16">
        <v>2.9585020000000002</v>
      </c>
      <c r="P98" s="16">
        <v>2.972067</v>
      </c>
      <c r="Q98" s="16">
        <v>2.9963120000000001</v>
      </c>
      <c r="R98" s="16">
        <v>3.026602</v>
      </c>
      <c r="S98" s="16">
        <v>3.054808</v>
      </c>
      <c r="T98" s="16">
        <v>3.0776340000000002</v>
      </c>
      <c r="U98" s="16">
        <v>3.088012</v>
      </c>
      <c r="V98" s="16">
        <v>3.120212</v>
      </c>
      <c r="W98" s="16">
        <v>3.145572</v>
      </c>
      <c r="X98" s="16">
        <v>3.1721430000000002</v>
      </c>
      <c r="Y98" s="16">
        <v>3.1932749999999999</v>
      </c>
      <c r="Z98" s="16">
        <v>3.2206480000000002</v>
      </c>
      <c r="AA98" s="16">
        <v>3.255649</v>
      </c>
      <c r="AB98" s="16">
        <v>3.2761849999999999</v>
      </c>
      <c r="AC98" s="16">
        <v>3.2835559999999999</v>
      </c>
      <c r="AD98" s="16">
        <v>3.2855639999999999</v>
      </c>
      <c r="AE98" s="16">
        <v>3.2947950000000001</v>
      </c>
      <c r="AF98" s="16">
        <v>3.3035169999999998</v>
      </c>
      <c r="AG98" s="16">
        <v>3.3103889999999998</v>
      </c>
      <c r="AH98" s="16">
        <v>3.3109299999999999</v>
      </c>
      <c r="AI98" s="16">
        <v>3.3376190000000001</v>
      </c>
      <c r="AJ98" s="16">
        <v>3.3601519999999998</v>
      </c>
      <c r="AK98" s="16">
        <v>3.3838140000000001</v>
      </c>
      <c r="AL98" s="16">
        <v>3.4216090000000001</v>
      </c>
      <c r="AM98" s="13">
        <v>1.4848E-2</v>
      </c>
    </row>
    <row r="99" spans="1:39" ht="15" customHeight="1" x14ac:dyDescent="0.25">
      <c r="A99" s="7" t="s">
        <v>139</v>
      </c>
      <c r="B99" s="11" t="s">
        <v>40</v>
      </c>
      <c r="C99" s="16">
        <v>0.21990000000000001</v>
      </c>
      <c r="D99" s="16">
        <v>0.2243</v>
      </c>
      <c r="E99" s="16">
        <v>0.22489999999999999</v>
      </c>
      <c r="F99" s="16">
        <v>0.22511300000000001</v>
      </c>
      <c r="G99" s="16">
        <v>0.22543099999999999</v>
      </c>
      <c r="H99" s="16">
        <v>0.22559000000000001</v>
      </c>
      <c r="I99" s="16">
        <v>0.225665</v>
      </c>
      <c r="J99" s="16">
        <v>0.22609699999999999</v>
      </c>
      <c r="K99" s="16">
        <v>0.22711600000000001</v>
      </c>
      <c r="L99" s="16">
        <v>0.22806899999999999</v>
      </c>
      <c r="M99" s="16">
        <v>0.22831799999999999</v>
      </c>
      <c r="N99" s="16">
        <v>0.22753899999999999</v>
      </c>
      <c r="O99" s="16">
        <v>0.22648799999999999</v>
      </c>
      <c r="P99" s="16">
        <v>0.226463</v>
      </c>
      <c r="Q99" s="16">
        <v>0.226601</v>
      </c>
      <c r="R99" s="16">
        <v>0.226354</v>
      </c>
      <c r="S99" s="16">
        <v>0.226215</v>
      </c>
      <c r="T99" s="16">
        <v>0.226521</v>
      </c>
      <c r="U99" s="16">
        <v>0.22661500000000001</v>
      </c>
      <c r="V99" s="16">
        <v>0.22736899999999999</v>
      </c>
      <c r="W99" s="16">
        <v>0.22811799999999999</v>
      </c>
      <c r="X99" s="16">
        <v>0.228715</v>
      </c>
      <c r="Y99" s="16">
        <v>0.229436</v>
      </c>
      <c r="Z99" s="16">
        <v>0.230513</v>
      </c>
      <c r="AA99" s="16">
        <v>0.231354</v>
      </c>
      <c r="AB99" s="16">
        <v>0.23180700000000001</v>
      </c>
      <c r="AC99" s="16">
        <v>0.232296</v>
      </c>
      <c r="AD99" s="16">
        <v>0.233019</v>
      </c>
      <c r="AE99" s="16">
        <v>0.23400199999999999</v>
      </c>
      <c r="AF99" s="16">
        <v>0.234792</v>
      </c>
      <c r="AG99" s="16">
        <v>0.235401</v>
      </c>
      <c r="AH99" s="16">
        <v>0.236036</v>
      </c>
      <c r="AI99" s="16">
        <v>0.23682300000000001</v>
      </c>
      <c r="AJ99" s="16">
        <v>0.237761</v>
      </c>
      <c r="AK99" s="16">
        <v>0.23885999999999999</v>
      </c>
      <c r="AL99" s="16">
        <v>0.24023700000000001</v>
      </c>
      <c r="AM99" s="13">
        <v>2.0209999999999998E-3</v>
      </c>
    </row>
    <row r="100" spans="1:39" ht="15" customHeight="1" x14ac:dyDescent="0.25">
      <c r="A100" s="7" t="s">
        <v>140</v>
      </c>
      <c r="B100" s="11" t="s">
        <v>42</v>
      </c>
      <c r="C100" s="16">
        <v>1.3360920000000001</v>
      </c>
      <c r="D100" s="16">
        <v>1.292092</v>
      </c>
      <c r="E100" s="16">
        <v>1.3212919999999999</v>
      </c>
      <c r="F100" s="16">
        <v>1.3653999999999999</v>
      </c>
      <c r="G100" s="16">
        <v>1.4102490000000001</v>
      </c>
      <c r="H100" s="16">
        <v>1.4339580000000001</v>
      </c>
      <c r="I100" s="16">
        <v>1.4577100000000001</v>
      </c>
      <c r="J100" s="16">
        <v>1.486831</v>
      </c>
      <c r="K100" s="16">
        <v>1.51831</v>
      </c>
      <c r="L100" s="16">
        <v>1.5369120000000001</v>
      </c>
      <c r="M100" s="16">
        <v>1.548057</v>
      </c>
      <c r="N100" s="16">
        <v>1.5543210000000001</v>
      </c>
      <c r="O100" s="16">
        <v>1.5602339999999999</v>
      </c>
      <c r="P100" s="16">
        <v>1.562713</v>
      </c>
      <c r="Q100" s="16">
        <v>1.56603</v>
      </c>
      <c r="R100" s="16">
        <v>1.570784</v>
      </c>
      <c r="S100" s="16">
        <v>1.574465</v>
      </c>
      <c r="T100" s="16">
        <v>1.574559</v>
      </c>
      <c r="U100" s="16">
        <v>1.5766150000000001</v>
      </c>
      <c r="V100" s="16">
        <v>1.5870979999999999</v>
      </c>
      <c r="W100" s="16">
        <v>1.5999239999999999</v>
      </c>
      <c r="X100" s="16">
        <v>1.6089739999999999</v>
      </c>
      <c r="Y100" s="16">
        <v>1.618447</v>
      </c>
      <c r="Z100" s="16">
        <v>1.6302140000000001</v>
      </c>
      <c r="AA100" s="16">
        <v>1.6393450000000001</v>
      </c>
      <c r="AB100" s="16">
        <v>1.647634</v>
      </c>
      <c r="AC100" s="16">
        <v>1.657359</v>
      </c>
      <c r="AD100" s="16">
        <v>1.666458</v>
      </c>
      <c r="AE100" s="16">
        <v>1.680328</v>
      </c>
      <c r="AF100" s="16">
        <v>1.6945170000000001</v>
      </c>
      <c r="AG100" s="16">
        <v>1.7071160000000001</v>
      </c>
      <c r="AH100" s="16">
        <v>1.7192750000000001</v>
      </c>
      <c r="AI100" s="16">
        <v>1.7310220000000001</v>
      </c>
      <c r="AJ100" s="16">
        <v>1.741978</v>
      </c>
      <c r="AK100" s="16">
        <v>1.7544090000000001</v>
      </c>
      <c r="AL100" s="16">
        <v>1.769379</v>
      </c>
      <c r="AM100" s="13">
        <v>9.2890000000000004E-3</v>
      </c>
    </row>
    <row r="101" spans="1:39" ht="15" customHeight="1" x14ac:dyDescent="0.25">
      <c r="A101" s="7" t="s">
        <v>141</v>
      </c>
      <c r="B101" s="11" t="s">
        <v>44</v>
      </c>
      <c r="C101" s="16">
        <v>4.0300000000000002E-2</v>
      </c>
      <c r="D101" s="16">
        <v>5.3499999999999999E-2</v>
      </c>
      <c r="E101" s="16">
        <v>3.9800000000000002E-2</v>
      </c>
      <c r="F101" s="16">
        <v>3.7276999999999998E-2</v>
      </c>
      <c r="G101" s="16">
        <v>4.1278000000000002E-2</v>
      </c>
      <c r="H101" s="16">
        <v>4.4921000000000003E-2</v>
      </c>
      <c r="I101" s="16">
        <v>4.4889999999999999E-2</v>
      </c>
      <c r="J101" s="16">
        <v>4.5415999999999998E-2</v>
      </c>
      <c r="K101" s="16">
        <v>4.6996999999999997E-2</v>
      </c>
      <c r="L101" s="16">
        <v>4.7966000000000002E-2</v>
      </c>
      <c r="M101" s="16">
        <v>4.7971E-2</v>
      </c>
      <c r="N101" s="16">
        <v>4.8467999999999997E-2</v>
      </c>
      <c r="O101" s="16">
        <v>4.9263000000000001E-2</v>
      </c>
      <c r="P101" s="16">
        <v>4.9724999999999998E-2</v>
      </c>
      <c r="Q101" s="16">
        <v>4.9722000000000002E-2</v>
      </c>
      <c r="R101" s="16">
        <v>4.9217999999999998E-2</v>
      </c>
      <c r="S101" s="16">
        <v>4.8916000000000001E-2</v>
      </c>
      <c r="T101" s="16">
        <v>4.7935999999999999E-2</v>
      </c>
      <c r="U101" s="16">
        <v>4.7828000000000002E-2</v>
      </c>
      <c r="V101" s="16">
        <v>4.6989000000000003E-2</v>
      </c>
      <c r="W101" s="16">
        <v>4.7101999999999998E-2</v>
      </c>
      <c r="X101" s="16">
        <v>4.6535E-2</v>
      </c>
      <c r="Y101" s="16">
        <v>4.6795999999999997E-2</v>
      </c>
      <c r="Z101" s="16">
        <v>4.6755999999999999E-2</v>
      </c>
      <c r="AA101" s="16">
        <v>4.6877000000000002E-2</v>
      </c>
      <c r="AB101" s="16">
        <v>4.6614000000000003E-2</v>
      </c>
      <c r="AC101" s="16">
        <v>4.6285E-2</v>
      </c>
      <c r="AD101" s="16">
        <v>4.7024999999999997E-2</v>
      </c>
      <c r="AE101" s="16">
        <v>4.7745000000000003E-2</v>
      </c>
      <c r="AF101" s="16">
        <v>4.8265000000000002E-2</v>
      </c>
      <c r="AG101" s="16">
        <v>4.8825E-2</v>
      </c>
      <c r="AH101" s="16">
        <v>4.9190999999999999E-2</v>
      </c>
      <c r="AI101" s="16">
        <v>4.9584000000000003E-2</v>
      </c>
      <c r="AJ101" s="16">
        <v>4.9961999999999999E-2</v>
      </c>
      <c r="AK101" s="16">
        <v>5.0768000000000001E-2</v>
      </c>
      <c r="AL101" s="16">
        <v>5.0899E-2</v>
      </c>
      <c r="AM101" s="13">
        <v>-1.4649999999999999E-3</v>
      </c>
    </row>
    <row r="102" spans="1:39" ht="15" customHeight="1" x14ac:dyDescent="0.25">
      <c r="A102" s="7" t="s">
        <v>142</v>
      </c>
      <c r="B102" s="19" t="s">
        <v>81</v>
      </c>
      <c r="C102" s="16">
        <v>0.65710000000000002</v>
      </c>
      <c r="D102" s="16">
        <v>0.65669999999999995</v>
      </c>
      <c r="E102" s="16">
        <v>0.68010000000000004</v>
      </c>
      <c r="F102" s="16">
        <v>0.76151000000000002</v>
      </c>
      <c r="G102" s="16">
        <v>0.84016199999999996</v>
      </c>
      <c r="H102" s="16">
        <v>0.838507</v>
      </c>
      <c r="I102" s="16">
        <v>0.86707199999999995</v>
      </c>
      <c r="J102" s="16">
        <v>0.90500400000000003</v>
      </c>
      <c r="K102" s="16">
        <v>0.93938999999999995</v>
      </c>
      <c r="L102" s="16">
        <v>0.96431</v>
      </c>
      <c r="M102" s="16">
        <v>0.98275900000000005</v>
      </c>
      <c r="N102" s="16">
        <v>1.004864</v>
      </c>
      <c r="O102" s="16">
        <v>1.0125690000000001</v>
      </c>
      <c r="P102" s="16">
        <v>1.01817</v>
      </c>
      <c r="Q102" s="16">
        <v>1.027987</v>
      </c>
      <c r="R102" s="16">
        <v>1.0400510000000001</v>
      </c>
      <c r="S102" s="16">
        <v>1.05155</v>
      </c>
      <c r="T102" s="16">
        <v>1.0610790000000001</v>
      </c>
      <c r="U102" s="16">
        <v>1.0658179999999999</v>
      </c>
      <c r="V102" s="16">
        <v>1.079364</v>
      </c>
      <c r="W102" s="16">
        <v>1.090239</v>
      </c>
      <c r="X102" s="16">
        <v>1.1018969999999999</v>
      </c>
      <c r="Y102" s="16">
        <v>1.1110530000000001</v>
      </c>
      <c r="Z102" s="16">
        <v>1.122978</v>
      </c>
      <c r="AA102" s="16">
        <v>1.138927</v>
      </c>
      <c r="AB102" s="16">
        <v>1.148863</v>
      </c>
      <c r="AC102" s="16">
        <v>1.153035</v>
      </c>
      <c r="AD102" s="16">
        <v>1.1547210000000001</v>
      </c>
      <c r="AE102" s="16">
        <v>1.1588689999999999</v>
      </c>
      <c r="AF102" s="16">
        <v>1.1628609999999999</v>
      </c>
      <c r="AG102" s="16">
        <v>1.1660649999999999</v>
      </c>
      <c r="AH102" s="16">
        <v>1.1658200000000001</v>
      </c>
      <c r="AI102" s="16">
        <v>1.1782630000000001</v>
      </c>
      <c r="AJ102" s="16">
        <v>1.189398</v>
      </c>
      <c r="AK102" s="16">
        <v>1.2012020000000001</v>
      </c>
      <c r="AL102" s="16">
        <v>1.2195560000000001</v>
      </c>
      <c r="AM102" s="13">
        <v>1.8373E-2</v>
      </c>
    </row>
    <row r="103" spans="1:39" ht="15" customHeight="1" x14ac:dyDescent="0.25">
      <c r="A103" s="7" t="s">
        <v>143</v>
      </c>
      <c r="B103" s="19" t="s">
        <v>83</v>
      </c>
      <c r="C103" s="16">
        <v>0.66300000000000003</v>
      </c>
      <c r="D103" s="16">
        <v>0.62670000000000003</v>
      </c>
      <c r="E103" s="16">
        <v>0.65449999999999997</v>
      </c>
      <c r="F103" s="16">
        <v>0.59681499999999998</v>
      </c>
      <c r="G103" s="16">
        <v>0.55722700000000003</v>
      </c>
      <c r="H103" s="16">
        <v>0.54598199999999997</v>
      </c>
      <c r="I103" s="16">
        <v>0.53116099999999999</v>
      </c>
      <c r="J103" s="16">
        <v>0.52685599999999999</v>
      </c>
      <c r="K103" s="16">
        <v>0.52451199999999998</v>
      </c>
      <c r="L103" s="16">
        <v>0.52459299999999998</v>
      </c>
      <c r="M103" s="16">
        <v>0.52056100000000005</v>
      </c>
      <c r="N103" s="16">
        <v>0.52105599999999996</v>
      </c>
      <c r="O103" s="16">
        <v>0.52322000000000002</v>
      </c>
      <c r="P103" s="16">
        <v>0.52665700000000004</v>
      </c>
      <c r="Q103" s="16">
        <v>0.53204200000000001</v>
      </c>
      <c r="R103" s="16">
        <v>0.53812400000000005</v>
      </c>
      <c r="S103" s="16">
        <v>0.53559199999999996</v>
      </c>
      <c r="T103" s="16">
        <v>0.53210299999999999</v>
      </c>
      <c r="U103" s="16">
        <v>0.530775</v>
      </c>
      <c r="V103" s="16">
        <v>0.52763899999999997</v>
      </c>
      <c r="W103" s="16">
        <v>0.52519899999999997</v>
      </c>
      <c r="X103" s="16">
        <v>0.524563</v>
      </c>
      <c r="Y103" s="16">
        <v>0.52420100000000003</v>
      </c>
      <c r="Z103" s="16">
        <v>0.52660200000000001</v>
      </c>
      <c r="AA103" s="16">
        <v>0.52825100000000003</v>
      </c>
      <c r="AB103" s="16">
        <v>0.52565700000000004</v>
      </c>
      <c r="AC103" s="16">
        <v>0.52381200000000006</v>
      </c>
      <c r="AD103" s="16">
        <v>0.52812599999999998</v>
      </c>
      <c r="AE103" s="16">
        <v>0.52887200000000001</v>
      </c>
      <c r="AF103" s="16">
        <v>0.52966500000000005</v>
      </c>
      <c r="AG103" s="16">
        <v>0.53057799999999999</v>
      </c>
      <c r="AH103" s="16">
        <v>0.53165300000000004</v>
      </c>
      <c r="AI103" s="16">
        <v>0.52736099999999997</v>
      </c>
      <c r="AJ103" s="16">
        <v>0.52363499999999996</v>
      </c>
      <c r="AK103" s="16">
        <v>0.52476299999999998</v>
      </c>
      <c r="AL103" s="16">
        <v>0.52896600000000005</v>
      </c>
      <c r="AM103" s="13">
        <v>-4.9740000000000001E-3</v>
      </c>
    </row>
    <row r="104" spans="1:39" ht="15" customHeight="1" x14ac:dyDescent="0.25">
      <c r="A104" s="7" t="s">
        <v>144</v>
      </c>
      <c r="B104" s="19" t="s">
        <v>46</v>
      </c>
      <c r="C104" s="16">
        <v>0.83169999999999999</v>
      </c>
      <c r="D104" s="16">
        <v>0.86480000000000001</v>
      </c>
      <c r="E104" s="16">
        <v>0.88790000000000002</v>
      </c>
      <c r="F104" s="16">
        <v>0.92293000000000003</v>
      </c>
      <c r="G104" s="16">
        <v>0.91823399999999999</v>
      </c>
      <c r="H104" s="16">
        <v>0.87751800000000002</v>
      </c>
      <c r="I104" s="16">
        <v>0.87732600000000005</v>
      </c>
      <c r="J104" s="16">
        <v>0.88183900000000004</v>
      </c>
      <c r="K104" s="16">
        <v>0.89540200000000003</v>
      </c>
      <c r="L104" s="16">
        <v>0.90592300000000003</v>
      </c>
      <c r="M104" s="16">
        <v>0.91167399999999998</v>
      </c>
      <c r="N104" s="16">
        <v>0.91922899999999996</v>
      </c>
      <c r="O104" s="16">
        <v>0.93424200000000002</v>
      </c>
      <c r="P104" s="16">
        <v>0.95483499999999999</v>
      </c>
      <c r="Q104" s="16">
        <v>0.97688600000000003</v>
      </c>
      <c r="R104" s="16">
        <v>1.003552</v>
      </c>
      <c r="S104" s="16">
        <v>1.031876</v>
      </c>
      <c r="T104" s="16">
        <v>1.0546089999999999</v>
      </c>
      <c r="U104" s="16">
        <v>1.078721</v>
      </c>
      <c r="V104" s="16">
        <v>1.1038539999999999</v>
      </c>
      <c r="W104" s="16">
        <v>1.1278349999999999</v>
      </c>
      <c r="X104" s="16">
        <v>1.1513329999999999</v>
      </c>
      <c r="Y104" s="16">
        <v>1.1761509999999999</v>
      </c>
      <c r="Z104" s="16">
        <v>1.2020379999999999</v>
      </c>
      <c r="AA104" s="16">
        <v>1.2288920000000001</v>
      </c>
      <c r="AB104" s="16">
        <v>1.256262</v>
      </c>
      <c r="AC104" s="16">
        <v>1.2840990000000001</v>
      </c>
      <c r="AD104" s="16">
        <v>1.3125519999999999</v>
      </c>
      <c r="AE104" s="16">
        <v>1.3417539999999999</v>
      </c>
      <c r="AF104" s="16">
        <v>1.3717299999999999</v>
      </c>
      <c r="AG104" s="16">
        <v>1.401856</v>
      </c>
      <c r="AH104" s="16">
        <v>1.432274</v>
      </c>
      <c r="AI104" s="16">
        <v>1.463516</v>
      </c>
      <c r="AJ104" s="16">
        <v>1.4952559999999999</v>
      </c>
      <c r="AK104" s="16">
        <v>1.5276380000000001</v>
      </c>
      <c r="AL104" s="16">
        <v>1.560454</v>
      </c>
      <c r="AM104" s="13">
        <v>1.7510999999999999E-2</v>
      </c>
    </row>
    <row r="105" spans="1:39" ht="15" customHeight="1" x14ac:dyDescent="0.25">
      <c r="A105" s="7" t="s">
        <v>145</v>
      </c>
      <c r="B105" s="11" t="s">
        <v>118</v>
      </c>
      <c r="C105" s="16">
        <v>1.4589049999999999</v>
      </c>
      <c r="D105" s="16">
        <v>1.4950060000000001</v>
      </c>
      <c r="E105" s="16">
        <v>1.5311060000000001</v>
      </c>
      <c r="F105" s="16">
        <v>1.7190270000000001</v>
      </c>
      <c r="G105" s="16">
        <v>1.7270669999999999</v>
      </c>
      <c r="H105" s="16">
        <v>1.7168650000000001</v>
      </c>
      <c r="I105" s="16">
        <v>1.723986</v>
      </c>
      <c r="J105" s="16">
        <v>1.7376959999999999</v>
      </c>
      <c r="K105" s="16">
        <v>1.7428410000000001</v>
      </c>
      <c r="L105" s="16">
        <v>1.744022</v>
      </c>
      <c r="M105" s="16">
        <v>1.739309</v>
      </c>
      <c r="N105" s="16">
        <v>1.734964</v>
      </c>
      <c r="O105" s="16">
        <v>1.7371019999999999</v>
      </c>
      <c r="P105" s="16">
        <v>1.722135</v>
      </c>
      <c r="Q105" s="16">
        <v>1.727155</v>
      </c>
      <c r="R105" s="16">
        <v>1.733779</v>
      </c>
      <c r="S105" s="16">
        <v>1.7232080000000001</v>
      </c>
      <c r="T105" s="16">
        <v>1.7202120000000001</v>
      </c>
      <c r="U105" s="16">
        <v>1.7081679999999999</v>
      </c>
      <c r="V105" s="16">
        <v>1.704464</v>
      </c>
      <c r="W105" s="16">
        <v>1.697673</v>
      </c>
      <c r="X105" s="16">
        <v>1.6982710000000001</v>
      </c>
      <c r="Y105" s="16">
        <v>1.702383</v>
      </c>
      <c r="Z105" s="16">
        <v>1.6952750000000001</v>
      </c>
      <c r="AA105" s="16">
        <v>1.707419</v>
      </c>
      <c r="AB105" s="16">
        <v>1.710869</v>
      </c>
      <c r="AC105" s="16">
        <v>1.699165</v>
      </c>
      <c r="AD105" s="16">
        <v>1.70675</v>
      </c>
      <c r="AE105" s="16">
        <v>1.6985539999999999</v>
      </c>
      <c r="AF105" s="16">
        <v>1.7002740000000001</v>
      </c>
      <c r="AG105" s="16">
        <v>1.7027509999999999</v>
      </c>
      <c r="AH105" s="16">
        <v>1.7060249999999999</v>
      </c>
      <c r="AI105" s="16">
        <v>1.704993</v>
      </c>
      <c r="AJ105" s="16">
        <v>1.697327</v>
      </c>
      <c r="AK105" s="16">
        <v>1.694556</v>
      </c>
      <c r="AL105" s="16">
        <v>1.703586</v>
      </c>
      <c r="AM105" s="13">
        <v>3.849E-3</v>
      </c>
    </row>
    <row r="106" spans="1:39" ht="15" customHeight="1" x14ac:dyDescent="0.25">
      <c r="A106" s="7" t="s">
        <v>146</v>
      </c>
      <c r="B106" s="11" t="s">
        <v>86</v>
      </c>
      <c r="C106" s="16">
        <v>0.43631199999999998</v>
      </c>
      <c r="D106" s="16">
        <v>0.43351200000000001</v>
      </c>
      <c r="E106" s="16">
        <v>0.43891200000000002</v>
      </c>
      <c r="F106" s="16">
        <v>0.42168</v>
      </c>
      <c r="G106" s="16">
        <v>0.414495</v>
      </c>
      <c r="H106" s="16">
        <v>0.41273700000000002</v>
      </c>
      <c r="I106" s="16">
        <v>0.41211799999999998</v>
      </c>
      <c r="J106" s="16">
        <v>0.41196700000000003</v>
      </c>
      <c r="K106" s="16">
        <v>0.41101300000000002</v>
      </c>
      <c r="L106" s="16">
        <v>0.41027400000000003</v>
      </c>
      <c r="M106" s="16">
        <v>0.406669</v>
      </c>
      <c r="N106" s="16">
        <v>0.401422</v>
      </c>
      <c r="O106" s="16">
        <v>0.397148</v>
      </c>
      <c r="P106" s="16">
        <v>0.39685799999999999</v>
      </c>
      <c r="Q106" s="16">
        <v>0.39647900000000003</v>
      </c>
      <c r="R106" s="16">
        <v>0.39593800000000001</v>
      </c>
      <c r="S106" s="16">
        <v>0.39440399999999998</v>
      </c>
      <c r="T106" s="16">
        <v>0.39260200000000001</v>
      </c>
      <c r="U106" s="16">
        <v>0.39258999999999999</v>
      </c>
      <c r="V106" s="16">
        <v>0.39409300000000003</v>
      </c>
      <c r="W106" s="16">
        <v>0.396152</v>
      </c>
      <c r="X106" s="16">
        <v>0.396843</v>
      </c>
      <c r="Y106" s="16">
        <v>0.39815299999999998</v>
      </c>
      <c r="Z106" s="16">
        <v>0.40101500000000001</v>
      </c>
      <c r="AA106" s="16">
        <v>0.40276499999999998</v>
      </c>
      <c r="AB106" s="16">
        <v>0.40421899999999999</v>
      </c>
      <c r="AC106" s="16">
        <v>0.40576699999999999</v>
      </c>
      <c r="AD106" s="16">
        <v>0.40681800000000001</v>
      </c>
      <c r="AE106" s="16">
        <v>0.40927000000000002</v>
      </c>
      <c r="AF106" s="16">
        <v>0.41189599999999998</v>
      </c>
      <c r="AG106" s="16">
        <v>0.41415299999999999</v>
      </c>
      <c r="AH106" s="16">
        <v>0.41649000000000003</v>
      </c>
      <c r="AI106" s="16">
        <v>0.418512</v>
      </c>
      <c r="AJ106" s="16">
        <v>0.42048200000000002</v>
      </c>
      <c r="AK106" s="16">
        <v>0.42259600000000003</v>
      </c>
      <c r="AL106" s="16">
        <v>0.425209</v>
      </c>
      <c r="AM106" s="13">
        <v>-5.6899999999999995E-4</v>
      </c>
    </row>
    <row r="107" spans="1:39" ht="15" customHeight="1" x14ac:dyDescent="0.25">
      <c r="A107" s="7" t="s">
        <v>147</v>
      </c>
      <c r="B107" s="11" t="s">
        <v>88</v>
      </c>
      <c r="C107" s="16">
        <v>8.1362089999999991</v>
      </c>
      <c r="D107" s="16">
        <v>8.1399100000000004</v>
      </c>
      <c r="E107" s="16">
        <v>8.3330099999999998</v>
      </c>
      <c r="F107" s="16">
        <v>8.7976919999999996</v>
      </c>
      <c r="G107" s="16">
        <v>9.0207960000000007</v>
      </c>
      <c r="H107" s="16">
        <v>9.0432640000000006</v>
      </c>
      <c r="I107" s="16">
        <v>9.150938</v>
      </c>
      <c r="J107" s="16">
        <v>9.3225359999999995</v>
      </c>
      <c r="K107" s="16">
        <v>9.4883729999999993</v>
      </c>
      <c r="L107" s="16">
        <v>9.6038990000000002</v>
      </c>
      <c r="M107" s="16">
        <v>9.6707389999999993</v>
      </c>
      <c r="N107" s="16">
        <v>9.7507040000000007</v>
      </c>
      <c r="O107" s="16">
        <v>9.7962860000000003</v>
      </c>
      <c r="P107" s="16">
        <v>9.8279929999999993</v>
      </c>
      <c r="Q107" s="16">
        <v>9.8985710000000005</v>
      </c>
      <c r="R107" s="16">
        <v>9.9847330000000003</v>
      </c>
      <c r="S107" s="16">
        <v>10.041296000000001</v>
      </c>
      <c r="T107" s="16">
        <v>10.086753</v>
      </c>
      <c r="U107" s="16">
        <v>10.115270000000001</v>
      </c>
      <c r="V107" s="16">
        <v>10.194001</v>
      </c>
      <c r="W107" s="16">
        <v>10.264443999999999</v>
      </c>
      <c r="X107" s="16">
        <v>10.337337</v>
      </c>
      <c r="Y107" s="16">
        <v>10.410133</v>
      </c>
      <c r="Z107" s="16">
        <v>10.488690999999999</v>
      </c>
      <c r="AA107" s="16">
        <v>10.593475</v>
      </c>
      <c r="AB107" s="16">
        <v>10.664058000000001</v>
      </c>
      <c r="AC107" s="16">
        <v>10.703485000000001</v>
      </c>
      <c r="AD107" s="16">
        <v>10.760866999999999</v>
      </c>
      <c r="AE107" s="16">
        <v>10.817581000000001</v>
      </c>
      <c r="AF107" s="16">
        <v>10.884404999999999</v>
      </c>
      <c r="AG107" s="16">
        <v>10.947225</v>
      </c>
      <c r="AH107" s="16">
        <v>11.000882000000001</v>
      </c>
      <c r="AI107" s="16">
        <v>11.083498000000001</v>
      </c>
      <c r="AJ107" s="16">
        <v>11.153577</v>
      </c>
      <c r="AK107" s="16">
        <v>11.23842</v>
      </c>
      <c r="AL107" s="16">
        <v>11.362187</v>
      </c>
      <c r="AM107" s="13">
        <v>9.8569999999999994E-3</v>
      </c>
    </row>
    <row r="108" spans="1:39" ht="15" customHeight="1" x14ac:dyDescent="0.25">
      <c r="A108" s="7" t="s">
        <v>148</v>
      </c>
      <c r="B108" s="11" t="s">
        <v>48</v>
      </c>
      <c r="C108" s="16">
        <v>6.8757479999999997</v>
      </c>
      <c r="D108" s="16">
        <v>6.9543929999999996</v>
      </c>
      <c r="E108" s="16">
        <v>6.889265</v>
      </c>
      <c r="F108" s="16">
        <v>6.9766209999999997</v>
      </c>
      <c r="G108" s="16">
        <v>7.1108229999999999</v>
      </c>
      <c r="H108" s="16">
        <v>7.1676089999999997</v>
      </c>
      <c r="I108" s="16">
        <v>7.2969889999999999</v>
      </c>
      <c r="J108" s="16">
        <v>7.4370200000000004</v>
      </c>
      <c r="K108" s="16">
        <v>7.5482899999999997</v>
      </c>
      <c r="L108" s="16">
        <v>7.6148249999999997</v>
      </c>
      <c r="M108" s="16">
        <v>7.6565200000000004</v>
      </c>
      <c r="N108" s="16">
        <v>7.6572329999999997</v>
      </c>
      <c r="O108" s="16">
        <v>7.6158060000000001</v>
      </c>
      <c r="P108" s="16">
        <v>7.6264149999999997</v>
      </c>
      <c r="Q108" s="16">
        <v>7.6396179999999996</v>
      </c>
      <c r="R108" s="16">
        <v>7.6515589999999998</v>
      </c>
      <c r="S108" s="16">
        <v>7.6644759999999996</v>
      </c>
      <c r="T108" s="16">
        <v>7.6980719999999998</v>
      </c>
      <c r="U108" s="16">
        <v>7.7369870000000001</v>
      </c>
      <c r="V108" s="16">
        <v>7.8036570000000003</v>
      </c>
      <c r="W108" s="16">
        <v>7.8589539999999998</v>
      </c>
      <c r="X108" s="16">
        <v>7.9248399999999997</v>
      </c>
      <c r="Y108" s="16">
        <v>7.9790939999999999</v>
      </c>
      <c r="Z108" s="16">
        <v>8.0378380000000007</v>
      </c>
      <c r="AA108" s="16">
        <v>8.1050260000000005</v>
      </c>
      <c r="AB108" s="16">
        <v>8.1697389999999999</v>
      </c>
      <c r="AC108" s="16">
        <v>8.224888</v>
      </c>
      <c r="AD108" s="16">
        <v>8.2659140000000004</v>
      </c>
      <c r="AE108" s="16">
        <v>8.3135600000000007</v>
      </c>
      <c r="AF108" s="16">
        <v>8.3786280000000009</v>
      </c>
      <c r="AG108" s="16">
        <v>8.4480500000000003</v>
      </c>
      <c r="AH108" s="16">
        <v>8.5163620000000009</v>
      </c>
      <c r="AI108" s="16">
        <v>8.5847560000000005</v>
      </c>
      <c r="AJ108" s="16">
        <v>8.6520200000000003</v>
      </c>
      <c r="AK108" s="16">
        <v>8.7328960000000002</v>
      </c>
      <c r="AL108" s="16">
        <v>8.8191419999999994</v>
      </c>
      <c r="AM108" s="13">
        <v>7.0109999999999999E-3</v>
      </c>
    </row>
    <row r="109" spans="1:39" ht="15" customHeight="1" x14ac:dyDescent="0.25">
      <c r="A109" s="7" t="s">
        <v>149</v>
      </c>
      <c r="B109" s="19" t="s">
        <v>50</v>
      </c>
      <c r="C109" s="16">
        <v>0.899953</v>
      </c>
      <c r="D109" s="16">
        <v>0.99431700000000001</v>
      </c>
      <c r="E109" s="16">
        <v>1.1459569999999999</v>
      </c>
      <c r="F109" s="16">
        <v>1.3149930000000001</v>
      </c>
      <c r="G109" s="16">
        <v>1.4023680000000001</v>
      </c>
      <c r="H109" s="16">
        <v>1.424553</v>
      </c>
      <c r="I109" s="16">
        <v>1.446863</v>
      </c>
      <c r="J109" s="16">
        <v>1.4749369999999999</v>
      </c>
      <c r="K109" s="16">
        <v>1.4948570000000001</v>
      </c>
      <c r="L109" s="16">
        <v>1.5109269999999999</v>
      </c>
      <c r="M109" s="16">
        <v>1.528335</v>
      </c>
      <c r="N109" s="16">
        <v>1.54053</v>
      </c>
      <c r="O109" s="16">
        <v>1.5201249999999999</v>
      </c>
      <c r="P109" s="16">
        <v>1.5210429999999999</v>
      </c>
      <c r="Q109" s="16">
        <v>1.5279689999999999</v>
      </c>
      <c r="R109" s="16">
        <v>1.5295939999999999</v>
      </c>
      <c r="S109" s="16">
        <v>1.5397639999999999</v>
      </c>
      <c r="T109" s="16">
        <v>1.5573900000000001</v>
      </c>
      <c r="U109" s="16">
        <v>1.560327</v>
      </c>
      <c r="V109" s="16">
        <v>1.5697399999999999</v>
      </c>
      <c r="W109" s="16">
        <v>1.576576</v>
      </c>
      <c r="X109" s="16">
        <v>1.5962620000000001</v>
      </c>
      <c r="Y109" s="16">
        <v>1.606009</v>
      </c>
      <c r="Z109" s="16">
        <v>1.6131530000000001</v>
      </c>
      <c r="AA109" s="16">
        <v>1.63134</v>
      </c>
      <c r="AB109" s="16">
        <v>1.639084</v>
      </c>
      <c r="AC109" s="16">
        <v>1.6339699999999999</v>
      </c>
      <c r="AD109" s="16">
        <v>1.6315329999999999</v>
      </c>
      <c r="AE109" s="16">
        <v>1.629399</v>
      </c>
      <c r="AF109" s="16">
        <v>1.6293610000000001</v>
      </c>
      <c r="AG109" s="16">
        <v>1.63428</v>
      </c>
      <c r="AH109" s="16">
        <v>1.6348780000000001</v>
      </c>
      <c r="AI109" s="16">
        <v>1.6326959999999999</v>
      </c>
      <c r="AJ109" s="16">
        <v>1.626517</v>
      </c>
      <c r="AK109" s="16">
        <v>1.6328469999999999</v>
      </c>
      <c r="AL109" s="16">
        <v>1.6385110000000001</v>
      </c>
      <c r="AM109" s="13">
        <v>1.4799E-2</v>
      </c>
    </row>
    <row r="110" spans="1:39" ht="15" customHeight="1" x14ac:dyDescent="0.25">
      <c r="A110" s="7" t="s">
        <v>150</v>
      </c>
      <c r="B110" s="11" t="s">
        <v>124</v>
      </c>
      <c r="C110" s="16">
        <v>0</v>
      </c>
      <c r="D110" s="16">
        <v>0</v>
      </c>
      <c r="E110" s="16">
        <v>0</v>
      </c>
      <c r="F110" s="16">
        <v>0</v>
      </c>
      <c r="G110" s="16">
        <v>0</v>
      </c>
      <c r="H110" s="16">
        <v>0</v>
      </c>
      <c r="I110" s="16">
        <v>0</v>
      </c>
      <c r="J110" s="16">
        <v>0</v>
      </c>
      <c r="K110" s="16">
        <v>0</v>
      </c>
      <c r="L110" s="16">
        <v>0</v>
      </c>
      <c r="M110" s="16">
        <v>0</v>
      </c>
      <c r="N110" s="16">
        <v>0</v>
      </c>
      <c r="O110" s="16">
        <v>0</v>
      </c>
      <c r="P110" s="16">
        <v>0</v>
      </c>
      <c r="Q110" s="16">
        <v>0</v>
      </c>
      <c r="R110" s="16">
        <v>0</v>
      </c>
      <c r="S110" s="16">
        <v>0</v>
      </c>
      <c r="T110" s="16">
        <v>0</v>
      </c>
      <c r="U110" s="16">
        <v>0</v>
      </c>
      <c r="V110" s="16">
        <v>0</v>
      </c>
      <c r="W110" s="16">
        <v>0</v>
      </c>
      <c r="X110" s="16">
        <v>0</v>
      </c>
      <c r="Y110" s="16">
        <v>0</v>
      </c>
      <c r="Z110" s="16">
        <v>0</v>
      </c>
      <c r="AA110" s="16">
        <v>0</v>
      </c>
      <c r="AB110" s="16">
        <v>0</v>
      </c>
      <c r="AC110" s="16">
        <v>0</v>
      </c>
      <c r="AD110" s="16">
        <v>0</v>
      </c>
      <c r="AE110" s="16">
        <v>0</v>
      </c>
      <c r="AF110" s="16">
        <v>0</v>
      </c>
      <c r="AG110" s="16">
        <v>0</v>
      </c>
      <c r="AH110" s="16">
        <v>0</v>
      </c>
      <c r="AI110" s="16">
        <v>0</v>
      </c>
      <c r="AJ110" s="16">
        <v>0</v>
      </c>
      <c r="AK110" s="16">
        <v>0</v>
      </c>
      <c r="AL110" s="16">
        <v>0</v>
      </c>
      <c r="AM110" s="13" t="s">
        <v>13</v>
      </c>
    </row>
    <row r="111" spans="1:39" ht="15" customHeight="1" x14ac:dyDescent="0.25">
      <c r="A111" s="7" t="s">
        <v>151</v>
      </c>
      <c r="B111" s="11" t="s">
        <v>92</v>
      </c>
      <c r="C111" s="16">
        <v>1.630905</v>
      </c>
      <c r="D111" s="16">
        <v>1.616825</v>
      </c>
      <c r="E111" s="16">
        <v>1.68842</v>
      </c>
      <c r="F111" s="16">
        <v>1.7088950000000001</v>
      </c>
      <c r="G111" s="16">
        <v>1.70279</v>
      </c>
      <c r="H111" s="16">
        <v>1.694499</v>
      </c>
      <c r="I111" s="16">
        <v>1.703408</v>
      </c>
      <c r="J111" s="16">
        <v>1.722645</v>
      </c>
      <c r="K111" s="16">
        <v>1.7444729999999999</v>
      </c>
      <c r="L111" s="16">
        <v>1.766059</v>
      </c>
      <c r="M111" s="16">
        <v>1.7859970000000001</v>
      </c>
      <c r="N111" s="16">
        <v>1.8138570000000001</v>
      </c>
      <c r="O111" s="16">
        <v>1.81101</v>
      </c>
      <c r="P111" s="16">
        <v>1.821375</v>
      </c>
      <c r="Q111" s="16">
        <v>1.8285940000000001</v>
      </c>
      <c r="R111" s="16">
        <v>1.832355</v>
      </c>
      <c r="S111" s="16">
        <v>1.835213</v>
      </c>
      <c r="T111" s="16">
        <v>1.84158</v>
      </c>
      <c r="U111" s="16">
        <v>1.8469599999999999</v>
      </c>
      <c r="V111" s="16">
        <v>1.861024</v>
      </c>
      <c r="W111" s="16">
        <v>1.8864350000000001</v>
      </c>
      <c r="X111" s="16">
        <v>1.9088769999999999</v>
      </c>
      <c r="Y111" s="16">
        <v>1.925575</v>
      </c>
      <c r="Z111" s="16">
        <v>1.939297</v>
      </c>
      <c r="AA111" s="16">
        <v>1.9537009999999999</v>
      </c>
      <c r="AB111" s="16">
        <v>1.9663980000000001</v>
      </c>
      <c r="AC111" s="16">
        <v>1.976197</v>
      </c>
      <c r="AD111" s="16">
        <v>1.9783770000000001</v>
      </c>
      <c r="AE111" s="16">
        <v>1.98349</v>
      </c>
      <c r="AF111" s="16">
        <v>1.9930220000000001</v>
      </c>
      <c r="AG111" s="16">
        <v>2.001042</v>
      </c>
      <c r="AH111" s="16">
        <v>2.0148869999999999</v>
      </c>
      <c r="AI111" s="16">
        <v>2.0272890000000001</v>
      </c>
      <c r="AJ111" s="16">
        <v>2.0385330000000002</v>
      </c>
      <c r="AK111" s="16">
        <v>2.0481029999999998</v>
      </c>
      <c r="AL111" s="16">
        <v>2.0583689999999999</v>
      </c>
      <c r="AM111" s="13">
        <v>7.1269999999999997E-3</v>
      </c>
    </row>
    <row r="112" spans="1:39" ht="15" customHeight="1" x14ac:dyDescent="0.25">
      <c r="A112" s="7" t="s">
        <v>152</v>
      </c>
      <c r="B112" s="11" t="s">
        <v>94</v>
      </c>
      <c r="C112" s="16">
        <v>0</v>
      </c>
      <c r="D112" s="16">
        <v>1.6396000000000001E-2</v>
      </c>
      <c r="E112" s="16">
        <v>5.5049000000000001E-2</v>
      </c>
      <c r="F112" s="16">
        <v>0.105097</v>
      </c>
      <c r="G112" s="16">
        <v>0.19354299999999999</v>
      </c>
      <c r="H112" s="16">
        <v>0.30096499999999998</v>
      </c>
      <c r="I112" s="16">
        <v>0.31367</v>
      </c>
      <c r="J112" s="16">
        <v>0.33433000000000002</v>
      </c>
      <c r="K112" s="16">
        <v>0.35499000000000003</v>
      </c>
      <c r="L112" s="16">
        <v>0.38253700000000002</v>
      </c>
      <c r="M112" s="16">
        <v>0.38942399999999999</v>
      </c>
      <c r="N112" s="16">
        <v>0.40319700000000003</v>
      </c>
      <c r="O112" s="16">
        <v>0.410084</v>
      </c>
      <c r="P112" s="16">
        <v>0.42385699999999998</v>
      </c>
      <c r="Q112" s="16">
        <v>0.43074400000000002</v>
      </c>
      <c r="R112" s="16">
        <v>0.43763000000000002</v>
      </c>
      <c r="S112" s="16">
        <v>0.444517</v>
      </c>
      <c r="T112" s="16">
        <v>0.45140400000000003</v>
      </c>
      <c r="U112" s="16">
        <v>0.45828999999999998</v>
      </c>
      <c r="V112" s="16">
        <v>0.45828999999999998</v>
      </c>
      <c r="W112" s="16">
        <v>0.46517700000000001</v>
      </c>
      <c r="X112" s="16">
        <v>0.47206399999999998</v>
      </c>
      <c r="Y112" s="16">
        <v>0.47894999999999999</v>
      </c>
      <c r="Z112" s="16">
        <v>0.47894999999999999</v>
      </c>
      <c r="AA112" s="16">
        <v>0.47894999999999999</v>
      </c>
      <c r="AB112" s="16">
        <v>0.47894999999999999</v>
      </c>
      <c r="AC112" s="16">
        <v>0.47894999999999999</v>
      </c>
      <c r="AD112" s="16">
        <v>0.47894999999999999</v>
      </c>
      <c r="AE112" s="16">
        <v>0.47894999999999999</v>
      </c>
      <c r="AF112" s="16">
        <v>0.47894999999999999</v>
      </c>
      <c r="AG112" s="16">
        <v>0.47894999999999999</v>
      </c>
      <c r="AH112" s="16">
        <v>0.47894999999999999</v>
      </c>
      <c r="AI112" s="16">
        <v>0.47894999999999999</v>
      </c>
      <c r="AJ112" s="16">
        <v>0.47894999999999999</v>
      </c>
      <c r="AK112" s="16">
        <v>0.47894999999999999</v>
      </c>
      <c r="AL112" s="16">
        <v>0.47894999999999999</v>
      </c>
      <c r="AM112" s="13">
        <v>0.10434499999999999</v>
      </c>
    </row>
    <row r="113" spans="1:39" ht="15" customHeight="1" x14ac:dyDescent="0.25">
      <c r="A113" s="7" t="s">
        <v>153</v>
      </c>
      <c r="B113" s="11" t="s">
        <v>96</v>
      </c>
      <c r="C113" s="16">
        <v>9.406606</v>
      </c>
      <c r="D113" s="16">
        <v>9.5819310000000009</v>
      </c>
      <c r="E113" s="16">
        <v>9.7786910000000002</v>
      </c>
      <c r="F113" s="16">
        <v>10.105606</v>
      </c>
      <c r="G113" s="16">
        <v>10.409523</v>
      </c>
      <c r="H113" s="16">
        <v>10.587624999999999</v>
      </c>
      <c r="I113" s="16">
        <v>10.760930999999999</v>
      </c>
      <c r="J113" s="16">
        <v>10.968932000000001</v>
      </c>
      <c r="K113" s="16">
        <v>11.142611</v>
      </c>
      <c r="L113" s="16">
        <v>11.274348</v>
      </c>
      <c r="M113" s="16">
        <v>11.360276000000001</v>
      </c>
      <c r="N113" s="16">
        <v>11.414818</v>
      </c>
      <c r="O113" s="16">
        <v>11.357023999999999</v>
      </c>
      <c r="P113" s="16">
        <v>11.39269</v>
      </c>
      <c r="Q113" s="16">
        <v>11.426926</v>
      </c>
      <c r="R113" s="16">
        <v>11.451139</v>
      </c>
      <c r="S113" s="16">
        <v>11.483971</v>
      </c>
      <c r="T113" s="16">
        <v>11.548446999999999</v>
      </c>
      <c r="U113" s="16">
        <v>11.602563</v>
      </c>
      <c r="V113" s="16">
        <v>11.692710999999999</v>
      </c>
      <c r="W113" s="16">
        <v>11.787143</v>
      </c>
      <c r="X113" s="16">
        <v>11.902043000000001</v>
      </c>
      <c r="Y113" s="16">
        <v>11.98963</v>
      </c>
      <c r="Z113" s="16">
        <v>12.069238</v>
      </c>
      <c r="AA113" s="16">
        <v>12.169017999999999</v>
      </c>
      <c r="AB113" s="16">
        <v>12.254172000000001</v>
      </c>
      <c r="AC113" s="16">
        <v>12.314005</v>
      </c>
      <c r="AD113" s="16">
        <v>12.354774000000001</v>
      </c>
      <c r="AE113" s="16">
        <v>12.405398</v>
      </c>
      <c r="AF113" s="16">
        <v>12.479960999999999</v>
      </c>
      <c r="AG113" s="16">
        <v>12.562321000000001</v>
      </c>
      <c r="AH113" s="16">
        <v>12.645078</v>
      </c>
      <c r="AI113" s="16">
        <v>12.723692</v>
      </c>
      <c r="AJ113" s="16">
        <v>12.796021</v>
      </c>
      <c r="AK113" s="16">
        <v>12.892796000000001</v>
      </c>
      <c r="AL113" s="16">
        <v>12.994973</v>
      </c>
      <c r="AM113" s="13">
        <v>9.0010000000000003E-3</v>
      </c>
    </row>
    <row r="114" spans="1:39" ht="15" customHeight="1" x14ac:dyDescent="0.25">
      <c r="A114" s="7" t="s">
        <v>154</v>
      </c>
      <c r="B114" s="19" t="s">
        <v>98</v>
      </c>
      <c r="C114" s="16">
        <v>0.54379999999999995</v>
      </c>
      <c r="D114" s="16">
        <v>0.52029999999999998</v>
      </c>
      <c r="E114" s="16">
        <v>0.52710000000000001</v>
      </c>
      <c r="F114" s="16">
        <v>0.49096499999999998</v>
      </c>
      <c r="G114" s="16">
        <v>0.47626600000000002</v>
      </c>
      <c r="H114" s="16">
        <v>0.47601500000000002</v>
      </c>
      <c r="I114" s="16">
        <v>0.48369899999999999</v>
      </c>
      <c r="J114" s="16">
        <v>0.47713100000000003</v>
      </c>
      <c r="K114" s="16">
        <v>0.467532</v>
      </c>
      <c r="L114" s="16">
        <v>0.45394699999999999</v>
      </c>
      <c r="M114" s="16">
        <v>0.43552800000000003</v>
      </c>
      <c r="N114" s="16">
        <v>0.413107</v>
      </c>
      <c r="O114" s="16">
        <v>0.39643699999999998</v>
      </c>
      <c r="P114" s="16">
        <v>0.37982100000000002</v>
      </c>
      <c r="Q114" s="16">
        <v>0.370116</v>
      </c>
      <c r="R114" s="16">
        <v>0.35934899999999997</v>
      </c>
      <c r="S114" s="16">
        <v>0.34200199999999997</v>
      </c>
      <c r="T114" s="16">
        <v>0.32839600000000002</v>
      </c>
      <c r="U114" s="16">
        <v>0.32395600000000002</v>
      </c>
      <c r="V114" s="16">
        <v>0.31348999999999999</v>
      </c>
      <c r="W114" s="16">
        <v>0.308253</v>
      </c>
      <c r="X114" s="16">
        <v>0.30017199999999999</v>
      </c>
      <c r="Y114" s="16">
        <v>0.295705</v>
      </c>
      <c r="Z114" s="16">
        <v>0.29275400000000001</v>
      </c>
      <c r="AA114" s="16">
        <v>0.28309200000000001</v>
      </c>
      <c r="AB114" s="16">
        <v>0.27057500000000001</v>
      </c>
      <c r="AC114" s="16">
        <v>0.25712299999999999</v>
      </c>
      <c r="AD114" s="16">
        <v>0.24771699999999999</v>
      </c>
      <c r="AE114" s="16">
        <v>0.23998</v>
      </c>
      <c r="AF114" s="16">
        <v>0.23338999999999999</v>
      </c>
      <c r="AG114" s="16">
        <v>0.228632</v>
      </c>
      <c r="AH114" s="16">
        <v>0.22364600000000001</v>
      </c>
      <c r="AI114" s="16">
        <v>0.21862999999999999</v>
      </c>
      <c r="AJ114" s="16">
        <v>0.21432999999999999</v>
      </c>
      <c r="AK114" s="16">
        <v>0.208262</v>
      </c>
      <c r="AL114" s="16">
        <v>0.20408299999999999</v>
      </c>
      <c r="AM114" s="13">
        <v>-2.7150000000000001E-2</v>
      </c>
    </row>
    <row r="115" spans="1:39" ht="15" customHeight="1" x14ac:dyDescent="0.25">
      <c r="A115" s="7" t="s">
        <v>155</v>
      </c>
      <c r="B115" s="11" t="s">
        <v>54</v>
      </c>
      <c r="C115" s="16">
        <v>0.763517</v>
      </c>
      <c r="D115" s="16">
        <v>0.73385500000000004</v>
      </c>
      <c r="E115" s="16">
        <v>0.71368900000000002</v>
      </c>
      <c r="F115" s="16">
        <v>0.69867999999999997</v>
      </c>
      <c r="G115" s="16">
        <v>0.71426599999999996</v>
      </c>
      <c r="H115" s="16">
        <v>0.72237600000000002</v>
      </c>
      <c r="I115" s="16">
        <v>0.73696499999999998</v>
      </c>
      <c r="J115" s="16">
        <v>0.75067499999999998</v>
      </c>
      <c r="K115" s="16">
        <v>0.75992499999999996</v>
      </c>
      <c r="L115" s="16">
        <v>0.75983199999999995</v>
      </c>
      <c r="M115" s="16">
        <v>0.75539100000000003</v>
      </c>
      <c r="N115" s="16">
        <v>0.74899800000000005</v>
      </c>
      <c r="O115" s="16">
        <v>0.74472499999999997</v>
      </c>
      <c r="P115" s="16">
        <v>0.73380900000000004</v>
      </c>
      <c r="Q115" s="16">
        <v>0.72253500000000004</v>
      </c>
      <c r="R115" s="16">
        <v>0.71179999999999999</v>
      </c>
      <c r="S115" s="16">
        <v>0.69811199999999995</v>
      </c>
      <c r="T115" s="16">
        <v>0.68909500000000001</v>
      </c>
      <c r="U115" s="16">
        <v>0.68378099999999997</v>
      </c>
      <c r="V115" s="16">
        <v>0.67936700000000005</v>
      </c>
      <c r="W115" s="16">
        <v>0.67560500000000001</v>
      </c>
      <c r="X115" s="16">
        <v>0.67122599999999999</v>
      </c>
      <c r="Y115" s="16">
        <v>0.669234</v>
      </c>
      <c r="Z115" s="16">
        <v>0.66823200000000005</v>
      </c>
      <c r="AA115" s="16">
        <v>0.66557699999999997</v>
      </c>
      <c r="AB115" s="16">
        <v>0.663856</v>
      </c>
      <c r="AC115" s="16">
        <v>0.66237500000000005</v>
      </c>
      <c r="AD115" s="16">
        <v>0.66121700000000005</v>
      </c>
      <c r="AE115" s="16">
        <v>0.66163700000000003</v>
      </c>
      <c r="AF115" s="16">
        <v>0.66218100000000002</v>
      </c>
      <c r="AG115" s="16">
        <v>0.662435</v>
      </c>
      <c r="AH115" s="16">
        <v>0.66292200000000001</v>
      </c>
      <c r="AI115" s="16">
        <v>0.66254800000000003</v>
      </c>
      <c r="AJ115" s="16">
        <v>0.66271000000000002</v>
      </c>
      <c r="AK115" s="16">
        <v>0.66276100000000004</v>
      </c>
      <c r="AL115" s="16">
        <v>0.66414399999999996</v>
      </c>
      <c r="AM115" s="13">
        <v>-2.931E-3</v>
      </c>
    </row>
    <row r="116" spans="1:39" ht="15" customHeight="1" x14ac:dyDescent="0.25">
      <c r="A116" s="7" t="s">
        <v>156</v>
      </c>
      <c r="B116" s="11" t="s">
        <v>128</v>
      </c>
      <c r="C116" s="16">
        <v>0</v>
      </c>
      <c r="D116" s="16">
        <v>0</v>
      </c>
      <c r="E116" s="16">
        <v>0</v>
      </c>
      <c r="F116" s="16">
        <v>0</v>
      </c>
      <c r="G116" s="16">
        <v>0</v>
      </c>
      <c r="H116" s="16">
        <v>0</v>
      </c>
      <c r="I116" s="16">
        <v>0</v>
      </c>
      <c r="J116" s="16">
        <v>0</v>
      </c>
      <c r="K116" s="16">
        <v>0</v>
      </c>
      <c r="L116" s="16">
        <v>0</v>
      </c>
      <c r="M116" s="16">
        <v>0</v>
      </c>
      <c r="N116" s="16">
        <v>0</v>
      </c>
      <c r="O116" s="16">
        <v>0</v>
      </c>
      <c r="P116" s="16">
        <v>0</v>
      </c>
      <c r="Q116" s="16">
        <v>0</v>
      </c>
      <c r="R116" s="16">
        <v>0</v>
      </c>
      <c r="S116" s="16">
        <v>0</v>
      </c>
      <c r="T116" s="16">
        <v>0</v>
      </c>
      <c r="U116" s="16">
        <v>0</v>
      </c>
      <c r="V116" s="16">
        <v>0</v>
      </c>
      <c r="W116" s="16">
        <v>0</v>
      </c>
      <c r="X116" s="16">
        <v>0</v>
      </c>
      <c r="Y116" s="16">
        <v>0</v>
      </c>
      <c r="Z116" s="16">
        <v>0</v>
      </c>
      <c r="AA116" s="16">
        <v>0</v>
      </c>
      <c r="AB116" s="16">
        <v>0</v>
      </c>
      <c r="AC116" s="16">
        <v>0</v>
      </c>
      <c r="AD116" s="16">
        <v>0</v>
      </c>
      <c r="AE116" s="16">
        <v>0</v>
      </c>
      <c r="AF116" s="16">
        <v>0</v>
      </c>
      <c r="AG116" s="16">
        <v>0</v>
      </c>
      <c r="AH116" s="16">
        <v>0</v>
      </c>
      <c r="AI116" s="16">
        <v>0</v>
      </c>
      <c r="AJ116" s="16">
        <v>0</v>
      </c>
      <c r="AK116" s="16">
        <v>0</v>
      </c>
      <c r="AL116" s="16">
        <v>0</v>
      </c>
      <c r="AM116" s="13" t="s">
        <v>13</v>
      </c>
    </row>
    <row r="117" spans="1:39" ht="15" customHeight="1" x14ac:dyDescent="0.25">
      <c r="A117" s="7" t="s">
        <v>157</v>
      </c>
      <c r="B117" s="11" t="s">
        <v>101</v>
      </c>
      <c r="C117" s="16">
        <v>1.3073170000000001</v>
      </c>
      <c r="D117" s="16">
        <v>1.2541549999999999</v>
      </c>
      <c r="E117" s="16">
        <v>1.2407889999999999</v>
      </c>
      <c r="F117" s="16">
        <v>1.1896450000000001</v>
      </c>
      <c r="G117" s="16">
        <v>1.1905319999999999</v>
      </c>
      <c r="H117" s="16">
        <v>1.1983900000000001</v>
      </c>
      <c r="I117" s="16">
        <v>1.220664</v>
      </c>
      <c r="J117" s="16">
        <v>1.227806</v>
      </c>
      <c r="K117" s="16">
        <v>1.227457</v>
      </c>
      <c r="L117" s="16">
        <v>1.2137789999999999</v>
      </c>
      <c r="M117" s="16">
        <v>1.19092</v>
      </c>
      <c r="N117" s="16">
        <v>1.162104</v>
      </c>
      <c r="O117" s="16">
        <v>1.141162</v>
      </c>
      <c r="P117" s="16">
        <v>1.1136299999999999</v>
      </c>
      <c r="Q117" s="16">
        <v>1.092651</v>
      </c>
      <c r="R117" s="16">
        <v>1.0711489999999999</v>
      </c>
      <c r="S117" s="16">
        <v>1.040114</v>
      </c>
      <c r="T117" s="16">
        <v>1.0174920000000001</v>
      </c>
      <c r="U117" s="16">
        <v>1.0077370000000001</v>
      </c>
      <c r="V117" s="16">
        <v>0.99285699999999999</v>
      </c>
      <c r="W117" s="16">
        <v>0.98385699999999998</v>
      </c>
      <c r="X117" s="16">
        <v>0.97139799999999998</v>
      </c>
      <c r="Y117" s="16">
        <v>0.96493899999999999</v>
      </c>
      <c r="Z117" s="16">
        <v>0.96098499999999998</v>
      </c>
      <c r="AA117" s="16">
        <v>0.94866799999999996</v>
      </c>
      <c r="AB117" s="16">
        <v>0.93443100000000001</v>
      </c>
      <c r="AC117" s="16">
        <v>0.91949899999999996</v>
      </c>
      <c r="AD117" s="16">
        <v>0.90893400000000002</v>
      </c>
      <c r="AE117" s="16">
        <v>0.901617</v>
      </c>
      <c r="AF117" s="16">
        <v>0.89557200000000003</v>
      </c>
      <c r="AG117" s="16">
        <v>0.89106700000000005</v>
      </c>
      <c r="AH117" s="16">
        <v>0.88656800000000002</v>
      </c>
      <c r="AI117" s="16">
        <v>0.88117800000000002</v>
      </c>
      <c r="AJ117" s="16">
        <v>0.87704099999999996</v>
      </c>
      <c r="AK117" s="16">
        <v>0.87102299999999999</v>
      </c>
      <c r="AL117" s="16">
        <v>0.86822699999999997</v>
      </c>
      <c r="AM117" s="13">
        <v>-1.0758E-2</v>
      </c>
    </row>
    <row r="118" spans="1:39" ht="15" customHeight="1" x14ac:dyDescent="0.25">
      <c r="A118" s="7" t="s">
        <v>158</v>
      </c>
      <c r="B118" s="11" t="s">
        <v>131</v>
      </c>
      <c r="C118" s="16">
        <v>0.84771700000000005</v>
      </c>
      <c r="D118" s="16">
        <v>0.89812999999999998</v>
      </c>
      <c r="E118" s="16">
        <v>0.89724099999999996</v>
      </c>
      <c r="F118" s="16">
        <v>0.87283299999999997</v>
      </c>
      <c r="G118" s="16">
        <v>0.87101899999999999</v>
      </c>
      <c r="H118" s="16">
        <v>0.86619999999999997</v>
      </c>
      <c r="I118" s="16">
        <v>0.86204400000000003</v>
      </c>
      <c r="J118" s="16">
        <v>0.86221999999999999</v>
      </c>
      <c r="K118" s="16">
        <v>0.86229800000000001</v>
      </c>
      <c r="L118" s="16">
        <v>0.86148499999999995</v>
      </c>
      <c r="M118" s="16">
        <v>0.86227900000000002</v>
      </c>
      <c r="N118" s="16">
        <v>0.85339900000000002</v>
      </c>
      <c r="O118" s="16">
        <v>0.85172099999999995</v>
      </c>
      <c r="P118" s="16">
        <v>0.85149799999999998</v>
      </c>
      <c r="Q118" s="16">
        <v>0.85038800000000003</v>
      </c>
      <c r="R118" s="16">
        <v>0.85050700000000001</v>
      </c>
      <c r="S118" s="16">
        <v>0.83988399999999996</v>
      </c>
      <c r="T118" s="16">
        <v>0.83662099999999995</v>
      </c>
      <c r="U118" s="16">
        <v>0.83656399999999997</v>
      </c>
      <c r="V118" s="16">
        <v>0.83656600000000003</v>
      </c>
      <c r="W118" s="16">
        <v>0.83656600000000003</v>
      </c>
      <c r="X118" s="16">
        <v>0.83659899999999998</v>
      </c>
      <c r="Y118" s="16">
        <v>0.837561</v>
      </c>
      <c r="Z118" s="16">
        <v>0.839557</v>
      </c>
      <c r="AA118" s="16">
        <v>0.84143699999999999</v>
      </c>
      <c r="AB118" s="16">
        <v>0.84198700000000004</v>
      </c>
      <c r="AC118" s="16">
        <v>0.83787199999999995</v>
      </c>
      <c r="AD118" s="16">
        <v>0.83709299999999998</v>
      </c>
      <c r="AE118" s="16">
        <v>0.83525099999999997</v>
      </c>
      <c r="AF118" s="16">
        <v>0.83525099999999997</v>
      </c>
      <c r="AG118" s="16">
        <v>0.83403000000000005</v>
      </c>
      <c r="AH118" s="16">
        <v>0.83392699999999997</v>
      </c>
      <c r="AI118" s="16">
        <v>0.83597900000000003</v>
      </c>
      <c r="AJ118" s="16">
        <v>0.83484599999999998</v>
      </c>
      <c r="AK118" s="16">
        <v>0.82216299999999998</v>
      </c>
      <c r="AL118" s="16">
        <v>0.79795799999999995</v>
      </c>
      <c r="AM118" s="13">
        <v>-3.4719999999999998E-3</v>
      </c>
    </row>
    <row r="119" spans="1:39" ht="15" customHeight="1" x14ac:dyDescent="0.25">
      <c r="A119" s="7" t="s">
        <v>159</v>
      </c>
      <c r="B119" s="11" t="s">
        <v>103</v>
      </c>
      <c r="C119" s="16">
        <v>1.4851700000000001</v>
      </c>
      <c r="D119" s="16">
        <v>1.44987</v>
      </c>
      <c r="E119" s="16">
        <v>1.43187</v>
      </c>
      <c r="F119" s="16">
        <v>1.4590209999999999</v>
      </c>
      <c r="G119" s="16">
        <v>1.472925</v>
      </c>
      <c r="H119" s="16">
        <v>1.4887680000000001</v>
      </c>
      <c r="I119" s="16">
        <v>1.518734</v>
      </c>
      <c r="J119" s="16">
        <v>1.552843</v>
      </c>
      <c r="K119" s="16">
        <v>1.5886960000000001</v>
      </c>
      <c r="L119" s="16">
        <v>1.607005</v>
      </c>
      <c r="M119" s="16">
        <v>1.609578</v>
      </c>
      <c r="N119" s="16">
        <v>1.6072789999999999</v>
      </c>
      <c r="O119" s="16">
        <v>1.618803</v>
      </c>
      <c r="P119" s="16">
        <v>1.6256619999999999</v>
      </c>
      <c r="Q119" s="16">
        <v>1.6280749999999999</v>
      </c>
      <c r="R119" s="16">
        <v>1.624728</v>
      </c>
      <c r="S119" s="16">
        <v>1.621205</v>
      </c>
      <c r="T119" s="16">
        <v>1.618052</v>
      </c>
      <c r="U119" s="16">
        <v>1.622379</v>
      </c>
      <c r="V119" s="16">
        <v>1.629515</v>
      </c>
      <c r="W119" s="16">
        <v>1.637513</v>
      </c>
      <c r="X119" s="16">
        <v>1.645011</v>
      </c>
      <c r="Y119" s="16">
        <v>1.659043</v>
      </c>
      <c r="Z119" s="16">
        <v>1.6761999999999999</v>
      </c>
      <c r="AA119" s="16">
        <v>1.687954</v>
      </c>
      <c r="AB119" s="16">
        <v>1.699643</v>
      </c>
      <c r="AC119" s="16">
        <v>1.7157</v>
      </c>
      <c r="AD119" s="16">
        <v>1.7327220000000001</v>
      </c>
      <c r="AE119" s="16">
        <v>1.7521359999999999</v>
      </c>
      <c r="AF119" s="16">
        <v>1.769609</v>
      </c>
      <c r="AG119" s="16">
        <v>1.7857179999999999</v>
      </c>
      <c r="AH119" s="16">
        <v>1.799879</v>
      </c>
      <c r="AI119" s="16">
        <v>1.809404</v>
      </c>
      <c r="AJ119" s="16">
        <v>1.8177669999999999</v>
      </c>
      <c r="AK119" s="16">
        <v>1.82846</v>
      </c>
      <c r="AL119" s="16">
        <v>1.838401</v>
      </c>
      <c r="AM119" s="13">
        <v>7.0070000000000002E-3</v>
      </c>
    </row>
    <row r="120" spans="1:39" ht="15" customHeight="1" x14ac:dyDescent="0.25">
      <c r="A120" s="7" t="s">
        <v>160</v>
      </c>
      <c r="B120" s="11" t="s">
        <v>105</v>
      </c>
      <c r="C120" s="16">
        <v>3.2706</v>
      </c>
      <c r="D120" s="16">
        <v>3.2281010000000001</v>
      </c>
      <c r="E120" s="16">
        <v>3.2717000000000001</v>
      </c>
      <c r="F120" s="16">
        <v>3.3777910000000002</v>
      </c>
      <c r="G120" s="16">
        <v>3.4765320000000002</v>
      </c>
      <c r="H120" s="16">
        <v>3.5384609999999999</v>
      </c>
      <c r="I120" s="16">
        <v>3.6144970000000001</v>
      </c>
      <c r="J120" s="16">
        <v>3.6981760000000001</v>
      </c>
      <c r="K120" s="16">
        <v>3.7736390000000002</v>
      </c>
      <c r="L120" s="16">
        <v>3.8190149999999998</v>
      </c>
      <c r="M120" s="16">
        <v>3.838015</v>
      </c>
      <c r="N120" s="16">
        <v>3.8428309999999999</v>
      </c>
      <c r="O120" s="16">
        <v>3.8567209999999998</v>
      </c>
      <c r="P120" s="16">
        <v>3.8533970000000002</v>
      </c>
      <c r="Q120" s="16">
        <v>3.8537750000000002</v>
      </c>
      <c r="R120" s="16">
        <v>3.8529080000000002</v>
      </c>
      <c r="S120" s="16">
        <v>3.8463940000000001</v>
      </c>
      <c r="T120" s="16">
        <v>3.844303</v>
      </c>
      <c r="U120" s="16">
        <v>3.8554919999999999</v>
      </c>
      <c r="V120" s="16">
        <v>3.8798170000000001</v>
      </c>
      <c r="W120" s="16">
        <v>3.9018190000000001</v>
      </c>
      <c r="X120" s="16">
        <v>3.9209339999999999</v>
      </c>
      <c r="Y120" s="16">
        <v>3.9453550000000002</v>
      </c>
      <c r="Z120" s="16">
        <v>3.9786670000000002</v>
      </c>
      <c r="AA120" s="16">
        <v>4.0024769999999998</v>
      </c>
      <c r="AB120" s="16">
        <v>4.0256290000000003</v>
      </c>
      <c r="AC120" s="16">
        <v>4.0463560000000003</v>
      </c>
      <c r="AD120" s="16">
        <v>4.069788</v>
      </c>
      <c r="AE120" s="16">
        <v>4.0983640000000001</v>
      </c>
      <c r="AF120" s="16">
        <v>4.1268250000000002</v>
      </c>
      <c r="AG120" s="16">
        <v>4.1518059999999997</v>
      </c>
      <c r="AH120" s="16">
        <v>4.176399</v>
      </c>
      <c r="AI120" s="16">
        <v>4.2001650000000001</v>
      </c>
      <c r="AJ120" s="16">
        <v>4.2265040000000003</v>
      </c>
      <c r="AK120" s="16">
        <v>4.2560950000000002</v>
      </c>
      <c r="AL120" s="16">
        <v>4.2922169999999999</v>
      </c>
      <c r="AM120" s="13">
        <v>8.4150000000000006E-3</v>
      </c>
    </row>
    <row r="121" spans="1:39" ht="15" customHeight="1" x14ac:dyDescent="0.25">
      <c r="A121" s="7" t="s">
        <v>161</v>
      </c>
      <c r="B121" s="10" t="s">
        <v>107</v>
      </c>
      <c r="C121" s="17">
        <v>24.453620999999998</v>
      </c>
      <c r="D121" s="17">
        <v>24.552095000000001</v>
      </c>
      <c r="E121" s="17">
        <v>24.953299999999999</v>
      </c>
      <c r="F121" s="17">
        <v>25.802588</v>
      </c>
      <c r="G121" s="17">
        <v>26.441327999999999</v>
      </c>
      <c r="H121" s="17">
        <v>26.722708000000001</v>
      </c>
      <c r="I121" s="17">
        <v>27.127806</v>
      </c>
      <c r="J121" s="17">
        <v>27.632515000000001</v>
      </c>
      <c r="K121" s="17">
        <v>28.083072999999999</v>
      </c>
      <c r="L121" s="17">
        <v>28.379529999999999</v>
      </c>
      <c r="M121" s="17">
        <v>28.531804999999999</v>
      </c>
      <c r="N121" s="17">
        <v>28.631133999999999</v>
      </c>
      <c r="O121" s="17">
        <v>28.621715999999999</v>
      </c>
      <c r="P121" s="17">
        <v>28.664868999999999</v>
      </c>
      <c r="Q121" s="17">
        <v>28.750385000000001</v>
      </c>
      <c r="R121" s="17">
        <v>28.835163000000001</v>
      </c>
      <c r="S121" s="17">
        <v>28.872864</v>
      </c>
      <c r="T121" s="17">
        <v>28.951665999999999</v>
      </c>
      <c r="U121" s="17">
        <v>29.040006999999999</v>
      </c>
      <c r="V121" s="17">
        <v>29.225466000000001</v>
      </c>
      <c r="W121" s="17">
        <v>29.411341</v>
      </c>
      <c r="X121" s="17">
        <v>29.613323000000001</v>
      </c>
      <c r="Y121" s="17">
        <v>29.806661999999999</v>
      </c>
      <c r="Z121" s="17">
        <v>30.013339999999999</v>
      </c>
      <c r="AA121" s="17">
        <v>30.243029</v>
      </c>
      <c r="AB121" s="17">
        <v>30.419917999999999</v>
      </c>
      <c r="AC121" s="17">
        <v>30.536916999999999</v>
      </c>
      <c r="AD121" s="17">
        <v>30.664176999999999</v>
      </c>
      <c r="AE121" s="17">
        <v>30.810347</v>
      </c>
      <c r="AF121" s="17">
        <v>30.991624999999999</v>
      </c>
      <c r="AG121" s="17">
        <v>31.172167000000002</v>
      </c>
      <c r="AH121" s="17">
        <v>31.342731000000001</v>
      </c>
      <c r="AI121" s="17">
        <v>31.533916000000001</v>
      </c>
      <c r="AJ121" s="17">
        <v>31.705755</v>
      </c>
      <c r="AK121" s="17">
        <v>31.908957000000001</v>
      </c>
      <c r="AL121" s="17">
        <v>32.153961000000002</v>
      </c>
      <c r="AM121" s="15">
        <v>7.9649999999999999E-3</v>
      </c>
    </row>
    <row r="122" spans="1:39" ht="15" customHeight="1" x14ac:dyDescent="0.25">
      <c r="A122" s="7" t="s">
        <v>162</v>
      </c>
      <c r="B122" s="11" t="s">
        <v>109</v>
      </c>
      <c r="C122" s="16">
        <v>6.5528329999999997</v>
      </c>
      <c r="D122" s="16">
        <v>6.2990449999999996</v>
      </c>
      <c r="E122" s="16">
        <v>6.4117449999999998</v>
      </c>
      <c r="F122" s="16">
        <v>6.5514859999999997</v>
      </c>
      <c r="G122" s="16">
        <v>6.7774859999999997</v>
      </c>
      <c r="H122" s="16">
        <v>6.9317609999999998</v>
      </c>
      <c r="I122" s="16">
        <v>7.0775880000000004</v>
      </c>
      <c r="J122" s="16">
        <v>7.2490629999999996</v>
      </c>
      <c r="K122" s="16">
        <v>7.3989979999999997</v>
      </c>
      <c r="L122" s="16">
        <v>7.4833720000000001</v>
      </c>
      <c r="M122" s="16">
        <v>7.4920450000000001</v>
      </c>
      <c r="N122" s="16">
        <v>7.4677210000000001</v>
      </c>
      <c r="O122" s="16">
        <v>7.4879030000000002</v>
      </c>
      <c r="P122" s="16">
        <v>7.4614330000000004</v>
      </c>
      <c r="Q122" s="16">
        <v>7.4438120000000003</v>
      </c>
      <c r="R122" s="16">
        <v>7.4205509999999997</v>
      </c>
      <c r="S122" s="16">
        <v>7.3794899999999997</v>
      </c>
      <c r="T122" s="16">
        <v>7.3535969999999997</v>
      </c>
      <c r="U122" s="16">
        <v>7.3476059999999999</v>
      </c>
      <c r="V122" s="16">
        <v>7.3591550000000003</v>
      </c>
      <c r="W122" s="16">
        <v>7.36754</v>
      </c>
      <c r="X122" s="16">
        <v>7.3782319999999997</v>
      </c>
      <c r="Y122" s="16">
        <v>7.3903309999999998</v>
      </c>
      <c r="Z122" s="16">
        <v>7.4229409999999998</v>
      </c>
      <c r="AA122" s="16">
        <v>7.4318059999999999</v>
      </c>
      <c r="AB122" s="16">
        <v>7.4427750000000001</v>
      </c>
      <c r="AC122" s="16">
        <v>7.4520470000000003</v>
      </c>
      <c r="AD122" s="16">
        <v>7.4684949999999999</v>
      </c>
      <c r="AE122" s="16">
        <v>7.5004030000000004</v>
      </c>
      <c r="AF122" s="16">
        <v>7.5184280000000001</v>
      </c>
      <c r="AG122" s="16">
        <v>7.5324609999999996</v>
      </c>
      <c r="AH122" s="16">
        <v>7.5481939999999996</v>
      </c>
      <c r="AI122" s="16">
        <v>7.5561319999999998</v>
      </c>
      <c r="AJ122" s="16">
        <v>7.5657990000000002</v>
      </c>
      <c r="AK122" s="16">
        <v>7.6006629999999999</v>
      </c>
      <c r="AL122" s="16">
        <v>7.6219950000000001</v>
      </c>
      <c r="AM122" s="13">
        <v>5.6230000000000004E-3</v>
      </c>
    </row>
    <row r="123" spans="1:39" ht="15" customHeight="1" x14ac:dyDescent="0.25">
      <c r="A123" s="7" t="s">
        <v>163</v>
      </c>
      <c r="B123" s="10" t="s">
        <v>35</v>
      </c>
      <c r="C123" s="17">
        <v>31.006454000000002</v>
      </c>
      <c r="D123" s="17">
        <v>30.851139</v>
      </c>
      <c r="E123" s="17">
        <v>31.365046</v>
      </c>
      <c r="F123" s="17">
        <v>32.354073</v>
      </c>
      <c r="G123" s="17">
        <v>33.218814999999999</v>
      </c>
      <c r="H123" s="17">
        <v>33.654468999999999</v>
      </c>
      <c r="I123" s="17">
        <v>34.205395000000003</v>
      </c>
      <c r="J123" s="17">
        <v>34.881577</v>
      </c>
      <c r="K123" s="17">
        <v>35.482070999999998</v>
      </c>
      <c r="L123" s="17">
        <v>35.862900000000003</v>
      </c>
      <c r="M123" s="17">
        <v>36.023848999999998</v>
      </c>
      <c r="N123" s="17">
        <v>36.098854000000003</v>
      </c>
      <c r="O123" s="17">
        <v>36.109619000000002</v>
      </c>
      <c r="P123" s="17">
        <v>36.126300999999998</v>
      </c>
      <c r="Q123" s="17">
        <v>36.194198999999998</v>
      </c>
      <c r="R123" s="17">
        <v>36.255713999999998</v>
      </c>
      <c r="S123" s="17">
        <v>36.252353999999997</v>
      </c>
      <c r="T123" s="17">
        <v>36.305264000000001</v>
      </c>
      <c r="U123" s="17">
        <v>36.387611</v>
      </c>
      <c r="V123" s="17">
        <v>36.584620999999999</v>
      </c>
      <c r="W123" s="17">
        <v>36.778880999999998</v>
      </c>
      <c r="X123" s="17">
        <v>36.991554000000001</v>
      </c>
      <c r="Y123" s="17">
        <v>37.196990999999997</v>
      </c>
      <c r="Z123" s="17">
        <v>37.436278999999999</v>
      </c>
      <c r="AA123" s="17">
        <v>37.674835000000002</v>
      </c>
      <c r="AB123" s="17">
        <v>37.862693999999998</v>
      </c>
      <c r="AC123" s="17">
        <v>37.988964000000003</v>
      </c>
      <c r="AD123" s="17">
        <v>38.132671000000002</v>
      </c>
      <c r="AE123" s="17">
        <v>38.310749000000001</v>
      </c>
      <c r="AF123" s="17">
        <v>38.510052000000002</v>
      </c>
      <c r="AG123" s="17">
        <v>38.704628</v>
      </c>
      <c r="AH123" s="17">
        <v>38.890926</v>
      </c>
      <c r="AI123" s="17">
        <v>39.090049999999998</v>
      </c>
      <c r="AJ123" s="17">
        <v>39.271552999999997</v>
      </c>
      <c r="AK123" s="17">
        <v>39.509621000000003</v>
      </c>
      <c r="AL123" s="17">
        <v>39.775955000000003</v>
      </c>
      <c r="AM123" s="15">
        <v>7.5009999999999999E-3</v>
      </c>
    </row>
    <row r="125" spans="1:39" ht="15" customHeight="1" x14ac:dyDescent="0.25">
      <c r="B125" s="10" t="s">
        <v>164</v>
      </c>
    </row>
    <row r="126" spans="1:39" ht="15" customHeight="1" x14ac:dyDescent="0.25">
      <c r="B126" s="10" t="s">
        <v>14</v>
      </c>
    </row>
    <row r="127" spans="1:39" ht="15" customHeight="1" x14ac:dyDescent="0.25">
      <c r="A127" s="7" t="s">
        <v>165</v>
      </c>
      <c r="B127" s="11" t="s">
        <v>113</v>
      </c>
      <c r="C127" s="16">
        <v>6.8609000000000003E-2</v>
      </c>
      <c r="D127" s="16">
        <v>5.6390000000000003E-2</v>
      </c>
      <c r="E127" s="16">
        <v>2.8236000000000001E-2</v>
      </c>
      <c r="F127" s="16">
        <v>4.6658999999999999E-2</v>
      </c>
      <c r="G127" s="16">
        <v>4.6495000000000002E-2</v>
      </c>
      <c r="H127" s="16">
        <v>4.5984999999999998E-2</v>
      </c>
      <c r="I127" s="16">
        <v>4.5358999999999997E-2</v>
      </c>
      <c r="J127" s="16">
        <v>4.4692999999999997E-2</v>
      </c>
      <c r="K127" s="16">
        <v>4.4192000000000002E-2</v>
      </c>
      <c r="L127" s="16">
        <v>4.3711E-2</v>
      </c>
      <c r="M127" s="16">
        <v>4.3374000000000003E-2</v>
      </c>
      <c r="N127" s="16">
        <v>4.3116000000000002E-2</v>
      </c>
      <c r="O127" s="16">
        <v>4.2590999999999997E-2</v>
      </c>
      <c r="P127" s="16">
        <v>4.2101E-2</v>
      </c>
      <c r="Q127" s="16">
        <v>4.1668999999999998E-2</v>
      </c>
      <c r="R127" s="16">
        <v>4.1259999999999998E-2</v>
      </c>
      <c r="S127" s="16">
        <v>4.0765999999999997E-2</v>
      </c>
      <c r="T127" s="16">
        <v>4.0240999999999999E-2</v>
      </c>
      <c r="U127" s="16">
        <v>3.968E-2</v>
      </c>
      <c r="V127" s="16">
        <v>3.9192999999999999E-2</v>
      </c>
      <c r="W127" s="16">
        <v>3.8785E-2</v>
      </c>
      <c r="X127" s="16">
        <v>3.8253000000000002E-2</v>
      </c>
      <c r="Y127" s="16">
        <v>3.7734999999999998E-2</v>
      </c>
      <c r="Z127" s="16">
        <v>3.7136000000000002E-2</v>
      </c>
      <c r="AA127" s="16">
        <v>3.6609999999999997E-2</v>
      </c>
      <c r="AB127" s="16">
        <v>3.6162E-2</v>
      </c>
      <c r="AC127" s="16">
        <v>3.5705000000000001E-2</v>
      </c>
      <c r="AD127" s="16">
        <v>3.5208999999999997E-2</v>
      </c>
      <c r="AE127" s="16">
        <v>3.4793999999999999E-2</v>
      </c>
      <c r="AF127" s="16">
        <v>3.4412999999999999E-2</v>
      </c>
      <c r="AG127" s="16">
        <v>3.4034000000000002E-2</v>
      </c>
      <c r="AH127" s="16">
        <v>3.3644E-2</v>
      </c>
      <c r="AI127" s="16">
        <v>3.3263000000000001E-2</v>
      </c>
      <c r="AJ127" s="16">
        <v>3.2821000000000003E-2</v>
      </c>
      <c r="AK127" s="16">
        <v>3.2365999999999999E-2</v>
      </c>
      <c r="AL127" s="16">
        <v>3.1926000000000003E-2</v>
      </c>
      <c r="AM127" s="13">
        <v>-1.6591999999999999E-2</v>
      </c>
    </row>
    <row r="128" spans="1:39" ht="15" customHeight="1" x14ac:dyDescent="0.25">
      <c r="A128" s="7" t="s">
        <v>166</v>
      </c>
      <c r="B128" s="11" t="s">
        <v>76</v>
      </c>
      <c r="C128" s="16">
        <v>0.26947300000000002</v>
      </c>
      <c r="D128" s="16">
        <v>0.27812700000000001</v>
      </c>
      <c r="E128" s="16">
        <v>0.29593799999999998</v>
      </c>
      <c r="F128" s="16">
        <v>0.29439399999999999</v>
      </c>
      <c r="G128" s="16">
        <v>0.30609399999999998</v>
      </c>
      <c r="H128" s="16">
        <v>0.30702499999999999</v>
      </c>
      <c r="I128" s="16">
        <v>0.30692399999999997</v>
      </c>
      <c r="J128" s="16">
        <v>0.309915</v>
      </c>
      <c r="K128" s="16">
        <v>0.31208200000000003</v>
      </c>
      <c r="L128" s="16">
        <v>0.312722</v>
      </c>
      <c r="M128" s="16">
        <v>0.31414900000000001</v>
      </c>
      <c r="N128" s="16">
        <v>0.31843199999999999</v>
      </c>
      <c r="O128" s="16">
        <v>0.31698100000000001</v>
      </c>
      <c r="P128" s="16">
        <v>0.31409900000000002</v>
      </c>
      <c r="Q128" s="16">
        <v>0.312639</v>
      </c>
      <c r="R128" s="16">
        <v>0.31193399999999999</v>
      </c>
      <c r="S128" s="16">
        <v>0.31113099999999999</v>
      </c>
      <c r="T128" s="16">
        <v>0.310004</v>
      </c>
      <c r="U128" s="16">
        <v>0.30622899999999997</v>
      </c>
      <c r="V128" s="16">
        <v>0.30350899999999997</v>
      </c>
      <c r="W128" s="16">
        <v>0.30002600000000001</v>
      </c>
      <c r="X128" s="16">
        <v>0.29736099999999999</v>
      </c>
      <c r="Y128" s="16">
        <v>0.29372999999999999</v>
      </c>
      <c r="Z128" s="16">
        <v>0.28983700000000001</v>
      </c>
      <c r="AA128" s="16">
        <v>0.28789799999999999</v>
      </c>
      <c r="AB128" s="16">
        <v>0.28483000000000003</v>
      </c>
      <c r="AC128" s="16">
        <v>0.28040500000000002</v>
      </c>
      <c r="AD128" s="16">
        <v>0.27554499999999998</v>
      </c>
      <c r="AE128" s="16">
        <v>0.27076099999999997</v>
      </c>
      <c r="AF128" s="16">
        <v>0.26631199999999999</v>
      </c>
      <c r="AG128" s="16">
        <v>0.261959</v>
      </c>
      <c r="AH128" s="16">
        <v>0.25714900000000002</v>
      </c>
      <c r="AI128" s="16">
        <v>0.25474799999999997</v>
      </c>
      <c r="AJ128" s="16">
        <v>0.25200600000000001</v>
      </c>
      <c r="AK128" s="16">
        <v>0.24901599999999999</v>
      </c>
      <c r="AL128" s="16">
        <v>0.24698300000000001</v>
      </c>
      <c r="AM128" s="13">
        <v>-3.4870000000000001E-3</v>
      </c>
    </row>
    <row r="129" spans="1:39" ht="15" customHeight="1" x14ac:dyDescent="0.25">
      <c r="A129" s="7" t="s">
        <v>167</v>
      </c>
      <c r="B129" s="11" t="s">
        <v>40</v>
      </c>
      <c r="C129" s="16">
        <v>2.9822000000000001E-2</v>
      </c>
      <c r="D129" s="16">
        <v>3.0093000000000002E-2</v>
      </c>
      <c r="E129" s="16">
        <v>2.8541E-2</v>
      </c>
      <c r="F129" s="16">
        <v>2.7938999999999999E-2</v>
      </c>
      <c r="G129" s="16">
        <v>2.7535E-2</v>
      </c>
      <c r="H129" s="16">
        <v>2.7021E-2</v>
      </c>
      <c r="I129" s="16">
        <v>2.6401999999999998E-2</v>
      </c>
      <c r="J129" s="16">
        <v>2.5856000000000001E-2</v>
      </c>
      <c r="K129" s="16">
        <v>2.5423000000000001E-2</v>
      </c>
      <c r="L129" s="16">
        <v>2.5076000000000001E-2</v>
      </c>
      <c r="M129" s="16">
        <v>2.4846E-2</v>
      </c>
      <c r="N129" s="16">
        <v>2.4639000000000001E-2</v>
      </c>
      <c r="O129" s="16">
        <v>2.4265999999999999E-2</v>
      </c>
      <c r="P129" s="16">
        <v>2.3932999999999999E-2</v>
      </c>
      <c r="Q129" s="16">
        <v>2.3643999999999998E-2</v>
      </c>
      <c r="R129" s="16">
        <v>2.3328999999999999E-2</v>
      </c>
      <c r="S129" s="16">
        <v>2.3040000000000001E-2</v>
      </c>
      <c r="T129" s="16">
        <v>2.2817E-2</v>
      </c>
      <c r="U129" s="16">
        <v>2.2473E-2</v>
      </c>
      <c r="V129" s="16">
        <v>2.2117000000000001E-2</v>
      </c>
      <c r="W129" s="16">
        <v>2.1758E-2</v>
      </c>
      <c r="X129" s="16">
        <v>2.1440000000000001E-2</v>
      </c>
      <c r="Y129" s="16">
        <v>2.1104000000000001E-2</v>
      </c>
      <c r="Z129" s="16">
        <v>2.0745E-2</v>
      </c>
      <c r="AA129" s="16">
        <v>2.0459000000000001E-2</v>
      </c>
      <c r="AB129" s="16">
        <v>2.0153000000000001E-2</v>
      </c>
      <c r="AC129" s="16">
        <v>1.9837E-2</v>
      </c>
      <c r="AD129" s="16">
        <v>1.9542E-2</v>
      </c>
      <c r="AE129" s="16">
        <v>1.9230000000000001E-2</v>
      </c>
      <c r="AF129" s="16">
        <v>1.8928E-2</v>
      </c>
      <c r="AG129" s="16">
        <v>1.8627999999999999E-2</v>
      </c>
      <c r="AH129" s="16">
        <v>1.8332000000000001E-2</v>
      </c>
      <c r="AI129" s="16">
        <v>1.8075999999999998E-2</v>
      </c>
      <c r="AJ129" s="16">
        <v>1.7832000000000001E-2</v>
      </c>
      <c r="AK129" s="16">
        <v>1.7578E-2</v>
      </c>
      <c r="AL129" s="16">
        <v>1.7340999999999999E-2</v>
      </c>
      <c r="AM129" s="13">
        <v>-1.6081999999999999E-2</v>
      </c>
    </row>
    <row r="130" spans="1:39" ht="15" customHeight="1" x14ac:dyDescent="0.25">
      <c r="A130" s="7" t="s">
        <v>168</v>
      </c>
      <c r="B130" s="11" t="s">
        <v>42</v>
      </c>
      <c r="C130" s="16">
        <v>0.181198</v>
      </c>
      <c r="D130" s="16">
        <v>0.17335500000000001</v>
      </c>
      <c r="E130" s="16">
        <v>0.16767599999999999</v>
      </c>
      <c r="F130" s="16">
        <v>0.169463</v>
      </c>
      <c r="G130" s="16">
        <v>0.17225399999999999</v>
      </c>
      <c r="H130" s="16">
        <v>0.17175699999999999</v>
      </c>
      <c r="I130" s="16">
        <v>0.17054900000000001</v>
      </c>
      <c r="J130" s="16">
        <v>0.17003299999999999</v>
      </c>
      <c r="K130" s="16">
        <v>0.169956</v>
      </c>
      <c r="L130" s="16">
        <v>0.16897999999999999</v>
      </c>
      <c r="M130" s="16">
        <v>0.168462</v>
      </c>
      <c r="N130" s="16">
        <v>0.16831099999999999</v>
      </c>
      <c r="O130" s="16">
        <v>0.16716800000000001</v>
      </c>
      <c r="P130" s="16">
        <v>0.16515299999999999</v>
      </c>
      <c r="Q130" s="16">
        <v>0.16340099999999999</v>
      </c>
      <c r="R130" s="16">
        <v>0.16189200000000001</v>
      </c>
      <c r="S130" s="16">
        <v>0.160358</v>
      </c>
      <c r="T130" s="16">
        <v>0.15860199999999999</v>
      </c>
      <c r="U130" s="16">
        <v>0.15634799999999999</v>
      </c>
      <c r="V130" s="16">
        <v>0.15437999999999999</v>
      </c>
      <c r="W130" s="16">
        <v>0.15260199999999999</v>
      </c>
      <c r="X130" s="16">
        <v>0.15082699999999999</v>
      </c>
      <c r="Y130" s="16">
        <v>0.148871</v>
      </c>
      <c r="Z130" s="16">
        <v>0.14670900000000001</v>
      </c>
      <c r="AA130" s="16">
        <v>0.14496800000000001</v>
      </c>
      <c r="AB130" s="16">
        <v>0.14324500000000001</v>
      </c>
      <c r="AC130" s="16">
        <v>0.14153299999999999</v>
      </c>
      <c r="AD130" s="16">
        <v>0.13975799999999999</v>
      </c>
      <c r="AE130" s="16">
        <v>0.13808699999999999</v>
      </c>
      <c r="AF130" s="16">
        <v>0.136603</v>
      </c>
      <c r="AG130" s="16">
        <v>0.13508800000000001</v>
      </c>
      <c r="AH130" s="16">
        <v>0.13353000000000001</v>
      </c>
      <c r="AI130" s="16">
        <v>0.13212199999999999</v>
      </c>
      <c r="AJ130" s="16">
        <v>0.13064600000000001</v>
      </c>
      <c r="AK130" s="16">
        <v>0.129108</v>
      </c>
      <c r="AL130" s="16">
        <v>0.127719</v>
      </c>
      <c r="AM130" s="13">
        <v>-8.9449999999999998E-3</v>
      </c>
    </row>
    <row r="131" spans="1:39" ht="15" customHeight="1" x14ac:dyDescent="0.25">
      <c r="A131" s="7" t="s">
        <v>169</v>
      </c>
      <c r="B131" s="11" t="s">
        <v>44</v>
      </c>
      <c r="C131" s="16">
        <v>5.4650000000000002E-3</v>
      </c>
      <c r="D131" s="16">
        <v>7.1780000000000004E-3</v>
      </c>
      <c r="E131" s="16">
        <v>5.0509999999999999E-3</v>
      </c>
      <c r="F131" s="16">
        <v>4.6259999999999999E-3</v>
      </c>
      <c r="G131" s="16">
        <v>5.0419999999999996E-3</v>
      </c>
      <c r="H131" s="16">
        <v>5.3810000000000004E-3</v>
      </c>
      <c r="I131" s="16">
        <v>5.2519999999999997E-3</v>
      </c>
      <c r="J131" s="16">
        <v>5.1939999999999998E-3</v>
      </c>
      <c r="K131" s="16">
        <v>5.2610000000000001E-3</v>
      </c>
      <c r="L131" s="16">
        <v>5.274E-3</v>
      </c>
      <c r="M131" s="16">
        <v>5.2199999999999998E-3</v>
      </c>
      <c r="N131" s="16">
        <v>5.2480000000000001E-3</v>
      </c>
      <c r="O131" s="16">
        <v>5.2779999999999997E-3</v>
      </c>
      <c r="P131" s="16">
        <v>5.2550000000000001E-3</v>
      </c>
      <c r="Q131" s="16">
        <v>5.1879999999999999E-3</v>
      </c>
      <c r="R131" s="16">
        <v>5.0730000000000003E-3</v>
      </c>
      <c r="S131" s="16">
        <v>4.9820000000000003E-3</v>
      </c>
      <c r="T131" s="16">
        <v>4.829E-3</v>
      </c>
      <c r="U131" s="16">
        <v>4.7429999999999998E-3</v>
      </c>
      <c r="V131" s="16">
        <v>4.5710000000000004E-3</v>
      </c>
      <c r="W131" s="16">
        <v>4.4929999999999996E-3</v>
      </c>
      <c r="X131" s="16">
        <v>4.3620000000000004E-3</v>
      </c>
      <c r="Y131" s="16">
        <v>4.3039999999999997E-3</v>
      </c>
      <c r="Z131" s="16">
        <v>4.2079999999999999E-3</v>
      </c>
      <c r="AA131" s="16">
        <v>4.1450000000000002E-3</v>
      </c>
      <c r="AB131" s="16">
        <v>4.0530000000000002E-3</v>
      </c>
      <c r="AC131" s="16">
        <v>3.9529999999999999E-3</v>
      </c>
      <c r="AD131" s="16">
        <v>3.9439999999999996E-3</v>
      </c>
      <c r="AE131" s="16">
        <v>3.9240000000000004E-3</v>
      </c>
      <c r="AF131" s="16">
        <v>3.8909999999999999E-3</v>
      </c>
      <c r="AG131" s="16">
        <v>3.8639999999999998E-3</v>
      </c>
      <c r="AH131" s="16">
        <v>3.8210000000000002E-3</v>
      </c>
      <c r="AI131" s="16">
        <v>3.7850000000000002E-3</v>
      </c>
      <c r="AJ131" s="16">
        <v>3.7469999999999999E-3</v>
      </c>
      <c r="AK131" s="16">
        <v>3.7360000000000002E-3</v>
      </c>
      <c r="AL131" s="16">
        <v>3.6740000000000002E-3</v>
      </c>
      <c r="AM131" s="13">
        <v>-1.9505000000000002E-2</v>
      </c>
    </row>
    <row r="132" spans="1:39" ht="15" customHeight="1" x14ac:dyDescent="0.25">
      <c r="A132" s="7" t="s">
        <v>170</v>
      </c>
      <c r="B132" s="11" t="s">
        <v>81</v>
      </c>
      <c r="C132" s="16">
        <v>8.9115E-2</v>
      </c>
      <c r="D132" s="16">
        <v>8.8107000000000005E-2</v>
      </c>
      <c r="E132" s="16">
        <v>8.6306999999999995E-2</v>
      </c>
      <c r="F132" s="16">
        <v>9.4513E-2</v>
      </c>
      <c r="G132" s="16">
        <v>0.102621</v>
      </c>
      <c r="H132" s="16">
        <v>0.100435</v>
      </c>
      <c r="I132" s="16">
        <v>0.10144599999999999</v>
      </c>
      <c r="J132" s="16">
        <v>0.103495</v>
      </c>
      <c r="K132" s="16">
        <v>0.105153</v>
      </c>
      <c r="L132" s="16">
        <v>0.10602399999999999</v>
      </c>
      <c r="M132" s="16">
        <v>0.106945</v>
      </c>
      <c r="N132" s="16">
        <v>0.10881200000000001</v>
      </c>
      <c r="O132" s="16">
        <v>0.108489</v>
      </c>
      <c r="P132" s="16">
        <v>0.10760400000000001</v>
      </c>
      <c r="Q132" s="16">
        <v>0.107261</v>
      </c>
      <c r="R132" s="16">
        <v>0.107192</v>
      </c>
      <c r="S132" s="16">
        <v>0.1071</v>
      </c>
      <c r="T132" s="16">
        <v>0.106881</v>
      </c>
      <c r="U132" s="16">
        <v>0.105694</v>
      </c>
      <c r="V132" s="16">
        <v>0.104992</v>
      </c>
      <c r="W132" s="16">
        <v>0.103988</v>
      </c>
      <c r="X132" s="16">
        <v>0.103293</v>
      </c>
      <c r="Y132" s="16">
        <v>0.102199</v>
      </c>
      <c r="Z132" s="16">
        <v>0.101061</v>
      </c>
      <c r="AA132" s="16">
        <v>0.100716</v>
      </c>
      <c r="AB132" s="16">
        <v>9.9881999999999999E-2</v>
      </c>
      <c r="AC132" s="16">
        <v>9.8464999999999997E-2</v>
      </c>
      <c r="AD132" s="16">
        <v>9.6840999999999997E-2</v>
      </c>
      <c r="AE132" s="16">
        <v>9.5233999999999999E-2</v>
      </c>
      <c r="AF132" s="16">
        <v>9.3743999999999994E-2</v>
      </c>
      <c r="AG132" s="16">
        <v>9.2272999999999994E-2</v>
      </c>
      <c r="AH132" s="16">
        <v>9.0545E-2</v>
      </c>
      <c r="AI132" s="16">
        <v>8.9931999999999998E-2</v>
      </c>
      <c r="AJ132" s="16">
        <v>8.9203000000000005E-2</v>
      </c>
      <c r="AK132" s="16">
        <v>8.8397000000000003E-2</v>
      </c>
      <c r="AL132" s="16">
        <v>8.8031999999999999E-2</v>
      </c>
      <c r="AM132" s="13">
        <v>-2.5000000000000001E-5</v>
      </c>
    </row>
    <row r="133" spans="1:39" ht="15" customHeight="1" x14ac:dyDescent="0.25">
      <c r="A133" s="7" t="s">
        <v>171</v>
      </c>
      <c r="B133" s="11" t="s">
        <v>83</v>
      </c>
      <c r="C133" s="16">
        <v>8.9914999999999995E-2</v>
      </c>
      <c r="D133" s="16">
        <v>8.4082000000000004E-2</v>
      </c>
      <c r="E133" s="16">
        <v>8.3058000000000007E-2</v>
      </c>
      <c r="F133" s="16">
        <v>7.4071999999999999E-2</v>
      </c>
      <c r="G133" s="16">
        <v>6.8061999999999998E-2</v>
      </c>
      <c r="H133" s="16">
        <v>6.5396999999999997E-2</v>
      </c>
      <c r="I133" s="16">
        <v>6.2144999999999999E-2</v>
      </c>
      <c r="J133" s="16">
        <v>6.0250999999999999E-2</v>
      </c>
      <c r="K133" s="16">
        <v>5.8713000000000001E-2</v>
      </c>
      <c r="L133" s="16">
        <v>5.7678E-2</v>
      </c>
      <c r="M133" s="16">
        <v>5.6647999999999997E-2</v>
      </c>
      <c r="N133" s="16">
        <v>5.6423000000000001E-2</v>
      </c>
      <c r="O133" s="16">
        <v>5.6058999999999998E-2</v>
      </c>
      <c r="P133" s="16">
        <v>5.5659E-2</v>
      </c>
      <c r="Q133" s="16">
        <v>5.5514000000000001E-2</v>
      </c>
      <c r="R133" s="16">
        <v>5.5461000000000003E-2</v>
      </c>
      <c r="S133" s="16">
        <v>5.4550000000000001E-2</v>
      </c>
      <c r="T133" s="16">
        <v>5.3598E-2</v>
      </c>
      <c r="U133" s="16">
        <v>5.2635000000000001E-2</v>
      </c>
      <c r="V133" s="16">
        <v>5.1324000000000002E-2</v>
      </c>
      <c r="W133" s="16">
        <v>5.0094E-2</v>
      </c>
      <c r="X133" s="16">
        <v>4.9173000000000001E-2</v>
      </c>
      <c r="Y133" s="16">
        <v>4.8217999999999997E-2</v>
      </c>
      <c r="Z133" s="16">
        <v>4.7391000000000003E-2</v>
      </c>
      <c r="AA133" s="16">
        <v>4.6712999999999998E-2</v>
      </c>
      <c r="AB133" s="16">
        <v>4.5699999999999998E-2</v>
      </c>
      <c r="AC133" s="16">
        <v>4.4732000000000001E-2</v>
      </c>
      <c r="AD133" s="16">
        <v>4.4290999999999997E-2</v>
      </c>
      <c r="AE133" s="16">
        <v>4.3462000000000001E-2</v>
      </c>
      <c r="AF133" s="16">
        <v>4.2699000000000001E-2</v>
      </c>
      <c r="AG133" s="16">
        <v>4.1986000000000002E-2</v>
      </c>
      <c r="AH133" s="16">
        <v>4.1292000000000002E-2</v>
      </c>
      <c r="AI133" s="16">
        <v>4.0251000000000002E-2</v>
      </c>
      <c r="AJ133" s="16">
        <v>3.9272000000000001E-2</v>
      </c>
      <c r="AK133" s="16">
        <v>3.8616999999999999E-2</v>
      </c>
      <c r="AL133" s="16">
        <v>3.8182000000000001E-2</v>
      </c>
      <c r="AM133" s="13">
        <v>-2.2950999999999999E-2</v>
      </c>
    </row>
    <row r="134" spans="1:39" ht="15" customHeight="1" x14ac:dyDescent="0.25">
      <c r="A134" s="7" t="s">
        <v>172</v>
      </c>
      <c r="B134" s="11" t="s">
        <v>46</v>
      </c>
      <c r="C134" s="16">
        <v>0.112793</v>
      </c>
      <c r="D134" s="16">
        <v>0.11602700000000001</v>
      </c>
      <c r="E134" s="16">
        <v>0.112677</v>
      </c>
      <c r="F134" s="16">
        <v>0.114547</v>
      </c>
      <c r="G134" s="16">
        <v>0.11215700000000001</v>
      </c>
      <c r="H134" s="16">
        <v>0.10510799999999999</v>
      </c>
      <c r="I134" s="16">
        <v>0.102646</v>
      </c>
      <c r="J134" s="16">
        <v>0.10084600000000001</v>
      </c>
      <c r="K134" s="16">
        <v>0.100229</v>
      </c>
      <c r="L134" s="16">
        <v>9.9603999999999998E-2</v>
      </c>
      <c r="M134" s="16">
        <v>9.9210000000000007E-2</v>
      </c>
      <c r="N134" s="16">
        <v>9.9539000000000002E-2</v>
      </c>
      <c r="O134" s="16">
        <v>0.10009700000000001</v>
      </c>
      <c r="P134" s="16">
        <v>0.10091</v>
      </c>
      <c r="Q134" s="16">
        <v>0.10192900000000001</v>
      </c>
      <c r="R134" s="16">
        <v>0.10342999999999999</v>
      </c>
      <c r="S134" s="16">
        <v>0.10509599999999999</v>
      </c>
      <c r="T134" s="16">
        <v>0.106229</v>
      </c>
      <c r="U134" s="16">
        <v>0.106974</v>
      </c>
      <c r="V134" s="16">
        <v>0.107374</v>
      </c>
      <c r="W134" s="16">
        <v>0.107574</v>
      </c>
      <c r="X134" s="16">
        <v>0.107927</v>
      </c>
      <c r="Y134" s="16">
        <v>0.10818700000000001</v>
      </c>
      <c r="Z134" s="16">
        <v>0.10817599999999999</v>
      </c>
      <c r="AA134" s="16">
        <v>0.108671</v>
      </c>
      <c r="AB134" s="16">
        <v>0.109219</v>
      </c>
      <c r="AC134" s="16">
        <v>0.10965800000000001</v>
      </c>
      <c r="AD134" s="16">
        <v>0.110078</v>
      </c>
      <c r="AE134" s="16">
        <v>0.110263</v>
      </c>
      <c r="AF134" s="16">
        <v>0.110582</v>
      </c>
      <c r="AG134" s="16">
        <v>0.110932</v>
      </c>
      <c r="AH134" s="16">
        <v>0.11124000000000001</v>
      </c>
      <c r="AI134" s="16">
        <v>0.111704</v>
      </c>
      <c r="AJ134" s="16">
        <v>0.11214200000000001</v>
      </c>
      <c r="AK134" s="16">
        <v>0.11241900000000001</v>
      </c>
      <c r="AL134" s="16">
        <v>0.112639</v>
      </c>
      <c r="AM134" s="13">
        <v>-8.7100000000000003E-4</v>
      </c>
    </row>
    <row r="135" spans="1:39" ht="15" customHeight="1" x14ac:dyDescent="0.25">
      <c r="A135" s="7" t="s">
        <v>173</v>
      </c>
      <c r="B135" s="11" t="s">
        <v>118</v>
      </c>
      <c r="C135" s="16">
        <v>0.197854</v>
      </c>
      <c r="D135" s="16">
        <v>0.20057900000000001</v>
      </c>
      <c r="E135" s="16">
        <v>0.194302</v>
      </c>
      <c r="F135" s="16">
        <v>0.21335200000000001</v>
      </c>
      <c r="G135" s="16">
        <v>0.210952</v>
      </c>
      <c r="H135" s="16">
        <v>0.20564399999999999</v>
      </c>
      <c r="I135" s="16">
        <v>0.20170299999999999</v>
      </c>
      <c r="J135" s="16">
        <v>0.19872100000000001</v>
      </c>
      <c r="K135" s="16">
        <v>0.19508900000000001</v>
      </c>
      <c r="L135" s="16">
        <v>0.191751</v>
      </c>
      <c r="M135" s="16">
        <v>0.189274</v>
      </c>
      <c r="N135" s="16">
        <v>0.18787200000000001</v>
      </c>
      <c r="O135" s="16">
        <v>0.18611800000000001</v>
      </c>
      <c r="P135" s="16">
        <v>0.182002</v>
      </c>
      <c r="Q135" s="16">
        <v>0.18021300000000001</v>
      </c>
      <c r="R135" s="16">
        <v>0.17869099999999999</v>
      </c>
      <c r="S135" s="16">
        <v>0.175508</v>
      </c>
      <c r="T135" s="16">
        <v>0.17327400000000001</v>
      </c>
      <c r="U135" s="16">
        <v>0.16939399999999999</v>
      </c>
      <c r="V135" s="16">
        <v>0.165796</v>
      </c>
      <c r="W135" s="16">
        <v>0.16192500000000001</v>
      </c>
      <c r="X135" s="16">
        <v>0.15919800000000001</v>
      </c>
      <c r="Y135" s="16">
        <v>0.15659200000000001</v>
      </c>
      <c r="Z135" s="16">
        <v>0.15256400000000001</v>
      </c>
      <c r="AA135" s="16">
        <v>0.15098800000000001</v>
      </c>
      <c r="AB135" s="16">
        <v>0.14874200000000001</v>
      </c>
      <c r="AC135" s="16">
        <v>0.14510300000000001</v>
      </c>
      <c r="AD135" s="16">
        <v>0.14313699999999999</v>
      </c>
      <c r="AE135" s="16">
        <v>0.13958400000000001</v>
      </c>
      <c r="AF135" s="16">
        <v>0.13706699999999999</v>
      </c>
      <c r="AG135" s="16">
        <v>0.134742</v>
      </c>
      <c r="AH135" s="16">
        <v>0.13250100000000001</v>
      </c>
      <c r="AI135" s="16">
        <v>0.130136</v>
      </c>
      <c r="AJ135" s="16">
        <v>0.12729699999999999</v>
      </c>
      <c r="AK135" s="16">
        <v>0.12470299999999999</v>
      </c>
      <c r="AL135" s="16">
        <v>0.12297</v>
      </c>
      <c r="AM135" s="13">
        <v>-1.4286999999999999E-2</v>
      </c>
    </row>
    <row r="136" spans="1:39" ht="15" customHeight="1" x14ac:dyDescent="0.25">
      <c r="A136" s="7" t="s">
        <v>174</v>
      </c>
      <c r="B136" s="11" t="s">
        <v>86</v>
      </c>
      <c r="C136" s="16">
        <v>5.9172000000000002E-2</v>
      </c>
      <c r="D136" s="16">
        <v>5.8162999999999999E-2</v>
      </c>
      <c r="E136" s="16">
        <v>5.5698999999999999E-2</v>
      </c>
      <c r="F136" s="16">
        <v>5.2336000000000001E-2</v>
      </c>
      <c r="G136" s="16">
        <v>5.0627999999999999E-2</v>
      </c>
      <c r="H136" s="16">
        <v>4.9437000000000002E-2</v>
      </c>
      <c r="I136" s="16">
        <v>4.8217000000000003E-2</v>
      </c>
      <c r="J136" s="16">
        <v>4.7112000000000001E-2</v>
      </c>
      <c r="K136" s="16">
        <v>4.6008E-2</v>
      </c>
      <c r="L136" s="16">
        <v>4.5109000000000003E-2</v>
      </c>
      <c r="M136" s="16">
        <v>4.4254000000000002E-2</v>
      </c>
      <c r="N136" s="16">
        <v>4.3468E-2</v>
      </c>
      <c r="O136" s="16">
        <v>4.2550999999999999E-2</v>
      </c>
      <c r="P136" s="16">
        <v>4.1940999999999999E-2</v>
      </c>
      <c r="Q136" s="16">
        <v>4.1369000000000003E-2</v>
      </c>
      <c r="R136" s="16">
        <v>4.0807000000000003E-2</v>
      </c>
      <c r="S136" s="16">
        <v>4.0169999999999997E-2</v>
      </c>
      <c r="T136" s="16">
        <v>3.9545999999999998E-2</v>
      </c>
      <c r="U136" s="16">
        <v>3.8932000000000001E-2</v>
      </c>
      <c r="V136" s="16">
        <v>3.8334E-2</v>
      </c>
      <c r="W136" s="16">
        <v>3.7784999999999999E-2</v>
      </c>
      <c r="X136" s="16">
        <v>3.7200999999999998E-2</v>
      </c>
      <c r="Y136" s="16">
        <v>3.6623999999999997E-2</v>
      </c>
      <c r="Z136" s="16">
        <v>3.6089000000000003E-2</v>
      </c>
      <c r="AA136" s="16">
        <v>3.5617000000000003E-2</v>
      </c>
      <c r="AB136" s="16">
        <v>3.5143000000000001E-2</v>
      </c>
      <c r="AC136" s="16">
        <v>3.4651000000000001E-2</v>
      </c>
      <c r="AD136" s="16">
        <v>3.4118000000000002E-2</v>
      </c>
      <c r="AE136" s="16">
        <v>3.3633000000000003E-2</v>
      </c>
      <c r="AF136" s="16">
        <v>3.3204999999999998E-2</v>
      </c>
      <c r="AG136" s="16">
        <v>3.2772999999999997E-2</v>
      </c>
      <c r="AH136" s="16">
        <v>3.2347000000000001E-2</v>
      </c>
      <c r="AI136" s="16">
        <v>3.1942999999999999E-2</v>
      </c>
      <c r="AJ136" s="16">
        <v>3.1535000000000001E-2</v>
      </c>
      <c r="AK136" s="16">
        <v>3.1099000000000002E-2</v>
      </c>
      <c r="AL136" s="16">
        <v>3.0693000000000002E-2</v>
      </c>
      <c r="AM136" s="13">
        <v>-1.8624999999999999E-2</v>
      </c>
    </row>
    <row r="137" spans="1:39" ht="15" customHeight="1" x14ac:dyDescent="0.25">
      <c r="A137" s="7" t="s">
        <v>175</v>
      </c>
      <c r="B137" s="11" t="s">
        <v>88</v>
      </c>
      <c r="C137" s="16">
        <v>1.103416</v>
      </c>
      <c r="D137" s="16">
        <v>1.092101</v>
      </c>
      <c r="E137" s="16">
        <v>1.057485</v>
      </c>
      <c r="F137" s="16">
        <v>1.0919000000000001</v>
      </c>
      <c r="G137" s="16">
        <v>1.101842</v>
      </c>
      <c r="H137" s="16">
        <v>1.083189</v>
      </c>
      <c r="I137" s="16">
        <v>1.070643</v>
      </c>
      <c r="J137" s="16">
        <v>1.066117</v>
      </c>
      <c r="K137" s="16">
        <v>1.062103</v>
      </c>
      <c r="L137" s="16">
        <v>1.055928</v>
      </c>
      <c r="M137" s="16">
        <v>1.0523819999999999</v>
      </c>
      <c r="N137" s="16">
        <v>1.05586</v>
      </c>
      <c r="O137" s="16">
        <v>1.0495989999999999</v>
      </c>
      <c r="P137" s="16">
        <v>1.0386580000000001</v>
      </c>
      <c r="Q137" s="16">
        <v>1.032829</v>
      </c>
      <c r="R137" s="16">
        <v>1.0290680000000001</v>
      </c>
      <c r="S137" s="16">
        <v>1.0227010000000001</v>
      </c>
      <c r="T137" s="16">
        <v>1.0160199999999999</v>
      </c>
      <c r="U137" s="16">
        <v>1.003101</v>
      </c>
      <c r="V137" s="16">
        <v>0.99158900000000005</v>
      </c>
      <c r="W137" s="16">
        <v>0.97902800000000001</v>
      </c>
      <c r="X137" s="16">
        <v>0.96903499999999998</v>
      </c>
      <c r="Y137" s="16">
        <v>0.957565</v>
      </c>
      <c r="Z137" s="16">
        <v>0.943913</v>
      </c>
      <c r="AA137" s="16">
        <v>0.93678399999999995</v>
      </c>
      <c r="AB137" s="16">
        <v>0.92712799999999995</v>
      </c>
      <c r="AC137" s="16">
        <v>0.91404099999999999</v>
      </c>
      <c r="AD137" s="16">
        <v>0.90246400000000004</v>
      </c>
      <c r="AE137" s="16">
        <v>0.88897199999999998</v>
      </c>
      <c r="AF137" s="16">
        <v>0.87744200000000006</v>
      </c>
      <c r="AG137" s="16">
        <v>0.86627900000000002</v>
      </c>
      <c r="AH137" s="16">
        <v>0.85440199999999999</v>
      </c>
      <c r="AI137" s="16">
        <v>0.84596000000000005</v>
      </c>
      <c r="AJ137" s="16">
        <v>0.83650100000000005</v>
      </c>
      <c r="AK137" s="16">
        <v>0.82703899999999997</v>
      </c>
      <c r="AL137" s="16">
        <v>0.82015899999999997</v>
      </c>
      <c r="AM137" s="13">
        <v>-8.3870000000000004E-3</v>
      </c>
    </row>
    <row r="138" spans="1:39" ht="15" customHeight="1" x14ac:dyDescent="0.25">
      <c r="A138" s="7" t="s">
        <v>176</v>
      </c>
      <c r="B138" s="11" t="s">
        <v>48</v>
      </c>
      <c r="C138" s="16">
        <v>0.93247500000000005</v>
      </c>
      <c r="D138" s="16">
        <v>0.93304500000000001</v>
      </c>
      <c r="E138" s="16">
        <v>0.87426899999999996</v>
      </c>
      <c r="F138" s="16">
        <v>0.86588299999999996</v>
      </c>
      <c r="G138" s="16">
        <v>0.86854900000000002</v>
      </c>
      <c r="H138" s="16">
        <v>0.85852499999999998</v>
      </c>
      <c r="I138" s="16">
        <v>0.85373500000000002</v>
      </c>
      <c r="J138" s="16">
        <v>0.850491</v>
      </c>
      <c r="K138" s="16">
        <v>0.84493600000000002</v>
      </c>
      <c r="L138" s="16">
        <v>0.83723400000000003</v>
      </c>
      <c r="M138" s="16">
        <v>0.83319200000000004</v>
      </c>
      <c r="N138" s="16">
        <v>0.82916800000000002</v>
      </c>
      <c r="O138" s="16">
        <v>0.81597699999999995</v>
      </c>
      <c r="P138" s="16">
        <v>0.80598700000000001</v>
      </c>
      <c r="Q138" s="16">
        <v>0.79712700000000003</v>
      </c>
      <c r="R138" s="16">
        <v>0.78860200000000003</v>
      </c>
      <c r="S138" s="16">
        <v>0.78062299999999996</v>
      </c>
      <c r="T138" s="16">
        <v>0.77541199999999999</v>
      </c>
      <c r="U138" s="16">
        <v>0.76725399999999999</v>
      </c>
      <c r="V138" s="16">
        <v>0.75907500000000006</v>
      </c>
      <c r="W138" s="16">
        <v>0.74959100000000001</v>
      </c>
      <c r="X138" s="16">
        <v>0.74288399999999999</v>
      </c>
      <c r="Y138" s="16">
        <v>0.73394800000000004</v>
      </c>
      <c r="Z138" s="16">
        <v>0.72335199999999999</v>
      </c>
      <c r="AA138" s="16">
        <v>0.71672999999999998</v>
      </c>
      <c r="AB138" s="16">
        <v>0.71027300000000004</v>
      </c>
      <c r="AC138" s="16">
        <v>0.70237799999999995</v>
      </c>
      <c r="AD138" s="16">
        <v>0.69322399999999995</v>
      </c>
      <c r="AE138" s="16">
        <v>0.683195</v>
      </c>
      <c r="AF138" s="16">
        <v>0.67544000000000004</v>
      </c>
      <c r="AG138" s="16">
        <v>0.66851300000000002</v>
      </c>
      <c r="AH138" s="16">
        <v>0.66143799999999997</v>
      </c>
      <c r="AI138" s="16">
        <v>0.65524099999999996</v>
      </c>
      <c r="AJ138" s="16">
        <v>0.64888800000000002</v>
      </c>
      <c r="AK138" s="16">
        <v>0.64265700000000003</v>
      </c>
      <c r="AL138" s="16">
        <v>0.63659399999999999</v>
      </c>
      <c r="AM138" s="13">
        <v>-1.1181999999999999E-2</v>
      </c>
    </row>
    <row r="139" spans="1:39" ht="15" customHeight="1" x14ac:dyDescent="0.25">
      <c r="A139" s="7" t="s">
        <v>177</v>
      </c>
      <c r="B139" s="11" t="s">
        <v>178</v>
      </c>
      <c r="C139" s="16">
        <v>0.12205000000000001</v>
      </c>
      <c r="D139" s="16">
        <v>0.13340399999999999</v>
      </c>
      <c r="E139" s="16">
        <v>0.145425</v>
      </c>
      <c r="F139" s="16">
        <v>0.16320599999999999</v>
      </c>
      <c r="G139" s="16">
        <v>0.171292</v>
      </c>
      <c r="H139" s="16">
        <v>0.170631</v>
      </c>
      <c r="I139" s="16">
        <v>0.16928000000000001</v>
      </c>
      <c r="J139" s="16">
        <v>0.16867299999999999</v>
      </c>
      <c r="K139" s="16">
        <v>0.16733000000000001</v>
      </c>
      <c r="L139" s="16">
        <v>0.16612299999999999</v>
      </c>
      <c r="M139" s="16">
        <v>0.16631499999999999</v>
      </c>
      <c r="N139" s="16">
        <v>0.16681699999999999</v>
      </c>
      <c r="O139" s="16">
        <v>0.16286999999999999</v>
      </c>
      <c r="P139" s="16">
        <v>0.160749</v>
      </c>
      <c r="Q139" s="16">
        <v>0.15942999999999999</v>
      </c>
      <c r="R139" s="16">
        <v>0.15764600000000001</v>
      </c>
      <c r="S139" s="16">
        <v>0.15682399999999999</v>
      </c>
      <c r="T139" s="16">
        <v>0.15687300000000001</v>
      </c>
      <c r="U139" s="16">
        <v>0.15473300000000001</v>
      </c>
      <c r="V139" s="16">
        <v>0.15269099999999999</v>
      </c>
      <c r="W139" s="16">
        <v>0.15037500000000001</v>
      </c>
      <c r="X139" s="16">
        <v>0.14963599999999999</v>
      </c>
      <c r="Y139" s="16">
        <v>0.147727</v>
      </c>
      <c r="Z139" s="16">
        <v>0.145173</v>
      </c>
      <c r="AA139" s="16">
        <v>0.14426</v>
      </c>
      <c r="AB139" s="16">
        <v>0.14250099999999999</v>
      </c>
      <c r="AC139" s="16">
        <v>0.13953499999999999</v>
      </c>
      <c r="AD139" s="16">
        <v>0.13682900000000001</v>
      </c>
      <c r="AE139" s="16">
        <v>0.13390099999999999</v>
      </c>
      <c r="AF139" s="16">
        <v>0.13134999999999999</v>
      </c>
      <c r="AG139" s="16">
        <v>0.12932399999999999</v>
      </c>
      <c r="AH139" s="16">
        <v>0.12697600000000001</v>
      </c>
      <c r="AI139" s="16">
        <v>0.12461700000000001</v>
      </c>
      <c r="AJ139" s="16">
        <v>0.121986</v>
      </c>
      <c r="AK139" s="16">
        <v>0.120162</v>
      </c>
      <c r="AL139" s="16">
        <v>0.118273</v>
      </c>
      <c r="AM139" s="13">
        <v>-3.5339999999999998E-3</v>
      </c>
    </row>
    <row r="140" spans="1:39" ht="15" customHeight="1" x14ac:dyDescent="0.25">
      <c r="A140" s="7" t="s">
        <v>179</v>
      </c>
      <c r="B140" s="11" t="s">
        <v>124</v>
      </c>
      <c r="C140" s="16">
        <v>0</v>
      </c>
      <c r="D140" s="16">
        <v>0</v>
      </c>
      <c r="E140" s="16">
        <v>0</v>
      </c>
      <c r="F140" s="16">
        <v>0</v>
      </c>
      <c r="G140" s="16">
        <v>0</v>
      </c>
      <c r="H140" s="16">
        <v>0</v>
      </c>
      <c r="I140" s="16">
        <v>0</v>
      </c>
      <c r="J140" s="16">
        <v>0</v>
      </c>
      <c r="K140" s="16">
        <v>0</v>
      </c>
      <c r="L140" s="16">
        <v>0</v>
      </c>
      <c r="M140" s="16">
        <v>0</v>
      </c>
      <c r="N140" s="16">
        <v>0</v>
      </c>
      <c r="O140" s="16">
        <v>0</v>
      </c>
      <c r="P140" s="16">
        <v>0</v>
      </c>
      <c r="Q140" s="16">
        <v>0</v>
      </c>
      <c r="R140" s="16">
        <v>0</v>
      </c>
      <c r="S140" s="16">
        <v>0</v>
      </c>
      <c r="T140" s="16">
        <v>0</v>
      </c>
      <c r="U140" s="16">
        <v>0</v>
      </c>
      <c r="V140" s="16">
        <v>0</v>
      </c>
      <c r="W140" s="16">
        <v>0</v>
      </c>
      <c r="X140" s="16">
        <v>0</v>
      </c>
      <c r="Y140" s="16">
        <v>0</v>
      </c>
      <c r="Z140" s="16">
        <v>0</v>
      </c>
      <c r="AA140" s="16">
        <v>0</v>
      </c>
      <c r="AB140" s="16">
        <v>0</v>
      </c>
      <c r="AC140" s="16">
        <v>0</v>
      </c>
      <c r="AD140" s="16">
        <v>0</v>
      </c>
      <c r="AE140" s="16">
        <v>0</v>
      </c>
      <c r="AF140" s="16">
        <v>0</v>
      </c>
      <c r="AG140" s="16">
        <v>0</v>
      </c>
      <c r="AH140" s="16">
        <v>0</v>
      </c>
      <c r="AI140" s="16">
        <v>0</v>
      </c>
      <c r="AJ140" s="16">
        <v>0</v>
      </c>
      <c r="AK140" s="16">
        <v>0</v>
      </c>
      <c r="AL140" s="16">
        <v>0</v>
      </c>
      <c r="AM140" s="13" t="s">
        <v>13</v>
      </c>
    </row>
    <row r="141" spans="1:39" ht="15" customHeight="1" x14ac:dyDescent="0.25">
      <c r="A141" s="7" t="s">
        <v>180</v>
      </c>
      <c r="B141" s="11" t="s">
        <v>92</v>
      </c>
      <c r="C141" s="16">
        <v>0.22117999999999999</v>
      </c>
      <c r="D141" s="16">
        <v>0.216923</v>
      </c>
      <c r="E141" s="16">
        <v>0.21426600000000001</v>
      </c>
      <c r="F141" s="16">
        <v>0.212094</v>
      </c>
      <c r="G141" s="16">
        <v>0.20798700000000001</v>
      </c>
      <c r="H141" s="16">
        <v>0.20296500000000001</v>
      </c>
      <c r="I141" s="16">
        <v>0.199296</v>
      </c>
      <c r="J141" s="16">
        <v>0.19700000000000001</v>
      </c>
      <c r="K141" s="16">
        <v>0.195272</v>
      </c>
      <c r="L141" s="16">
        <v>0.19417400000000001</v>
      </c>
      <c r="M141" s="16">
        <v>0.194354</v>
      </c>
      <c r="N141" s="16">
        <v>0.19641500000000001</v>
      </c>
      <c r="O141" s="16">
        <v>0.19403599999999999</v>
      </c>
      <c r="P141" s="16">
        <v>0.19248899999999999</v>
      </c>
      <c r="Q141" s="16">
        <v>0.190798</v>
      </c>
      <c r="R141" s="16">
        <v>0.18884999999999999</v>
      </c>
      <c r="S141" s="16">
        <v>0.186916</v>
      </c>
      <c r="T141" s="16">
        <v>0.185499</v>
      </c>
      <c r="U141" s="16">
        <v>0.18315699999999999</v>
      </c>
      <c r="V141" s="16">
        <v>0.18102499999999999</v>
      </c>
      <c r="W141" s="16">
        <v>0.17992900000000001</v>
      </c>
      <c r="X141" s="16">
        <v>0.17894099999999999</v>
      </c>
      <c r="Y141" s="16">
        <v>0.177122</v>
      </c>
      <c r="Z141" s="16">
        <v>0.17452400000000001</v>
      </c>
      <c r="AA141" s="16">
        <v>0.172766</v>
      </c>
      <c r="AB141" s="16">
        <v>0.170958</v>
      </c>
      <c r="AC141" s="16">
        <v>0.16876099999999999</v>
      </c>
      <c r="AD141" s="16">
        <v>0.16591700000000001</v>
      </c>
      <c r="AE141" s="16">
        <v>0.16300000000000001</v>
      </c>
      <c r="AF141" s="16">
        <v>0.160667</v>
      </c>
      <c r="AG141" s="16">
        <v>0.15834699999999999</v>
      </c>
      <c r="AH141" s="16">
        <v>0.15648999999999999</v>
      </c>
      <c r="AI141" s="16">
        <v>0.15473500000000001</v>
      </c>
      <c r="AJ141" s="16">
        <v>0.152887</v>
      </c>
      <c r="AK141" s="16">
        <v>0.15072099999999999</v>
      </c>
      <c r="AL141" s="16">
        <v>0.14857999999999999</v>
      </c>
      <c r="AM141" s="13">
        <v>-1.1068E-2</v>
      </c>
    </row>
    <row r="142" spans="1:39" ht="15" customHeight="1" x14ac:dyDescent="0.25">
      <c r="A142" s="7" t="s">
        <v>181</v>
      </c>
      <c r="B142" s="11" t="s">
        <v>94</v>
      </c>
      <c r="C142" s="16">
        <v>0</v>
      </c>
      <c r="D142" s="16">
        <v>2.2000000000000001E-3</v>
      </c>
      <c r="E142" s="16">
        <v>6.986E-3</v>
      </c>
      <c r="F142" s="16">
        <v>1.3044E-2</v>
      </c>
      <c r="G142" s="16">
        <v>2.3640000000000001E-2</v>
      </c>
      <c r="H142" s="16">
        <v>3.6048999999999998E-2</v>
      </c>
      <c r="I142" s="16">
        <v>3.6699000000000002E-2</v>
      </c>
      <c r="J142" s="16">
        <v>3.8233999999999997E-2</v>
      </c>
      <c r="K142" s="16">
        <v>3.9737000000000001E-2</v>
      </c>
      <c r="L142" s="16">
        <v>4.2058999999999999E-2</v>
      </c>
      <c r="M142" s="16">
        <v>4.2377999999999999E-2</v>
      </c>
      <c r="N142" s="16">
        <v>4.3659999999999997E-2</v>
      </c>
      <c r="O142" s="16">
        <v>4.3936999999999997E-2</v>
      </c>
      <c r="P142" s="16">
        <v>4.4795000000000001E-2</v>
      </c>
      <c r="Q142" s="16">
        <v>4.4943999999999998E-2</v>
      </c>
      <c r="R142" s="16">
        <v>4.5103999999999998E-2</v>
      </c>
      <c r="S142" s="16">
        <v>4.5274000000000002E-2</v>
      </c>
      <c r="T142" s="16">
        <v>4.5469000000000002E-2</v>
      </c>
      <c r="U142" s="16">
        <v>4.5447000000000001E-2</v>
      </c>
      <c r="V142" s="16">
        <v>4.4579000000000001E-2</v>
      </c>
      <c r="W142" s="16">
        <v>4.4368999999999999E-2</v>
      </c>
      <c r="X142" s="16">
        <v>4.4252E-2</v>
      </c>
      <c r="Y142" s="16">
        <v>4.4055999999999998E-2</v>
      </c>
      <c r="Z142" s="16">
        <v>4.3102000000000001E-2</v>
      </c>
      <c r="AA142" s="16">
        <v>4.2354000000000003E-2</v>
      </c>
      <c r="AB142" s="16">
        <v>4.1640000000000003E-2</v>
      </c>
      <c r="AC142" s="16">
        <v>4.0901E-2</v>
      </c>
      <c r="AD142" s="16">
        <v>4.0167000000000001E-2</v>
      </c>
      <c r="AE142" s="16">
        <v>3.9358999999999998E-2</v>
      </c>
      <c r="AF142" s="16">
        <v>3.8609999999999998E-2</v>
      </c>
      <c r="AG142" s="16">
        <v>3.7900000000000003E-2</v>
      </c>
      <c r="AH142" s="16">
        <v>3.7199000000000003E-2</v>
      </c>
      <c r="AI142" s="16">
        <v>3.6555999999999998E-2</v>
      </c>
      <c r="AJ142" s="16">
        <v>3.5921000000000002E-2</v>
      </c>
      <c r="AK142" s="16">
        <v>3.5246E-2</v>
      </c>
      <c r="AL142" s="16">
        <v>3.4571999999999999E-2</v>
      </c>
      <c r="AM142" s="13">
        <v>8.4392999999999996E-2</v>
      </c>
    </row>
    <row r="143" spans="1:39" ht="15" customHeight="1" x14ac:dyDescent="0.25">
      <c r="A143" s="7" t="s">
        <v>182</v>
      </c>
      <c r="B143" s="11" t="s">
        <v>96</v>
      </c>
      <c r="C143" s="16">
        <v>1.2757050000000001</v>
      </c>
      <c r="D143" s="16">
        <v>1.2855719999999999</v>
      </c>
      <c r="E143" s="16">
        <v>1.2409460000000001</v>
      </c>
      <c r="F143" s="16">
        <v>1.2542279999999999</v>
      </c>
      <c r="G143" s="16">
        <v>1.2714669999999999</v>
      </c>
      <c r="H143" s="16">
        <v>1.26817</v>
      </c>
      <c r="I143" s="16">
        <v>1.25901</v>
      </c>
      <c r="J143" s="16">
        <v>1.2543979999999999</v>
      </c>
      <c r="K143" s="16">
        <v>1.247274</v>
      </c>
      <c r="L143" s="16">
        <v>1.2395910000000001</v>
      </c>
      <c r="M143" s="16">
        <v>1.23624</v>
      </c>
      <c r="N143" s="16">
        <v>1.2360599999999999</v>
      </c>
      <c r="O143" s="16">
        <v>1.2168209999999999</v>
      </c>
      <c r="P143" s="16">
        <v>1.204021</v>
      </c>
      <c r="Q143" s="16">
        <v>1.192299</v>
      </c>
      <c r="R143" s="16">
        <v>1.1802029999999999</v>
      </c>
      <c r="S143" s="16">
        <v>1.1696359999999999</v>
      </c>
      <c r="T143" s="16">
        <v>1.163254</v>
      </c>
      <c r="U143" s="16">
        <v>1.1505920000000001</v>
      </c>
      <c r="V143" s="16">
        <v>1.1373709999999999</v>
      </c>
      <c r="W143" s="16">
        <v>1.1242639999999999</v>
      </c>
      <c r="X143" s="16">
        <v>1.115712</v>
      </c>
      <c r="Y143" s="16">
        <v>1.1028530000000001</v>
      </c>
      <c r="Z143" s="16">
        <v>1.086152</v>
      </c>
      <c r="AA143" s="16">
        <v>1.0761099999999999</v>
      </c>
      <c r="AB143" s="16">
        <v>1.065372</v>
      </c>
      <c r="AC143" s="16">
        <v>1.051574</v>
      </c>
      <c r="AD143" s="16">
        <v>1.0361370000000001</v>
      </c>
      <c r="AE143" s="16">
        <v>1.0194559999999999</v>
      </c>
      <c r="AF143" s="16">
        <v>1.006068</v>
      </c>
      <c r="AG143" s="16">
        <v>0.994085</v>
      </c>
      <c r="AH143" s="16">
        <v>0.98210200000000003</v>
      </c>
      <c r="AI143" s="16">
        <v>0.97114999999999996</v>
      </c>
      <c r="AJ143" s="16">
        <v>0.95968100000000001</v>
      </c>
      <c r="AK143" s="16">
        <v>0.94878499999999999</v>
      </c>
      <c r="AL143" s="16">
        <v>0.93801900000000005</v>
      </c>
      <c r="AM143" s="13">
        <v>-9.2270000000000008E-3</v>
      </c>
    </row>
    <row r="144" spans="1:39" ht="15" customHeight="1" x14ac:dyDescent="0.25">
      <c r="A144" s="7" t="s">
        <v>183</v>
      </c>
      <c r="B144" s="11" t="s">
        <v>98</v>
      </c>
      <c r="C144" s="16">
        <v>7.3748999999999995E-2</v>
      </c>
      <c r="D144" s="16">
        <v>6.9806999999999994E-2</v>
      </c>
      <c r="E144" s="16">
        <v>6.6891000000000006E-2</v>
      </c>
      <c r="F144" s="16">
        <v>6.0935000000000003E-2</v>
      </c>
      <c r="G144" s="16">
        <v>5.8173000000000002E-2</v>
      </c>
      <c r="H144" s="16">
        <v>5.7015999999999997E-2</v>
      </c>
      <c r="I144" s="16">
        <v>5.6592000000000003E-2</v>
      </c>
      <c r="J144" s="16">
        <v>5.4564000000000001E-2</v>
      </c>
      <c r="K144" s="16">
        <v>5.2333999999999999E-2</v>
      </c>
      <c r="L144" s="16">
        <v>4.9910999999999997E-2</v>
      </c>
      <c r="M144" s="16">
        <v>4.7395E-2</v>
      </c>
      <c r="N144" s="16">
        <v>4.4733000000000002E-2</v>
      </c>
      <c r="O144" s="16">
        <v>4.2474999999999999E-2</v>
      </c>
      <c r="P144" s="16">
        <v>4.0141000000000003E-2</v>
      </c>
      <c r="Q144" s="16">
        <v>3.8618E-2</v>
      </c>
      <c r="R144" s="16">
        <v>3.7035999999999999E-2</v>
      </c>
      <c r="S144" s="16">
        <v>3.4833000000000003E-2</v>
      </c>
      <c r="T144" s="16">
        <v>3.3078999999999997E-2</v>
      </c>
      <c r="U144" s="16">
        <v>3.2126000000000002E-2</v>
      </c>
      <c r="V144" s="16">
        <v>3.0494E-2</v>
      </c>
      <c r="W144" s="16">
        <v>2.9401E-2</v>
      </c>
      <c r="X144" s="16">
        <v>2.8138E-2</v>
      </c>
      <c r="Y144" s="16">
        <v>2.7199999999999998E-2</v>
      </c>
      <c r="Z144" s="16">
        <v>2.6346000000000001E-2</v>
      </c>
      <c r="AA144" s="16">
        <v>2.5034000000000001E-2</v>
      </c>
      <c r="AB144" s="16">
        <v>2.3524E-2</v>
      </c>
      <c r="AC144" s="16">
        <v>2.1957000000000001E-2</v>
      </c>
      <c r="AD144" s="16">
        <v>2.0774999999999998E-2</v>
      </c>
      <c r="AE144" s="16">
        <v>1.9720999999999999E-2</v>
      </c>
      <c r="AF144" s="16">
        <v>1.8814999999999998E-2</v>
      </c>
      <c r="AG144" s="16">
        <v>1.8092E-2</v>
      </c>
      <c r="AH144" s="16">
        <v>1.737E-2</v>
      </c>
      <c r="AI144" s="16">
        <v>1.6687E-2</v>
      </c>
      <c r="AJ144" s="16">
        <v>1.6074000000000001E-2</v>
      </c>
      <c r="AK144" s="16">
        <v>1.5325999999999999E-2</v>
      </c>
      <c r="AL144" s="16">
        <v>1.4730999999999999E-2</v>
      </c>
      <c r="AM144" s="13">
        <v>-4.4726000000000002E-2</v>
      </c>
    </row>
    <row r="145" spans="1:39" ht="15" customHeight="1" x14ac:dyDescent="0.25">
      <c r="A145" s="7" t="s">
        <v>184</v>
      </c>
      <c r="B145" s="11" t="s">
        <v>54</v>
      </c>
      <c r="C145" s="16">
        <v>0.103547</v>
      </c>
      <c r="D145" s="16">
        <v>9.8459000000000005E-2</v>
      </c>
      <c r="E145" s="16">
        <v>9.0568999999999997E-2</v>
      </c>
      <c r="F145" s="16">
        <v>8.6715E-2</v>
      </c>
      <c r="G145" s="16">
        <v>8.7244000000000002E-2</v>
      </c>
      <c r="H145" s="16">
        <v>8.6525000000000005E-2</v>
      </c>
      <c r="I145" s="16">
        <v>8.6223999999999995E-2</v>
      </c>
      <c r="J145" s="16">
        <v>8.5847000000000007E-2</v>
      </c>
      <c r="K145" s="16">
        <v>8.5064000000000001E-2</v>
      </c>
      <c r="L145" s="16">
        <v>8.3542000000000005E-2</v>
      </c>
      <c r="M145" s="16">
        <v>8.2202999999999998E-2</v>
      </c>
      <c r="N145" s="16">
        <v>8.1105999999999998E-2</v>
      </c>
      <c r="O145" s="16">
        <v>7.9792000000000002E-2</v>
      </c>
      <c r="P145" s="16">
        <v>7.7551999999999996E-2</v>
      </c>
      <c r="Q145" s="16">
        <v>7.5389999999999999E-2</v>
      </c>
      <c r="R145" s="16">
        <v>7.3360999999999996E-2</v>
      </c>
      <c r="S145" s="16">
        <v>7.1101999999999999E-2</v>
      </c>
      <c r="T145" s="16">
        <v>6.9411E-2</v>
      </c>
      <c r="U145" s="16">
        <v>6.7808999999999994E-2</v>
      </c>
      <c r="V145" s="16">
        <v>6.6083000000000003E-2</v>
      </c>
      <c r="W145" s="16">
        <v>6.4439999999999997E-2</v>
      </c>
      <c r="X145" s="16">
        <v>6.2922000000000006E-2</v>
      </c>
      <c r="Y145" s="16">
        <v>6.1559000000000003E-2</v>
      </c>
      <c r="Z145" s="16">
        <v>6.0136000000000002E-2</v>
      </c>
      <c r="AA145" s="16">
        <v>5.8857E-2</v>
      </c>
      <c r="AB145" s="16">
        <v>5.7715000000000002E-2</v>
      </c>
      <c r="AC145" s="16">
        <v>5.6564999999999997E-2</v>
      </c>
      <c r="AD145" s="16">
        <v>5.5453000000000002E-2</v>
      </c>
      <c r="AE145" s="16">
        <v>5.4371999999999997E-2</v>
      </c>
      <c r="AF145" s="16">
        <v>5.3381999999999999E-2</v>
      </c>
      <c r="AG145" s="16">
        <v>5.2420000000000001E-2</v>
      </c>
      <c r="AH145" s="16">
        <v>5.1486999999999998E-2</v>
      </c>
      <c r="AI145" s="16">
        <v>5.0569999999999997E-2</v>
      </c>
      <c r="AJ145" s="16">
        <v>4.9702000000000003E-2</v>
      </c>
      <c r="AK145" s="16">
        <v>4.8772999999999997E-2</v>
      </c>
      <c r="AL145" s="16">
        <v>4.7940000000000003E-2</v>
      </c>
      <c r="AM145" s="13">
        <v>-2.0944999999999998E-2</v>
      </c>
    </row>
    <row r="146" spans="1:39" ht="15" customHeight="1" x14ac:dyDescent="0.25">
      <c r="A146" s="7" t="s">
        <v>185</v>
      </c>
      <c r="B146" s="11" t="s">
        <v>128</v>
      </c>
      <c r="C146" s="16">
        <v>0</v>
      </c>
      <c r="D146" s="16">
        <v>0</v>
      </c>
      <c r="E146" s="16">
        <v>0</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v>0</v>
      </c>
      <c r="AM146" s="13" t="s">
        <v>13</v>
      </c>
    </row>
    <row r="147" spans="1:39" ht="15" customHeight="1" x14ac:dyDescent="0.25">
      <c r="A147" s="7" t="s">
        <v>186</v>
      </c>
      <c r="B147" s="11" t="s">
        <v>101</v>
      </c>
      <c r="C147" s="16">
        <v>0.17729600000000001</v>
      </c>
      <c r="D147" s="16">
        <v>0.168265</v>
      </c>
      <c r="E147" s="16">
        <v>0.15745999999999999</v>
      </c>
      <c r="F147" s="16">
        <v>0.147649</v>
      </c>
      <c r="G147" s="16">
        <v>0.14541699999999999</v>
      </c>
      <c r="H147" s="16">
        <v>0.143541</v>
      </c>
      <c r="I147" s="16">
        <v>0.142815</v>
      </c>
      <c r="J147" s="16">
        <v>0.14041100000000001</v>
      </c>
      <c r="K147" s="16">
        <v>0.13739799999999999</v>
      </c>
      <c r="L147" s="16">
        <v>0.13345199999999999</v>
      </c>
      <c r="M147" s="16">
        <v>0.12959699999999999</v>
      </c>
      <c r="N147" s="16">
        <v>0.12583900000000001</v>
      </c>
      <c r="O147" s="16">
        <v>0.122267</v>
      </c>
      <c r="P147" s="16">
        <v>0.11769300000000001</v>
      </c>
      <c r="Q147" s="16">
        <v>0.114009</v>
      </c>
      <c r="R147" s="16">
        <v>0.110397</v>
      </c>
      <c r="S147" s="16">
        <v>0.105935</v>
      </c>
      <c r="T147" s="16">
        <v>0.10249</v>
      </c>
      <c r="U147" s="16">
        <v>9.9933999999999995E-2</v>
      </c>
      <c r="V147" s="16">
        <v>9.6576999999999996E-2</v>
      </c>
      <c r="W147" s="16">
        <v>9.3840999999999994E-2</v>
      </c>
      <c r="X147" s="16">
        <v>9.1060000000000002E-2</v>
      </c>
      <c r="Y147" s="16">
        <v>8.8759000000000005E-2</v>
      </c>
      <c r="Z147" s="16">
        <v>8.6482000000000003E-2</v>
      </c>
      <c r="AA147" s="16">
        <v>8.3890999999999993E-2</v>
      </c>
      <c r="AB147" s="16">
        <v>8.1239000000000006E-2</v>
      </c>
      <c r="AC147" s="16">
        <v>7.8521999999999995E-2</v>
      </c>
      <c r="AD147" s="16">
        <v>7.6228000000000004E-2</v>
      </c>
      <c r="AE147" s="16">
        <v>7.4093000000000006E-2</v>
      </c>
      <c r="AF147" s="16">
        <v>7.2195999999999996E-2</v>
      </c>
      <c r="AG147" s="16">
        <v>7.0512000000000005E-2</v>
      </c>
      <c r="AH147" s="16">
        <v>6.8857000000000002E-2</v>
      </c>
      <c r="AI147" s="16">
        <v>6.7256999999999997E-2</v>
      </c>
      <c r="AJ147" s="16">
        <v>6.5777000000000002E-2</v>
      </c>
      <c r="AK147" s="16">
        <v>6.4099000000000003E-2</v>
      </c>
      <c r="AL147" s="16">
        <v>6.2671000000000004E-2</v>
      </c>
      <c r="AM147" s="13">
        <v>-2.8629999999999999E-2</v>
      </c>
    </row>
    <row r="148" spans="1:39" ht="15" customHeight="1" x14ac:dyDescent="0.25">
      <c r="A148" s="7" t="s">
        <v>187</v>
      </c>
      <c r="B148" s="11" t="s">
        <v>131</v>
      </c>
      <c r="C148" s="16">
        <v>0.114966</v>
      </c>
      <c r="D148" s="16">
        <v>0.120499</v>
      </c>
      <c r="E148" s="16">
        <v>0.11386300000000001</v>
      </c>
      <c r="F148" s="16">
        <v>0.10832899999999999</v>
      </c>
      <c r="G148" s="16">
        <v>0.10639</v>
      </c>
      <c r="H148" s="16">
        <v>0.103752</v>
      </c>
      <c r="I148" s="16">
        <v>0.100858</v>
      </c>
      <c r="J148" s="16">
        <v>9.8602999999999996E-2</v>
      </c>
      <c r="K148" s="16">
        <v>9.6522999999999998E-2</v>
      </c>
      <c r="L148" s="16">
        <v>9.4717999999999997E-2</v>
      </c>
      <c r="M148" s="16">
        <v>9.3834000000000001E-2</v>
      </c>
      <c r="N148" s="16">
        <v>9.2410999999999993E-2</v>
      </c>
      <c r="O148" s="16">
        <v>9.1256000000000004E-2</v>
      </c>
      <c r="P148" s="16">
        <v>8.9989E-2</v>
      </c>
      <c r="Q148" s="16">
        <v>8.8730000000000003E-2</v>
      </c>
      <c r="R148" s="16">
        <v>8.7656999999999999E-2</v>
      </c>
      <c r="S148" s="16">
        <v>8.5542000000000007E-2</v>
      </c>
      <c r="T148" s="16">
        <v>8.4270999999999999E-2</v>
      </c>
      <c r="U148" s="16">
        <v>8.2960000000000006E-2</v>
      </c>
      <c r="V148" s="16">
        <v>8.1374000000000002E-2</v>
      </c>
      <c r="W148" s="16">
        <v>7.9792000000000002E-2</v>
      </c>
      <c r="X148" s="16">
        <v>7.8423999999999994E-2</v>
      </c>
      <c r="Y148" s="16">
        <v>7.7041999999999999E-2</v>
      </c>
      <c r="Z148" s="16">
        <v>7.5554999999999997E-2</v>
      </c>
      <c r="AA148" s="16">
        <v>7.4409000000000003E-2</v>
      </c>
      <c r="AB148" s="16">
        <v>7.3202000000000003E-2</v>
      </c>
      <c r="AC148" s="16">
        <v>7.1551000000000003E-2</v>
      </c>
      <c r="AD148" s="16">
        <v>7.0203000000000002E-2</v>
      </c>
      <c r="AE148" s="16">
        <v>6.8640000000000007E-2</v>
      </c>
      <c r="AF148" s="16">
        <v>6.7333000000000004E-2</v>
      </c>
      <c r="AG148" s="16">
        <v>6.5999000000000002E-2</v>
      </c>
      <c r="AH148" s="16">
        <v>6.4768000000000006E-2</v>
      </c>
      <c r="AI148" s="16">
        <v>6.3807000000000003E-2</v>
      </c>
      <c r="AJ148" s="16">
        <v>6.2612000000000001E-2</v>
      </c>
      <c r="AK148" s="16">
        <v>6.0503000000000001E-2</v>
      </c>
      <c r="AL148" s="16">
        <v>5.7598999999999997E-2</v>
      </c>
      <c r="AM148" s="13">
        <v>-2.1475999999999999E-2</v>
      </c>
    </row>
    <row r="149" spans="1:39" ht="15" customHeight="1" x14ac:dyDescent="0.25">
      <c r="A149" s="7" t="s">
        <v>188</v>
      </c>
      <c r="B149" s="11" t="s">
        <v>103</v>
      </c>
      <c r="C149" s="16">
        <v>0.20141600000000001</v>
      </c>
      <c r="D149" s="16">
        <v>0.194524</v>
      </c>
      <c r="E149" s="16">
        <v>0.18170900000000001</v>
      </c>
      <c r="F149" s="16">
        <v>0.18108199999999999</v>
      </c>
      <c r="G149" s="16">
        <v>0.17990999999999999</v>
      </c>
      <c r="H149" s="16">
        <v>0.17832200000000001</v>
      </c>
      <c r="I149" s="16">
        <v>0.17768900000000001</v>
      </c>
      <c r="J149" s="16">
        <v>0.17758199999999999</v>
      </c>
      <c r="K149" s="16">
        <v>0.17783399999999999</v>
      </c>
      <c r="L149" s="16">
        <v>0.17668700000000001</v>
      </c>
      <c r="M149" s="16">
        <v>0.17515600000000001</v>
      </c>
      <c r="N149" s="16">
        <v>0.17404500000000001</v>
      </c>
      <c r="O149" s="16">
        <v>0.17344300000000001</v>
      </c>
      <c r="P149" s="16">
        <v>0.17180599999999999</v>
      </c>
      <c r="Q149" s="16">
        <v>0.169875</v>
      </c>
      <c r="R149" s="16">
        <v>0.16745099999999999</v>
      </c>
      <c r="S149" s="16">
        <v>0.16511899999999999</v>
      </c>
      <c r="T149" s="16">
        <v>0.16298299999999999</v>
      </c>
      <c r="U149" s="16">
        <v>0.160886</v>
      </c>
      <c r="V149" s="16">
        <v>0.15850600000000001</v>
      </c>
      <c r="W149" s="16">
        <v>0.15618699999999999</v>
      </c>
      <c r="X149" s="16">
        <v>0.15420500000000001</v>
      </c>
      <c r="Y149" s="16">
        <v>0.15260499999999999</v>
      </c>
      <c r="Z149" s="16">
        <v>0.15084700000000001</v>
      </c>
      <c r="AA149" s="16">
        <v>0.14926600000000001</v>
      </c>
      <c r="AB149" s="16">
        <v>0.14776600000000001</v>
      </c>
      <c r="AC149" s="16">
        <v>0.14651500000000001</v>
      </c>
      <c r="AD149" s="16">
        <v>0.145315</v>
      </c>
      <c r="AE149" s="16">
        <v>0.143988</v>
      </c>
      <c r="AF149" s="16">
        <v>0.14265600000000001</v>
      </c>
      <c r="AG149" s="16">
        <v>0.14130799999999999</v>
      </c>
      <c r="AH149" s="16">
        <v>0.139791</v>
      </c>
      <c r="AI149" s="16">
        <v>0.13810500000000001</v>
      </c>
      <c r="AJ149" s="16">
        <v>0.13633000000000001</v>
      </c>
      <c r="AK149" s="16">
        <v>0.13455700000000001</v>
      </c>
      <c r="AL149" s="16">
        <v>0.13270199999999999</v>
      </c>
      <c r="AM149" s="13">
        <v>-1.1186E-2</v>
      </c>
    </row>
    <row r="150" spans="1:39" ht="15" customHeight="1" x14ac:dyDescent="0.25">
      <c r="A150" s="7" t="s">
        <v>189</v>
      </c>
      <c r="B150" s="11" t="s">
        <v>105</v>
      </c>
      <c r="C150" s="16">
        <v>0.443552</v>
      </c>
      <c r="D150" s="16">
        <v>0.43310199999999999</v>
      </c>
      <c r="E150" s="16">
        <v>0.41518899999999997</v>
      </c>
      <c r="F150" s="16">
        <v>0.41922500000000001</v>
      </c>
      <c r="G150" s="16">
        <v>0.42464000000000002</v>
      </c>
      <c r="H150" s="16">
        <v>0.42383199999999999</v>
      </c>
      <c r="I150" s="16">
        <v>0.42288999999999999</v>
      </c>
      <c r="J150" s="16">
        <v>0.42292000000000002</v>
      </c>
      <c r="K150" s="16">
        <v>0.42241099999999998</v>
      </c>
      <c r="L150" s="16">
        <v>0.41989300000000002</v>
      </c>
      <c r="M150" s="16">
        <v>0.41765799999999997</v>
      </c>
      <c r="N150" s="16">
        <v>0.41612300000000002</v>
      </c>
      <c r="O150" s="16">
        <v>0.413219</v>
      </c>
      <c r="P150" s="16">
        <v>0.40724100000000002</v>
      </c>
      <c r="Q150" s="16">
        <v>0.40210699999999999</v>
      </c>
      <c r="R150" s="16">
        <v>0.39709699999999998</v>
      </c>
      <c r="S150" s="16">
        <v>0.39175300000000002</v>
      </c>
      <c r="T150" s="16">
        <v>0.38722899999999999</v>
      </c>
      <c r="U150" s="16">
        <v>0.38233800000000001</v>
      </c>
      <c r="V150" s="16">
        <v>0.37739699999999998</v>
      </c>
      <c r="W150" s="16">
        <v>0.37215700000000002</v>
      </c>
      <c r="X150" s="16">
        <v>0.36755300000000002</v>
      </c>
      <c r="Y150" s="16">
        <v>0.36290899999999998</v>
      </c>
      <c r="Z150" s="16">
        <v>0.35805399999999998</v>
      </c>
      <c r="AA150" s="16">
        <v>0.35393999999999998</v>
      </c>
      <c r="AB150" s="16">
        <v>0.34998600000000002</v>
      </c>
      <c r="AC150" s="16">
        <v>0.34554499999999999</v>
      </c>
      <c r="AD150" s="16">
        <v>0.34131400000000001</v>
      </c>
      <c r="AE150" s="16">
        <v>0.33679700000000001</v>
      </c>
      <c r="AF150" s="16">
        <v>0.33268300000000001</v>
      </c>
      <c r="AG150" s="16">
        <v>0.328542</v>
      </c>
      <c r="AH150" s="16">
        <v>0.32436700000000002</v>
      </c>
      <c r="AI150" s="16">
        <v>0.32058199999999998</v>
      </c>
      <c r="AJ150" s="16">
        <v>0.31698100000000001</v>
      </c>
      <c r="AK150" s="16">
        <v>0.31320700000000001</v>
      </c>
      <c r="AL150" s="16">
        <v>0.30982599999999999</v>
      </c>
      <c r="AM150" s="13">
        <v>-9.8029999999999992E-3</v>
      </c>
    </row>
    <row r="151" spans="1:39" ht="15" customHeight="1" x14ac:dyDescent="0.25">
      <c r="A151" s="7" t="s">
        <v>190</v>
      </c>
      <c r="B151" s="10" t="s">
        <v>107</v>
      </c>
      <c r="C151" s="17">
        <v>3.3163499999999999</v>
      </c>
      <c r="D151" s="17">
        <v>3.294063</v>
      </c>
      <c r="E151" s="17">
        <v>3.166652</v>
      </c>
      <c r="F151" s="17">
        <v>3.2024119999999998</v>
      </c>
      <c r="G151" s="17">
        <v>3.2296659999999999</v>
      </c>
      <c r="H151" s="17">
        <v>3.200806</v>
      </c>
      <c r="I151" s="17">
        <v>3.173905</v>
      </c>
      <c r="J151" s="17">
        <v>3.160031</v>
      </c>
      <c r="K151" s="17">
        <v>3.1435439999999999</v>
      </c>
      <c r="L151" s="17">
        <v>3.120269</v>
      </c>
      <c r="M151" s="17">
        <v>3.104867</v>
      </c>
      <c r="N151" s="17">
        <v>3.1003379999999998</v>
      </c>
      <c r="O151" s="17">
        <v>3.0666039999999999</v>
      </c>
      <c r="P151" s="17">
        <v>3.0294080000000001</v>
      </c>
      <c r="Q151" s="17">
        <v>2.9998490000000002</v>
      </c>
      <c r="R151" s="17">
        <v>2.971873</v>
      </c>
      <c r="S151" s="17">
        <v>2.9406859999999999</v>
      </c>
      <c r="T151" s="17">
        <v>2.916248</v>
      </c>
      <c r="U151" s="17">
        <v>2.8798110000000001</v>
      </c>
      <c r="V151" s="17">
        <v>2.842813</v>
      </c>
      <c r="W151" s="17">
        <v>2.805269</v>
      </c>
      <c r="X151" s="17">
        <v>2.7759900000000002</v>
      </c>
      <c r="Y151" s="17">
        <v>2.741733</v>
      </c>
      <c r="Z151" s="17">
        <v>2.701003</v>
      </c>
      <c r="AA151" s="17">
        <v>2.6743999999999999</v>
      </c>
      <c r="AB151" s="17">
        <v>2.6446930000000002</v>
      </c>
      <c r="AC151" s="17">
        <v>2.6077490000000001</v>
      </c>
      <c r="AD151" s="17">
        <v>2.5716619999999999</v>
      </c>
      <c r="AE151" s="17">
        <v>2.5319449999999999</v>
      </c>
      <c r="AF151" s="17">
        <v>2.4983780000000002</v>
      </c>
      <c r="AG151" s="17">
        <v>2.4667240000000001</v>
      </c>
      <c r="AH151" s="17">
        <v>2.4342869999999999</v>
      </c>
      <c r="AI151" s="17">
        <v>2.4068610000000001</v>
      </c>
      <c r="AJ151" s="17">
        <v>2.3778809999999999</v>
      </c>
      <c r="AK151" s="17">
        <v>2.3481909999999999</v>
      </c>
      <c r="AL151" s="17">
        <v>2.3209770000000001</v>
      </c>
      <c r="AM151" s="15">
        <v>-1.0245000000000001E-2</v>
      </c>
    </row>
    <row r="152" spans="1:39" ht="15" customHeight="1" x14ac:dyDescent="0.25">
      <c r="A152" s="7" t="s">
        <v>191</v>
      </c>
      <c r="B152" s="11" t="s">
        <v>109</v>
      </c>
      <c r="C152" s="16">
        <v>0.88868199999999997</v>
      </c>
      <c r="D152" s="16">
        <v>0.84511899999999995</v>
      </c>
      <c r="E152" s="16">
        <v>0.81367100000000003</v>
      </c>
      <c r="F152" s="16">
        <v>0.81311800000000001</v>
      </c>
      <c r="G152" s="16">
        <v>0.82783399999999996</v>
      </c>
      <c r="H152" s="16">
        <v>0.83027600000000001</v>
      </c>
      <c r="I152" s="16">
        <v>0.82806500000000005</v>
      </c>
      <c r="J152" s="16">
        <v>0.82899599999999996</v>
      </c>
      <c r="K152" s="16">
        <v>0.82822399999999996</v>
      </c>
      <c r="L152" s="16">
        <v>0.82278099999999998</v>
      </c>
      <c r="M152" s="16">
        <v>0.81529399999999996</v>
      </c>
      <c r="N152" s="16">
        <v>0.80864599999999998</v>
      </c>
      <c r="O152" s="16">
        <v>0.80227300000000001</v>
      </c>
      <c r="P152" s="16">
        <v>0.788551</v>
      </c>
      <c r="Q152" s="16">
        <v>0.77669600000000005</v>
      </c>
      <c r="R152" s="16">
        <v>0.76479299999999995</v>
      </c>
      <c r="S152" s="16">
        <v>0.75159699999999996</v>
      </c>
      <c r="T152" s="16">
        <v>0.74071399999999998</v>
      </c>
      <c r="U152" s="16">
        <v>0.72863999999999995</v>
      </c>
      <c r="V152" s="16">
        <v>0.71583799999999997</v>
      </c>
      <c r="W152" s="16">
        <v>0.70272000000000001</v>
      </c>
      <c r="X152" s="16">
        <v>0.69164499999999995</v>
      </c>
      <c r="Y152" s="16">
        <v>0.67979100000000003</v>
      </c>
      <c r="Z152" s="16">
        <v>0.66801600000000005</v>
      </c>
      <c r="AA152" s="16">
        <v>0.65719700000000003</v>
      </c>
      <c r="AB152" s="16">
        <v>0.64707099999999995</v>
      </c>
      <c r="AC152" s="16">
        <v>0.63637999999999995</v>
      </c>
      <c r="AD152" s="16">
        <v>0.62634800000000002</v>
      </c>
      <c r="AE152" s="16">
        <v>0.616371</v>
      </c>
      <c r="AF152" s="16">
        <v>0.60609500000000005</v>
      </c>
      <c r="AG152" s="16">
        <v>0.59606099999999995</v>
      </c>
      <c r="AH152" s="16">
        <v>0.58624299999999996</v>
      </c>
      <c r="AI152" s="16">
        <v>0.57672999999999996</v>
      </c>
      <c r="AJ152" s="16">
        <v>0.56742300000000001</v>
      </c>
      <c r="AK152" s="16">
        <v>0.55933500000000003</v>
      </c>
      <c r="AL152" s="16">
        <v>0.55018</v>
      </c>
      <c r="AM152" s="13">
        <v>-1.2545000000000001E-2</v>
      </c>
    </row>
    <row r="153" spans="1:39" ht="15" customHeight="1" x14ac:dyDescent="0.25">
      <c r="A153" s="7" t="s">
        <v>192</v>
      </c>
      <c r="B153" s="10" t="s">
        <v>35</v>
      </c>
      <c r="C153" s="17">
        <v>4.205031</v>
      </c>
      <c r="D153" s="17">
        <v>4.1391819999999999</v>
      </c>
      <c r="E153" s="17">
        <v>3.9803220000000001</v>
      </c>
      <c r="F153" s="17">
        <v>4.0155310000000002</v>
      </c>
      <c r="G153" s="17">
        <v>4.0575000000000001</v>
      </c>
      <c r="H153" s="17">
        <v>4.0310819999999996</v>
      </c>
      <c r="I153" s="17">
        <v>4.00197</v>
      </c>
      <c r="J153" s="17">
        <v>3.9890270000000001</v>
      </c>
      <c r="K153" s="17">
        <v>3.9717690000000001</v>
      </c>
      <c r="L153" s="17">
        <v>3.9430499999999999</v>
      </c>
      <c r="M153" s="17">
        <v>3.9201609999999998</v>
      </c>
      <c r="N153" s="17">
        <v>3.9089839999999998</v>
      </c>
      <c r="O153" s="17">
        <v>3.868878</v>
      </c>
      <c r="P153" s="17">
        <v>3.8179590000000001</v>
      </c>
      <c r="Q153" s="17">
        <v>3.7765460000000002</v>
      </c>
      <c r="R153" s="17">
        <v>3.736666</v>
      </c>
      <c r="S153" s="17">
        <v>3.6922839999999999</v>
      </c>
      <c r="T153" s="17">
        <v>3.656962</v>
      </c>
      <c r="U153" s="17">
        <v>3.6084510000000001</v>
      </c>
      <c r="V153" s="17">
        <v>3.5586509999999998</v>
      </c>
      <c r="W153" s="17">
        <v>3.5079889999999998</v>
      </c>
      <c r="X153" s="17">
        <v>3.4676339999999999</v>
      </c>
      <c r="Y153" s="17">
        <v>3.4215239999999998</v>
      </c>
      <c r="Z153" s="17">
        <v>3.3690190000000002</v>
      </c>
      <c r="AA153" s="17">
        <v>3.3315969999999999</v>
      </c>
      <c r="AB153" s="17">
        <v>3.2917640000000001</v>
      </c>
      <c r="AC153" s="17">
        <v>3.244129</v>
      </c>
      <c r="AD153" s="17">
        <v>3.1980089999999999</v>
      </c>
      <c r="AE153" s="17">
        <v>3.1483159999999999</v>
      </c>
      <c r="AF153" s="17">
        <v>3.1044740000000002</v>
      </c>
      <c r="AG153" s="17">
        <v>3.0627840000000002</v>
      </c>
      <c r="AH153" s="17">
        <v>3.0205299999999999</v>
      </c>
      <c r="AI153" s="17">
        <v>2.9835910000000001</v>
      </c>
      <c r="AJ153" s="17">
        <v>2.9453040000000001</v>
      </c>
      <c r="AK153" s="17">
        <v>2.9075259999999998</v>
      </c>
      <c r="AL153" s="17">
        <v>2.8711570000000002</v>
      </c>
      <c r="AM153" s="15">
        <v>-1.0701E-2</v>
      </c>
    </row>
    <row r="155" spans="1:39" ht="15" customHeight="1" x14ac:dyDescent="0.25">
      <c r="B155" s="10" t="s">
        <v>193</v>
      </c>
    </row>
    <row r="156" spans="1:39" ht="15" customHeight="1" x14ac:dyDescent="0.25">
      <c r="A156" s="7" t="s">
        <v>194</v>
      </c>
      <c r="B156" s="11" t="s">
        <v>195</v>
      </c>
      <c r="C156" s="16">
        <v>26.118797000000001</v>
      </c>
      <c r="D156" s="16">
        <v>26.246424000000001</v>
      </c>
      <c r="E156" s="16">
        <v>26.440017999999998</v>
      </c>
      <c r="F156" s="16">
        <v>26.760200999999999</v>
      </c>
      <c r="G156" s="16">
        <v>26.886935999999999</v>
      </c>
      <c r="H156" s="16">
        <v>27.089451</v>
      </c>
      <c r="I156" s="16">
        <v>27.397898000000001</v>
      </c>
      <c r="J156" s="16">
        <v>27.711891000000001</v>
      </c>
      <c r="K156" s="16">
        <v>28.044563</v>
      </c>
      <c r="L156" s="16">
        <v>28.337326000000001</v>
      </c>
      <c r="M156" s="16">
        <v>28.599463</v>
      </c>
      <c r="N156" s="16">
        <v>28.831078000000002</v>
      </c>
      <c r="O156" s="16">
        <v>28.947299999999998</v>
      </c>
      <c r="P156" s="16">
        <v>29.374977000000001</v>
      </c>
      <c r="Q156" s="16">
        <v>29.760292</v>
      </c>
      <c r="R156" s="16">
        <v>30.098309</v>
      </c>
      <c r="S156" s="16">
        <v>30.470434000000001</v>
      </c>
      <c r="T156" s="16">
        <v>30.920110999999999</v>
      </c>
      <c r="U156" s="16">
        <v>31.380955</v>
      </c>
      <c r="V156" s="16">
        <v>31.844570000000001</v>
      </c>
      <c r="W156" s="16">
        <v>32.332343999999999</v>
      </c>
      <c r="X156" s="16">
        <v>32.837254000000001</v>
      </c>
      <c r="Y156" s="16">
        <v>33.375548999999999</v>
      </c>
      <c r="Z156" s="16">
        <v>33.905281000000002</v>
      </c>
      <c r="AA156" s="16">
        <v>34.458595000000003</v>
      </c>
      <c r="AB156" s="16">
        <v>34.973919000000002</v>
      </c>
      <c r="AC156" s="16">
        <v>35.497391</v>
      </c>
      <c r="AD156" s="16">
        <v>36.028702000000003</v>
      </c>
      <c r="AE156" s="16">
        <v>36.567397999999997</v>
      </c>
      <c r="AF156" s="16">
        <v>37.093567</v>
      </c>
      <c r="AG156" s="16">
        <v>37.663761000000001</v>
      </c>
      <c r="AH156" s="16">
        <v>38.247447999999999</v>
      </c>
      <c r="AI156" s="16">
        <v>38.790011999999997</v>
      </c>
      <c r="AJ156" s="16">
        <v>39.294483</v>
      </c>
      <c r="AK156" s="16">
        <v>39.896698000000001</v>
      </c>
      <c r="AL156" s="16">
        <v>40.483231000000004</v>
      </c>
      <c r="AM156" s="13">
        <v>1.2827E-2</v>
      </c>
    </row>
    <row r="157" spans="1:39" ht="15" customHeight="1" x14ac:dyDescent="0.25">
      <c r="A157" s="7" t="s">
        <v>196</v>
      </c>
      <c r="B157" s="11" t="s">
        <v>197</v>
      </c>
      <c r="C157" s="16">
        <v>138.96586600000001</v>
      </c>
      <c r="D157" s="16">
        <v>139.586502</v>
      </c>
      <c r="E157" s="16">
        <v>140.575851</v>
      </c>
      <c r="F157" s="16">
        <v>154.15943899999999</v>
      </c>
      <c r="G157" s="16">
        <v>154.767166</v>
      </c>
      <c r="H157" s="16">
        <v>155.72026099999999</v>
      </c>
      <c r="I157" s="16">
        <v>157.34239199999999</v>
      </c>
      <c r="J157" s="16">
        <v>158.98567199999999</v>
      </c>
      <c r="K157" s="16">
        <v>160.72328200000001</v>
      </c>
      <c r="L157" s="16">
        <v>162.21284499999999</v>
      </c>
      <c r="M157" s="16">
        <v>163.581512</v>
      </c>
      <c r="N157" s="16">
        <v>164.72112999999999</v>
      </c>
      <c r="O157" s="16">
        <v>164.57547</v>
      </c>
      <c r="P157" s="16">
        <v>167.05654899999999</v>
      </c>
      <c r="Q157" s="16">
        <v>169.10701</v>
      </c>
      <c r="R157" s="16">
        <v>170.74432400000001</v>
      </c>
      <c r="S157" s="16">
        <v>172.65154999999999</v>
      </c>
      <c r="T157" s="16">
        <v>175.062622</v>
      </c>
      <c r="U157" s="16">
        <v>177.463821</v>
      </c>
      <c r="V157" s="16">
        <v>179.90351899999999</v>
      </c>
      <c r="W157" s="16">
        <v>182.515839</v>
      </c>
      <c r="X157" s="16">
        <v>185.274597</v>
      </c>
      <c r="Y157" s="16">
        <v>188.196808</v>
      </c>
      <c r="Z157" s="16">
        <v>190.98165900000001</v>
      </c>
      <c r="AA157" s="16">
        <v>194.05014</v>
      </c>
      <c r="AB157" s="16">
        <v>196.78259299999999</v>
      </c>
      <c r="AC157" s="16">
        <v>199.503387</v>
      </c>
      <c r="AD157" s="16">
        <v>202.28706399999999</v>
      </c>
      <c r="AE157" s="16">
        <v>205.11819499999999</v>
      </c>
      <c r="AF157" s="16">
        <v>207.85354599999999</v>
      </c>
      <c r="AG157" s="16">
        <v>210.95777899999999</v>
      </c>
      <c r="AH157" s="16">
        <v>214.18142700000001</v>
      </c>
      <c r="AI157" s="16">
        <v>217.061386</v>
      </c>
      <c r="AJ157" s="16">
        <v>219.587357</v>
      </c>
      <c r="AK157" s="16">
        <v>222.91313199999999</v>
      </c>
      <c r="AL157" s="16">
        <v>226.06054700000001</v>
      </c>
      <c r="AM157" s="13">
        <v>1.4281E-2</v>
      </c>
    </row>
    <row r="158" spans="1:39" ht="15" customHeight="1" thickBot="1" x14ac:dyDescent="0.3"/>
    <row r="159" spans="1:39" ht="15" customHeight="1" x14ac:dyDescent="0.25">
      <c r="B159" s="364" t="s">
        <v>198</v>
      </c>
      <c r="C159" s="364"/>
      <c r="D159" s="364"/>
      <c r="E159" s="364"/>
      <c r="F159" s="364"/>
      <c r="G159" s="364"/>
      <c r="H159" s="364"/>
      <c r="I159" s="364"/>
      <c r="J159" s="364"/>
      <c r="K159" s="364"/>
      <c r="L159" s="364"/>
      <c r="M159" s="364"/>
      <c r="N159" s="364"/>
      <c r="O159" s="364"/>
      <c r="P159" s="364"/>
      <c r="Q159" s="364"/>
      <c r="R159" s="364"/>
      <c r="S159" s="364"/>
      <c r="T159" s="364"/>
      <c r="U159" s="364"/>
      <c r="V159" s="364"/>
      <c r="W159" s="364"/>
      <c r="X159" s="364"/>
      <c r="Y159" s="364"/>
      <c r="Z159" s="364"/>
      <c r="AA159" s="364"/>
      <c r="AB159" s="364"/>
      <c r="AC159" s="364"/>
      <c r="AD159" s="364"/>
      <c r="AE159" s="364"/>
      <c r="AF159" s="364"/>
      <c r="AG159" s="364"/>
      <c r="AH159" s="364"/>
      <c r="AI159" s="364"/>
      <c r="AJ159" s="364"/>
      <c r="AK159" s="364"/>
      <c r="AL159" s="364"/>
      <c r="AM159" s="364"/>
    </row>
    <row r="160" spans="1:39" ht="15" customHeight="1" x14ac:dyDescent="0.25">
      <c r="B160" s="18" t="s">
        <v>199</v>
      </c>
    </row>
    <row r="161" spans="2:2" ht="15" customHeight="1" x14ac:dyDescent="0.25">
      <c r="B161" s="18" t="s">
        <v>200</v>
      </c>
    </row>
    <row r="162" spans="2:2" ht="15" customHeight="1" x14ac:dyDescent="0.25">
      <c r="B162" s="18" t="s">
        <v>201</v>
      </c>
    </row>
    <row r="163" spans="2:2" ht="15" customHeight="1" x14ac:dyDescent="0.25">
      <c r="B163" s="18" t="s">
        <v>202</v>
      </c>
    </row>
    <row r="164" spans="2:2" ht="15" customHeight="1" x14ac:dyDescent="0.25">
      <c r="B164" s="18" t="s">
        <v>203</v>
      </c>
    </row>
    <row r="165" spans="2:2" ht="15" customHeight="1" x14ac:dyDescent="0.25">
      <c r="B165" s="18" t="s">
        <v>204</v>
      </c>
    </row>
    <row r="166" spans="2:2" ht="15" customHeight="1" x14ac:dyDescent="0.25">
      <c r="B166" s="18" t="s">
        <v>205</v>
      </c>
    </row>
    <row r="167" spans="2:2" ht="15" customHeight="1" x14ac:dyDescent="0.25">
      <c r="B167" s="18" t="s">
        <v>206</v>
      </c>
    </row>
    <row r="168" spans="2:2" ht="15" customHeight="1" x14ac:dyDescent="0.25">
      <c r="B168" s="18" t="s">
        <v>207</v>
      </c>
    </row>
    <row r="169" spans="2:2" ht="15" customHeight="1" x14ac:dyDescent="0.25">
      <c r="B169" s="18" t="s">
        <v>208</v>
      </c>
    </row>
    <row r="170" spans="2:2" ht="15" customHeight="1" x14ac:dyDescent="0.25">
      <c r="B170" s="18" t="s">
        <v>209</v>
      </c>
    </row>
    <row r="171" spans="2:2" ht="15" customHeight="1" x14ac:dyDescent="0.25">
      <c r="B171" s="18" t="s">
        <v>210</v>
      </c>
    </row>
    <row r="172" spans="2:2" ht="15" customHeight="1" x14ac:dyDescent="0.25">
      <c r="B172" s="18" t="s">
        <v>211</v>
      </c>
    </row>
    <row r="173" spans="2:2" ht="15" customHeight="1" x14ac:dyDescent="0.25">
      <c r="B173" s="18" t="s">
        <v>212</v>
      </c>
    </row>
    <row r="174" spans="2:2" ht="15" customHeight="1" x14ac:dyDescent="0.25">
      <c r="B174" s="18" t="s">
        <v>213</v>
      </c>
    </row>
    <row r="175" spans="2:2" ht="15" customHeight="1" x14ac:dyDescent="0.25">
      <c r="B175" s="18" t="s">
        <v>214</v>
      </c>
    </row>
    <row r="176" spans="2:2" ht="15" customHeight="1" x14ac:dyDescent="0.25">
      <c r="B176" s="18" t="s">
        <v>215</v>
      </c>
    </row>
    <row r="177" spans="2:2" ht="15" customHeight="1" x14ac:dyDescent="0.25">
      <c r="B177" s="18" t="s">
        <v>216</v>
      </c>
    </row>
    <row r="178" spans="2:2" ht="15" customHeight="1" x14ac:dyDescent="0.25">
      <c r="B178" s="18" t="s">
        <v>217</v>
      </c>
    </row>
    <row r="179" spans="2:2" ht="15" customHeight="1" x14ac:dyDescent="0.25">
      <c r="B179" s="18" t="s">
        <v>218</v>
      </c>
    </row>
  </sheetData>
  <mergeCells count="1">
    <mergeCell ref="B159:AM15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K136"/>
  <sheetViews>
    <sheetView workbookViewId="0">
      <selection activeCell="I22" sqref="I22"/>
    </sheetView>
  </sheetViews>
  <sheetFormatPr defaultRowHeight="15" x14ac:dyDescent="0.25"/>
  <cols>
    <col min="1" max="1" width="39.5703125" customWidth="1"/>
    <col min="9" max="9" width="11.42578125" customWidth="1"/>
  </cols>
  <sheetData>
    <row r="1" spans="1:9" x14ac:dyDescent="0.25">
      <c r="A1" s="56" t="s">
        <v>958</v>
      </c>
      <c r="B1" s="56"/>
      <c r="C1" s="56"/>
      <c r="D1" s="56"/>
      <c r="E1" s="56"/>
      <c r="F1" s="56"/>
      <c r="G1" s="56"/>
      <c r="H1" s="56"/>
      <c r="I1" s="59"/>
    </row>
    <row r="2" spans="1:9" x14ac:dyDescent="0.25">
      <c r="A2" s="143" t="s">
        <v>1266</v>
      </c>
      <c r="B2" s="30"/>
      <c r="C2" s="30"/>
      <c r="D2" s="30"/>
      <c r="E2" s="30"/>
      <c r="F2" s="30"/>
      <c r="G2" s="30"/>
      <c r="H2" s="30"/>
    </row>
    <row r="3" spans="1:9" ht="48" x14ac:dyDescent="0.25">
      <c r="A3" s="100"/>
      <c r="B3" s="100" t="s">
        <v>237</v>
      </c>
      <c r="C3" s="147" t="s">
        <v>238</v>
      </c>
      <c r="D3" s="148" t="s">
        <v>239</v>
      </c>
      <c r="E3" s="148" t="s">
        <v>240</v>
      </c>
      <c r="F3" s="148" t="s">
        <v>241</v>
      </c>
      <c r="G3" s="148" t="s">
        <v>242</v>
      </c>
      <c r="H3" s="148" t="s">
        <v>242</v>
      </c>
      <c r="I3" s="148" t="s">
        <v>1267</v>
      </c>
    </row>
    <row r="4" spans="1:9" ht="24" x14ac:dyDescent="0.25">
      <c r="A4" s="149" t="s">
        <v>243</v>
      </c>
      <c r="B4" s="149" t="s">
        <v>244</v>
      </c>
      <c r="C4" s="150" t="s">
        <v>245</v>
      </c>
      <c r="D4" s="149" t="s">
        <v>246</v>
      </c>
      <c r="E4" s="20"/>
      <c r="F4" s="149" t="s">
        <v>246</v>
      </c>
      <c r="G4" s="149" t="s">
        <v>246</v>
      </c>
      <c r="H4" s="20" t="s">
        <v>247</v>
      </c>
      <c r="I4" s="20"/>
    </row>
    <row r="5" spans="1:9" x14ac:dyDescent="0.25">
      <c r="A5" s="148" t="s">
        <v>248</v>
      </c>
      <c r="B5" s="151">
        <v>4760</v>
      </c>
      <c r="C5" s="147" t="s">
        <v>249</v>
      </c>
      <c r="D5" s="77">
        <v>88.1</v>
      </c>
      <c r="E5" s="148" t="s">
        <v>249</v>
      </c>
      <c r="F5" s="77">
        <v>57.9</v>
      </c>
      <c r="G5" s="77">
        <v>30.1</v>
      </c>
      <c r="H5" s="77">
        <v>110.5</v>
      </c>
    </row>
    <row r="6" spans="1:9" x14ac:dyDescent="0.25">
      <c r="A6" s="145" t="s">
        <v>250</v>
      </c>
      <c r="B6" s="81">
        <v>121.8</v>
      </c>
      <c r="C6" s="152">
        <v>31</v>
      </c>
      <c r="D6" s="81">
        <v>3.8</v>
      </c>
      <c r="E6" s="152">
        <v>0.1</v>
      </c>
      <c r="F6" s="81">
        <v>0.4</v>
      </c>
      <c r="G6" s="81">
        <v>3.4</v>
      </c>
      <c r="H6" s="81">
        <v>12.5</v>
      </c>
      <c r="I6" t="s">
        <v>271</v>
      </c>
    </row>
    <row r="7" spans="1:9" x14ac:dyDescent="0.25">
      <c r="A7" s="145" t="s">
        <v>251</v>
      </c>
      <c r="B7" s="81">
        <v>10.3</v>
      </c>
      <c r="C7" s="152">
        <v>25.82</v>
      </c>
      <c r="D7" s="81">
        <v>0.3</v>
      </c>
      <c r="E7" s="152">
        <v>0.65</v>
      </c>
      <c r="F7" s="81">
        <v>0.2</v>
      </c>
      <c r="G7" s="81">
        <v>0.1</v>
      </c>
      <c r="H7" s="153">
        <v>0.3</v>
      </c>
      <c r="I7" t="s">
        <v>271</v>
      </c>
    </row>
    <row r="8" spans="1:9" x14ac:dyDescent="0.25">
      <c r="A8" s="145" t="s">
        <v>252</v>
      </c>
      <c r="B8" s="82">
        <v>302.3</v>
      </c>
      <c r="C8" s="154">
        <v>14.47</v>
      </c>
      <c r="D8" s="82">
        <v>4.4000000000000004</v>
      </c>
      <c r="E8" s="154">
        <v>0.65</v>
      </c>
      <c r="F8" s="82">
        <v>2.9</v>
      </c>
      <c r="G8" s="82">
        <v>1.4</v>
      </c>
      <c r="H8" s="155">
        <v>5.3</v>
      </c>
      <c r="I8" t="s">
        <v>273</v>
      </c>
    </row>
    <row r="9" spans="1:9" x14ac:dyDescent="0.25">
      <c r="A9" s="145" t="s">
        <v>253</v>
      </c>
      <c r="B9" s="81">
        <v>831.7</v>
      </c>
      <c r="C9" s="152">
        <v>20.55</v>
      </c>
      <c r="D9" s="81">
        <v>17.100000000000001</v>
      </c>
      <c r="E9" s="152">
        <v>1</v>
      </c>
      <c r="F9" s="81">
        <v>17</v>
      </c>
      <c r="G9" s="81">
        <v>0.1</v>
      </c>
      <c r="H9" s="153">
        <v>0.3</v>
      </c>
      <c r="I9" t="s">
        <v>273</v>
      </c>
    </row>
    <row r="10" spans="1:9" x14ac:dyDescent="0.25">
      <c r="A10" s="145" t="s">
        <v>254</v>
      </c>
      <c r="B10" s="81">
        <v>2157.6999999999998</v>
      </c>
      <c r="C10" s="152">
        <v>17.059999999999999</v>
      </c>
      <c r="D10" s="81">
        <v>36.799999999999997</v>
      </c>
      <c r="E10" s="152">
        <v>0.65</v>
      </c>
      <c r="F10" s="81">
        <v>24.6</v>
      </c>
      <c r="G10" s="81">
        <v>12.2</v>
      </c>
      <c r="H10" s="81">
        <v>44.6</v>
      </c>
      <c r="I10" t="s">
        <v>273</v>
      </c>
    </row>
    <row r="11" spans="1:9" x14ac:dyDescent="0.25">
      <c r="A11" s="145" t="s">
        <v>255</v>
      </c>
      <c r="B11" s="81">
        <v>156.80000000000001</v>
      </c>
      <c r="C11" s="152">
        <v>20.2</v>
      </c>
      <c r="D11" s="81">
        <v>3.2</v>
      </c>
      <c r="E11" s="152">
        <v>0.09</v>
      </c>
      <c r="F11" s="81">
        <v>0.3</v>
      </c>
      <c r="G11" s="81">
        <v>2.9</v>
      </c>
      <c r="H11" s="81">
        <v>10.5</v>
      </c>
      <c r="I11" t="s">
        <v>273</v>
      </c>
    </row>
    <row r="12" spans="1:9" x14ac:dyDescent="0.25">
      <c r="A12" s="145" t="s">
        <v>256</v>
      </c>
      <c r="B12" s="81">
        <v>78.400000000000006</v>
      </c>
      <c r="C12" s="152">
        <v>19.100000000000001</v>
      </c>
      <c r="D12" s="81">
        <v>1.5</v>
      </c>
      <c r="E12" s="152">
        <v>0.65</v>
      </c>
      <c r="F12" s="81">
        <v>1</v>
      </c>
      <c r="G12" s="81">
        <v>0.5</v>
      </c>
      <c r="H12" s="153">
        <v>1.8</v>
      </c>
      <c r="I12" t="s">
        <v>273</v>
      </c>
    </row>
    <row r="13" spans="1:9" x14ac:dyDescent="0.25">
      <c r="A13" s="145" t="s">
        <v>257</v>
      </c>
      <c r="B13" s="81">
        <v>417.9</v>
      </c>
      <c r="C13" s="152">
        <v>18.55</v>
      </c>
      <c r="D13" s="81">
        <v>7.8</v>
      </c>
      <c r="E13" s="152">
        <v>0.65</v>
      </c>
      <c r="F13" s="81">
        <v>5.2</v>
      </c>
      <c r="G13" s="81">
        <v>2.6</v>
      </c>
      <c r="H13" s="153">
        <v>9.4</v>
      </c>
      <c r="I13" t="s">
        <v>273</v>
      </c>
    </row>
    <row r="14" spans="1:9" x14ac:dyDescent="0.25">
      <c r="A14" s="145" t="s">
        <v>258</v>
      </c>
      <c r="B14" s="81">
        <v>216.8</v>
      </c>
      <c r="C14" s="152">
        <v>20.170000000000002</v>
      </c>
      <c r="D14" s="81">
        <v>4.4000000000000004</v>
      </c>
      <c r="E14" s="152">
        <v>0.65</v>
      </c>
      <c r="F14" s="81">
        <v>2.9</v>
      </c>
      <c r="G14" s="81">
        <v>1.4</v>
      </c>
      <c r="H14" s="153">
        <v>5.3</v>
      </c>
      <c r="I14" t="s">
        <v>273</v>
      </c>
    </row>
    <row r="15" spans="1:9" x14ac:dyDescent="0.25">
      <c r="A15" s="145" t="s">
        <v>259</v>
      </c>
      <c r="B15" s="81">
        <v>162.19999999999999</v>
      </c>
      <c r="C15" s="152">
        <v>17.510000000000002</v>
      </c>
      <c r="D15" s="81">
        <v>2.8</v>
      </c>
      <c r="E15" s="152">
        <v>0.65</v>
      </c>
      <c r="F15" s="81">
        <v>1.9</v>
      </c>
      <c r="G15" s="81">
        <v>0.9</v>
      </c>
      <c r="H15" s="153">
        <v>3.4</v>
      </c>
      <c r="I15" t="s">
        <v>273</v>
      </c>
    </row>
    <row r="16" spans="1:9" x14ac:dyDescent="0.25">
      <c r="A16" s="145" t="s">
        <v>260</v>
      </c>
      <c r="B16" s="156" t="s">
        <v>261</v>
      </c>
      <c r="C16" s="152">
        <v>27.85</v>
      </c>
      <c r="D16" s="156" t="s">
        <v>261</v>
      </c>
      <c r="E16" s="152">
        <v>0.3</v>
      </c>
      <c r="F16" s="156" t="s">
        <v>261</v>
      </c>
      <c r="G16" s="156" t="s">
        <v>261</v>
      </c>
      <c r="H16" s="156" t="s">
        <v>261</v>
      </c>
      <c r="I16" t="s">
        <v>271</v>
      </c>
    </row>
    <row r="17" spans="1:37" x14ac:dyDescent="0.25">
      <c r="A17" s="145" t="s">
        <v>262</v>
      </c>
      <c r="B17" s="81">
        <v>97</v>
      </c>
      <c r="C17" s="152">
        <v>19.739999999999998</v>
      </c>
      <c r="D17" s="81">
        <v>1.9</v>
      </c>
      <c r="E17" s="152">
        <v>0.65</v>
      </c>
      <c r="F17" s="81">
        <v>1.3</v>
      </c>
      <c r="G17" s="81">
        <v>0.6</v>
      </c>
      <c r="H17" s="153">
        <v>2.2999999999999998</v>
      </c>
      <c r="I17" t="s">
        <v>273</v>
      </c>
    </row>
    <row r="18" spans="1:37" x14ac:dyDescent="0.25">
      <c r="A18" s="145" t="s">
        <v>263</v>
      </c>
      <c r="B18" s="153">
        <v>5.8</v>
      </c>
      <c r="C18" s="152">
        <v>20.170000000000002</v>
      </c>
      <c r="D18" s="81">
        <v>0.1</v>
      </c>
      <c r="E18" s="152">
        <v>0.5</v>
      </c>
      <c r="F18" s="81">
        <v>0.1</v>
      </c>
      <c r="G18" s="81">
        <v>0.1</v>
      </c>
      <c r="H18" s="153">
        <v>0.2</v>
      </c>
      <c r="I18" t="s">
        <v>273</v>
      </c>
    </row>
    <row r="19" spans="1:37" x14ac:dyDescent="0.25">
      <c r="A19" s="145" t="s">
        <v>264</v>
      </c>
      <c r="B19" s="81">
        <v>12.4</v>
      </c>
      <c r="C19" s="152">
        <v>19.8</v>
      </c>
      <c r="D19" s="81">
        <v>0.2</v>
      </c>
      <c r="E19" s="152">
        <v>0.57999999999999996</v>
      </c>
      <c r="F19" s="81">
        <v>0.1</v>
      </c>
      <c r="G19" s="81">
        <v>0.1</v>
      </c>
      <c r="H19" s="153">
        <v>0.4</v>
      </c>
      <c r="I19" t="s">
        <v>273</v>
      </c>
    </row>
    <row r="20" spans="1:37" x14ac:dyDescent="0.25">
      <c r="A20" s="145" t="s">
        <v>265</v>
      </c>
      <c r="B20" s="81">
        <v>188.9</v>
      </c>
      <c r="C20" s="152">
        <v>20.309999999999999</v>
      </c>
      <c r="D20" s="81">
        <v>3.8</v>
      </c>
      <c r="E20" s="156" t="s">
        <v>261</v>
      </c>
      <c r="F20" s="156" t="s">
        <v>261</v>
      </c>
      <c r="G20" s="81">
        <v>3.8</v>
      </c>
      <c r="H20" s="81">
        <v>14.1</v>
      </c>
      <c r="I20" t="s">
        <v>273</v>
      </c>
    </row>
    <row r="21" spans="1:37" x14ac:dyDescent="0.25">
      <c r="A21" s="157" t="s">
        <v>266</v>
      </c>
      <c r="B21" s="80">
        <v>148.1</v>
      </c>
      <c r="C21" s="158" t="s">
        <v>249</v>
      </c>
      <c r="D21" s="80">
        <v>3</v>
      </c>
      <c r="E21" s="157" t="s">
        <v>249</v>
      </c>
      <c r="F21" s="80">
        <v>0.3</v>
      </c>
      <c r="G21" s="80">
        <v>2.7</v>
      </c>
      <c r="H21" s="80">
        <v>10</v>
      </c>
    </row>
    <row r="22" spans="1:37" x14ac:dyDescent="0.25">
      <c r="A22" s="145" t="s">
        <v>255</v>
      </c>
      <c r="B22" s="81">
        <v>148.1</v>
      </c>
      <c r="C22" s="152">
        <v>20.2</v>
      </c>
      <c r="D22" s="81">
        <v>3</v>
      </c>
      <c r="E22" s="152">
        <v>0.09</v>
      </c>
      <c r="F22" s="81">
        <v>0.3</v>
      </c>
      <c r="G22" s="81">
        <v>2.7</v>
      </c>
      <c r="H22" s="81">
        <v>10</v>
      </c>
    </row>
    <row r="23" spans="1:37" x14ac:dyDescent="0.25">
      <c r="A23" s="157" t="s">
        <v>267</v>
      </c>
      <c r="B23" s="80">
        <v>77.3</v>
      </c>
      <c r="C23" s="158" t="s">
        <v>249</v>
      </c>
      <c r="D23" s="80">
        <v>1.5</v>
      </c>
      <c r="E23" s="157" t="s">
        <v>249</v>
      </c>
      <c r="F23" s="80">
        <v>0.2</v>
      </c>
      <c r="G23" s="80">
        <v>1.4</v>
      </c>
      <c r="H23" s="159">
        <v>5.0999999999999996</v>
      </c>
    </row>
    <row r="24" spans="1:37" x14ac:dyDescent="0.25">
      <c r="A24" s="145" t="s">
        <v>255</v>
      </c>
      <c r="B24" s="153">
        <v>1</v>
      </c>
      <c r="C24" s="152">
        <v>20.2</v>
      </c>
      <c r="D24" s="156" t="s">
        <v>261</v>
      </c>
      <c r="E24" s="152">
        <v>0.09</v>
      </c>
      <c r="F24" s="156" t="s">
        <v>261</v>
      </c>
      <c r="G24" s="156" t="s">
        <v>261</v>
      </c>
      <c r="H24" s="153">
        <v>0.1</v>
      </c>
    </row>
    <row r="25" spans="1:37" x14ac:dyDescent="0.25">
      <c r="A25" s="146" t="s">
        <v>268</v>
      </c>
      <c r="B25" s="160">
        <v>76.2</v>
      </c>
      <c r="C25" s="161">
        <v>20</v>
      </c>
      <c r="D25" s="160">
        <v>1.5</v>
      </c>
      <c r="E25" s="161">
        <v>0.1</v>
      </c>
      <c r="F25" s="160">
        <v>0.2</v>
      </c>
      <c r="G25" s="160">
        <v>1.4</v>
      </c>
      <c r="H25" s="162">
        <v>5</v>
      </c>
    </row>
    <row r="26" spans="1:37" x14ac:dyDescent="0.25">
      <c r="A26" s="144" t="s">
        <v>269</v>
      </c>
      <c r="B26" s="163">
        <v>4985.3999999999996</v>
      </c>
      <c r="C26" s="164"/>
      <c r="D26" s="86">
        <v>92.6</v>
      </c>
      <c r="E26" s="164"/>
      <c r="F26" s="86">
        <v>58.4</v>
      </c>
      <c r="G26" s="86">
        <v>34.200000000000003</v>
      </c>
      <c r="H26" s="86">
        <v>125.5</v>
      </c>
    </row>
    <row r="27" spans="1:37" ht="27" customHeight="1" x14ac:dyDescent="0.25">
      <c r="A27" s="362" t="s">
        <v>270</v>
      </c>
      <c r="B27" s="362"/>
      <c r="C27" s="362"/>
      <c r="D27" s="362"/>
      <c r="E27" s="362"/>
      <c r="F27" s="362"/>
      <c r="G27" s="362"/>
      <c r="H27" s="362"/>
    </row>
    <row r="29" spans="1:37" x14ac:dyDescent="0.25">
      <c r="A29" s="56" t="s">
        <v>737</v>
      </c>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row>
    <row r="30" spans="1:37" x14ac:dyDescent="0.25">
      <c r="B30">
        <v>2015</v>
      </c>
      <c r="C30">
        <v>2016</v>
      </c>
      <c r="D30">
        <v>2017</v>
      </c>
      <c r="E30">
        <v>2018</v>
      </c>
      <c r="F30">
        <v>2019</v>
      </c>
      <c r="G30">
        <v>2020</v>
      </c>
      <c r="H30">
        <v>2021</v>
      </c>
      <c r="I30">
        <v>2022</v>
      </c>
      <c r="J30">
        <v>2023</v>
      </c>
      <c r="K30">
        <v>2024</v>
      </c>
      <c r="L30">
        <v>2025</v>
      </c>
      <c r="M30">
        <v>2026</v>
      </c>
      <c r="N30">
        <v>2027</v>
      </c>
      <c r="O30">
        <v>2028</v>
      </c>
      <c r="P30">
        <v>2029</v>
      </c>
      <c r="Q30">
        <v>2030</v>
      </c>
      <c r="R30">
        <v>2031</v>
      </c>
      <c r="S30">
        <v>2032</v>
      </c>
      <c r="T30">
        <v>2033</v>
      </c>
      <c r="U30">
        <v>2034</v>
      </c>
      <c r="V30">
        <v>2035</v>
      </c>
      <c r="W30">
        <v>2036</v>
      </c>
      <c r="X30">
        <v>2037</v>
      </c>
      <c r="Y30">
        <v>2038</v>
      </c>
      <c r="Z30">
        <v>2039</v>
      </c>
      <c r="AA30">
        <v>2040</v>
      </c>
      <c r="AB30">
        <v>2041</v>
      </c>
      <c r="AC30">
        <v>2042</v>
      </c>
      <c r="AD30">
        <v>2043</v>
      </c>
      <c r="AE30">
        <v>2044</v>
      </c>
      <c r="AF30">
        <v>2045</v>
      </c>
      <c r="AG30">
        <v>2046</v>
      </c>
      <c r="AH30">
        <v>2047</v>
      </c>
      <c r="AI30">
        <v>2048</v>
      </c>
      <c r="AJ30">
        <v>2049</v>
      </c>
      <c r="AK30">
        <v>2050</v>
      </c>
    </row>
    <row r="31" spans="1:37" x14ac:dyDescent="0.25">
      <c r="A31" t="s">
        <v>271</v>
      </c>
      <c r="B31" s="2">
        <f>SUMIF($I$6:$I$25,$A31,$H$6:$H$25)</f>
        <v>12.8</v>
      </c>
      <c r="C31" s="2">
        <f>$B31*SUM('AEO 2017_Table 6'!D$98,'AEO 2017_Table 6'!D$102,'AEO 2017_Table 6'!D$103,'AEO 2017_Table 6'!D$104,'AEO 2017_Table 6'!D$109,'AEO 2017_Table 6'!D$114)/SUM('AEO 2017_Table 6'!$C$98,'AEO 2017_Table 6'!$C$102,'AEO 2017_Table 6'!$C$103,'AEO 2017_Table 6'!$C$104,'AEO 2017_Table 6'!$C$109,'AEO 2017_Table 6'!$C$114)</f>
        <v>13.151412552643924</v>
      </c>
      <c r="D31" s="2">
        <f>$B31*SUM('AEO 2017_Table 6'!E$98,'AEO 2017_Table 6'!E$102,'AEO 2017_Table 6'!E$103,'AEO 2017_Table 6'!E$104,'AEO 2017_Table 6'!E$109,'AEO 2017_Table 6'!E$114)/SUM('AEO 2017_Table 6'!$C$98,'AEO 2017_Table 6'!$C$102,'AEO 2017_Table 6'!$C$103,'AEO 2017_Table 6'!$C$104,'AEO 2017_Table 6'!$C$109,'AEO 2017_Table 6'!$C$114)</f>
        <v>14.278902430482972</v>
      </c>
      <c r="E31" s="2">
        <f>$B31*SUM('AEO 2017_Table 6'!F$98,'AEO 2017_Table 6'!F$102,'AEO 2017_Table 6'!F$103,'AEO 2017_Table 6'!F$104,'AEO 2017_Table 6'!F$109,'AEO 2017_Table 6'!F$114)/SUM('AEO 2017_Table 6'!$C$98,'AEO 2017_Table 6'!$C$102,'AEO 2017_Table 6'!$C$103,'AEO 2017_Table 6'!$C$104,'AEO 2017_Table 6'!$C$109,'AEO 2017_Table 6'!$C$114)</f>
        <v>14.810056689116969</v>
      </c>
      <c r="F31" s="2">
        <f>$B31*SUM('AEO 2017_Table 6'!G$98,'AEO 2017_Table 6'!G$102,'AEO 2017_Table 6'!G$103,'AEO 2017_Table 6'!G$104,'AEO 2017_Table 6'!G$109,'AEO 2017_Table 6'!G$114)/SUM('AEO 2017_Table 6'!$C$98,'AEO 2017_Table 6'!$C$102,'AEO 2017_Table 6'!$C$103,'AEO 2017_Table 6'!$C$104,'AEO 2017_Table 6'!$C$109,'AEO 2017_Table 6'!$C$114)</f>
        <v>15.362736296457912</v>
      </c>
      <c r="G31" s="2">
        <f>$B31*SUM('AEO 2017_Table 6'!H$98,'AEO 2017_Table 6'!H$102,'AEO 2017_Table 6'!H$103,'AEO 2017_Table 6'!H$104,'AEO 2017_Table 6'!H$109,'AEO 2017_Table 6'!H$114)/SUM('AEO 2017_Table 6'!$C$98,'AEO 2017_Table 6'!$C$102,'AEO 2017_Table 6'!$C$103,'AEO 2017_Table 6'!$C$104,'AEO 2017_Table 6'!$C$109,'AEO 2017_Table 6'!$C$114)</f>
        <v>15.421410526689135</v>
      </c>
      <c r="H31" s="2">
        <f>$B31*SUM('AEO 2017_Table 6'!I$98,'AEO 2017_Table 6'!I$102,'AEO 2017_Table 6'!I$103,'AEO 2017_Table 6'!I$104,'AEO 2017_Table 6'!I$109,'AEO 2017_Table 6'!I$114)/SUM('AEO 2017_Table 6'!$C$98,'AEO 2017_Table 6'!$C$102,'AEO 2017_Table 6'!$C$103,'AEO 2017_Table 6'!$C$104,'AEO 2017_Table 6'!$C$109,'AEO 2017_Table 6'!$C$114)</f>
        <v>15.658936834097231</v>
      </c>
      <c r="I31" s="2">
        <f>$B31*SUM('AEO 2017_Table 6'!J$98,'AEO 2017_Table 6'!J$102,'AEO 2017_Table 6'!J$103,'AEO 2017_Table 6'!J$104,'AEO 2017_Table 6'!J$109,'AEO 2017_Table 6'!J$114)/SUM('AEO 2017_Table 6'!$C$98,'AEO 2017_Table 6'!$C$102,'AEO 2017_Table 6'!$C$103,'AEO 2017_Table 6'!$C$104,'AEO 2017_Table 6'!$C$109,'AEO 2017_Table 6'!$C$114)</f>
        <v>15.994480518142865</v>
      </c>
      <c r="J31" s="2">
        <f>$B31*SUM('AEO 2017_Table 6'!K$98,'AEO 2017_Table 6'!K$102,'AEO 2017_Table 6'!K$103,'AEO 2017_Table 6'!K$104,'AEO 2017_Table 6'!K$109,'AEO 2017_Table 6'!K$114)/SUM('AEO 2017_Table 6'!$C$98,'AEO 2017_Table 6'!$C$102,'AEO 2017_Table 6'!$C$103,'AEO 2017_Table 6'!$C$104,'AEO 2017_Table 6'!$C$109,'AEO 2017_Table 6'!$C$114)</f>
        <v>16.301519394441936</v>
      </c>
      <c r="K31" s="2">
        <f>$B31*SUM('AEO 2017_Table 6'!L$98,'AEO 2017_Table 6'!L$102,'AEO 2017_Table 6'!L$103,'AEO 2017_Table 6'!L$104,'AEO 2017_Table 6'!L$109,'AEO 2017_Table 6'!L$114)/SUM('AEO 2017_Table 6'!$C$98,'AEO 2017_Table 6'!$C$102,'AEO 2017_Table 6'!$C$103,'AEO 2017_Table 6'!$C$104,'AEO 2017_Table 6'!$C$109,'AEO 2017_Table 6'!$C$114)</f>
        <v>16.517680853186707</v>
      </c>
      <c r="L31" s="2">
        <f>$B31*SUM('AEO 2017_Table 6'!M$98,'AEO 2017_Table 6'!M$102,'AEO 2017_Table 6'!M$103,'AEO 2017_Table 6'!M$104,'AEO 2017_Table 6'!M$109,'AEO 2017_Table 6'!M$114)/SUM('AEO 2017_Table 6'!$C$98,'AEO 2017_Table 6'!$C$102,'AEO 2017_Table 6'!$C$103,'AEO 2017_Table 6'!$C$104,'AEO 2017_Table 6'!$C$109,'AEO 2017_Table 6'!$C$114)</f>
        <v>16.659202913075791</v>
      </c>
      <c r="M31" s="2">
        <f>$B31*SUM('AEO 2017_Table 6'!N$98,'AEO 2017_Table 6'!N$102,'AEO 2017_Table 6'!N$103,'AEO 2017_Table 6'!N$104,'AEO 2017_Table 6'!N$109,'AEO 2017_Table 6'!N$114)/SUM('AEO 2017_Table 6'!$C$98,'AEO 2017_Table 6'!$C$102,'AEO 2017_Table 6'!$C$103,'AEO 2017_Table 6'!$C$104,'AEO 2017_Table 6'!$C$109,'AEO 2017_Table 6'!$C$114)</f>
        <v>16.828328687609417</v>
      </c>
      <c r="N31" s="2">
        <f>$B31*SUM('AEO 2017_Table 6'!O$98,'AEO 2017_Table 6'!O$102,'AEO 2017_Table 6'!O$103,'AEO 2017_Table 6'!O$104,'AEO 2017_Table 6'!O$109,'AEO 2017_Table 6'!O$114)/SUM('AEO 2017_Table 6'!$C$98,'AEO 2017_Table 6'!$C$102,'AEO 2017_Table 6'!$C$103,'AEO 2017_Table 6'!$C$104,'AEO 2017_Table 6'!$C$109,'AEO 2017_Table 6'!$C$114)</f>
        <v>16.841258112551735</v>
      </c>
      <c r="O31" s="2">
        <f>$B31*SUM('AEO 2017_Table 6'!P$98,'AEO 2017_Table 6'!P$102,'AEO 2017_Table 6'!P$103,'AEO 2017_Table 6'!P$104,'AEO 2017_Table 6'!P$109,'AEO 2017_Table 6'!P$114)/SUM('AEO 2017_Table 6'!$C$98,'AEO 2017_Table 6'!$C$102,'AEO 2017_Table 6'!$C$103,'AEO 2017_Table 6'!$C$104,'AEO 2017_Table 6'!$C$109,'AEO 2017_Table 6'!$C$114)</f>
        <v>16.904307115400425</v>
      </c>
      <c r="P31" s="2">
        <f>$B31*SUM('AEO 2017_Table 6'!Q$98,'AEO 2017_Table 6'!Q$102,'AEO 2017_Table 6'!Q$103,'AEO 2017_Table 6'!Q$104,'AEO 2017_Table 6'!Q$109,'AEO 2017_Table 6'!Q$114)/SUM('AEO 2017_Table 6'!$C$98,'AEO 2017_Table 6'!$C$102,'AEO 2017_Table 6'!$C$103,'AEO 2017_Table 6'!$C$104,'AEO 2017_Table 6'!$C$109,'AEO 2017_Table 6'!$C$114)</f>
        <v>17.038941430560538</v>
      </c>
      <c r="Q31" s="2">
        <f>$B31*SUM('AEO 2017_Table 6'!R$98,'AEO 2017_Table 6'!R$102,'AEO 2017_Table 6'!R$103,'AEO 2017_Table 6'!R$104,'AEO 2017_Table 6'!R$109,'AEO 2017_Table 6'!R$114)/SUM('AEO 2017_Table 6'!$C$98,'AEO 2017_Table 6'!$C$102,'AEO 2017_Table 6'!$C$103,'AEO 2017_Table 6'!$C$104,'AEO 2017_Table 6'!$C$109,'AEO 2017_Table 6'!$C$114)</f>
        <v>17.190178328804048</v>
      </c>
      <c r="R31" s="2">
        <f>$B31*SUM('AEO 2017_Table 6'!S$98,'AEO 2017_Table 6'!S$102,'AEO 2017_Table 6'!S$103,'AEO 2017_Table 6'!S$104,'AEO 2017_Table 6'!S$109,'AEO 2017_Table 6'!S$114)/SUM('AEO 2017_Table 6'!$C$98,'AEO 2017_Table 6'!$C$102,'AEO 2017_Table 6'!$C$103,'AEO 2017_Table 6'!$C$104,'AEO 2017_Table 6'!$C$109,'AEO 2017_Table 6'!$C$114)</f>
        <v>17.323897793715528</v>
      </c>
      <c r="S31" s="2">
        <f>$B31*SUM('AEO 2017_Table 6'!T$98,'AEO 2017_Table 6'!T$102,'AEO 2017_Table 6'!T$103,'AEO 2017_Table 6'!T$104,'AEO 2017_Table 6'!T$109,'AEO 2017_Table 6'!T$114)/SUM('AEO 2017_Table 6'!$C$98,'AEO 2017_Table 6'!$C$102,'AEO 2017_Table 6'!$C$103,'AEO 2017_Table 6'!$C$104,'AEO 2017_Table 6'!$C$109,'AEO 2017_Table 6'!$C$114)</f>
        <v>17.451424249801121</v>
      </c>
      <c r="T31" s="2">
        <f>$B31*SUM('AEO 2017_Table 6'!U$98,'AEO 2017_Table 6'!U$102,'AEO 2017_Table 6'!U$103,'AEO 2017_Table 6'!U$104,'AEO 2017_Table 6'!U$109,'AEO 2017_Table 6'!U$114)/SUM('AEO 2017_Table 6'!$C$98,'AEO 2017_Table 6'!$C$102,'AEO 2017_Table 6'!$C$103,'AEO 2017_Table 6'!$C$104,'AEO 2017_Table 6'!$C$109,'AEO 2017_Table 6'!$C$114)</f>
        <v>17.534879686766971</v>
      </c>
      <c r="U31" s="2">
        <f>$B31*SUM('AEO 2017_Table 6'!V$98,'AEO 2017_Table 6'!V$102,'AEO 2017_Table 6'!V$103,'AEO 2017_Table 6'!V$104,'AEO 2017_Table 6'!V$109,'AEO 2017_Table 6'!V$114)/SUM('AEO 2017_Table 6'!$C$98,'AEO 2017_Table 6'!$C$102,'AEO 2017_Table 6'!$C$103,'AEO 2017_Table 6'!$C$104,'AEO 2017_Table 6'!$C$109,'AEO 2017_Table 6'!$C$114)</f>
        <v>17.687790371179641</v>
      </c>
      <c r="V31" s="2">
        <f>$B31*SUM('AEO 2017_Table 6'!W$98,'AEO 2017_Table 6'!W$102,'AEO 2017_Table 6'!W$103,'AEO 2017_Table 6'!W$104,'AEO 2017_Table 6'!W$109,'AEO 2017_Table 6'!W$114)/SUM('AEO 2017_Table 6'!$C$98,'AEO 2017_Table 6'!$C$102,'AEO 2017_Table 6'!$C$103,'AEO 2017_Table 6'!$C$104,'AEO 2017_Table 6'!$C$109,'AEO 2017_Table 6'!$C$114)</f>
        <v>17.823928801034224</v>
      </c>
      <c r="W31" s="2">
        <f>$B31*SUM('AEO 2017_Table 6'!X$98,'AEO 2017_Table 6'!X$102,'AEO 2017_Table 6'!X$103,'AEO 2017_Table 6'!X$104,'AEO 2017_Table 6'!X$109,'AEO 2017_Table 6'!X$114)/SUM('AEO 2017_Table 6'!$C$98,'AEO 2017_Table 6'!$C$102,'AEO 2017_Table 6'!$C$103,'AEO 2017_Table 6'!$C$104,'AEO 2017_Table 6'!$C$109,'AEO 2017_Table 6'!$C$114)</f>
        <v>17.990610389189321</v>
      </c>
      <c r="X31" s="2">
        <f>$B31*SUM('AEO 2017_Table 6'!Y$98,'AEO 2017_Table 6'!Y$102,'AEO 2017_Table 6'!Y$103,'AEO 2017_Table 6'!Y$104,'AEO 2017_Table 6'!Y$109,'AEO 2017_Table 6'!Y$114)/SUM('AEO 2017_Table 6'!$C$98,'AEO 2017_Table 6'!$C$102,'AEO 2017_Table 6'!$C$103,'AEO 2017_Table 6'!$C$104,'AEO 2017_Table 6'!$C$109,'AEO 2017_Table 6'!$C$114)</f>
        <v>18.128236883734019</v>
      </c>
      <c r="Y31" s="2">
        <f>$B31*SUM('AEO 2017_Table 6'!Z$98,'AEO 2017_Table 6'!Z$102,'AEO 2017_Table 6'!Z$103,'AEO 2017_Table 6'!Z$104,'AEO 2017_Table 6'!Z$109,'AEO 2017_Table 6'!Z$114)/SUM('AEO 2017_Table 6'!$C$98,'AEO 2017_Table 6'!$C$102,'AEO 2017_Table 6'!$C$103,'AEO 2017_Table 6'!$C$104,'AEO 2017_Table 6'!$C$109,'AEO 2017_Table 6'!$C$114)</f>
        <v>18.292815921317725</v>
      </c>
      <c r="Z31" s="2">
        <f>$B31*SUM('AEO 2017_Table 6'!AA$98,'AEO 2017_Table 6'!AA$102,'AEO 2017_Table 6'!AA$103,'AEO 2017_Table 6'!AA$104,'AEO 2017_Table 6'!AA$109,'AEO 2017_Table 6'!AA$114)/SUM('AEO 2017_Table 6'!$C$98,'AEO 2017_Table 6'!$C$102,'AEO 2017_Table 6'!$C$103,'AEO 2017_Table 6'!$C$104,'AEO 2017_Table 6'!$C$109,'AEO 2017_Table 6'!$C$114)</f>
        <v>18.4945369618524</v>
      </c>
      <c r="AA31" s="2">
        <f>$B31*SUM('AEO 2017_Table 6'!AB$98,'AEO 2017_Table 6'!AB$102,'AEO 2017_Table 6'!AB$103,'AEO 2017_Table 6'!AB$104,'AEO 2017_Table 6'!AB$109,'AEO 2017_Table 6'!AB$114)/SUM('AEO 2017_Table 6'!$C$98,'AEO 2017_Table 6'!$C$102,'AEO 2017_Table 6'!$C$103,'AEO 2017_Table 6'!$C$104,'AEO 2017_Table 6'!$C$109,'AEO 2017_Table 6'!$C$114)</f>
        <v>18.610268957589835</v>
      </c>
      <c r="AB31" s="2">
        <f>$B31*SUM('AEO 2017_Table 6'!AC$98,'AEO 2017_Table 6'!AC$102,'AEO 2017_Table 6'!AC$103,'AEO 2017_Table 6'!AC$104,'AEO 2017_Table 6'!AC$109,'AEO 2017_Table 6'!AC$114)/SUM('AEO 2017_Table 6'!$C$98,'AEO 2017_Table 6'!$C$102,'AEO 2017_Table 6'!$C$103,'AEO 2017_Table 6'!$C$104,'AEO 2017_Table 6'!$C$109,'AEO 2017_Table 6'!$C$114)</f>
        <v>18.653762176552558</v>
      </c>
      <c r="AC31" s="2">
        <f>$B31*SUM('AEO 2017_Table 6'!AD$98,'AEO 2017_Table 6'!AD$102,'AEO 2017_Table 6'!AD$103,'AEO 2017_Table 6'!AD$104,'AEO 2017_Table 6'!AD$109,'AEO 2017_Table 6'!AD$114)/SUM('AEO 2017_Table 6'!$C$98,'AEO 2017_Table 6'!$C$102,'AEO 2017_Table 6'!$C$103,'AEO 2017_Table 6'!$C$104,'AEO 2017_Table 6'!$C$109,'AEO 2017_Table 6'!$C$114)</f>
        <v>18.710207749035256</v>
      </c>
      <c r="AD31" s="2">
        <f>$B31*SUM('AEO 2017_Table 6'!AE$98,'AEO 2017_Table 6'!AE$102,'AEO 2017_Table 6'!AE$103,'AEO 2017_Table 6'!AE$104,'AEO 2017_Table 6'!AE$109,'AEO 2017_Table 6'!AE$114)/SUM('AEO 2017_Table 6'!$C$98,'AEO 2017_Table 6'!$C$102,'AEO 2017_Table 6'!$C$103,'AEO 2017_Table 6'!$C$104,'AEO 2017_Table 6'!$C$109,'AEO 2017_Table 6'!$C$114)</f>
        <v>18.786917598453613</v>
      </c>
      <c r="AE31" s="2">
        <f>$B31*SUM('AEO 2017_Table 6'!AF$98,'AEO 2017_Table 6'!AF$102,'AEO 2017_Table 6'!AF$103,'AEO 2017_Table 6'!AF$104,'AEO 2017_Table 6'!AF$109,'AEO 2017_Table 6'!AF$114)/SUM('AEO 2017_Table 6'!$C$98,'AEO 2017_Table 6'!$C$102,'AEO 2017_Table 6'!$C$103,'AEO 2017_Table 6'!$C$104,'AEO 2017_Table 6'!$C$109,'AEO 2017_Table 6'!$C$114)</f>
        <v>18.871420871418504</v>
      </c>
      <c r="AF31" s="2">
        <f>$B31*SUM('AEO 2017_Table 6'!AG$98,'AEO 2017_Table 6'!AG$102,'AEO 2017_Table 6'!AG$103,'AEO 2017_Table 6'!AG$104,'AEO 2017_Table 6'!AG$109,'AEO 2017_Table 6'!AG$114)/SUM('AEO 2017_Table 6'!$C$98,'AEO 2017_Table 6'!$C$102,'AEO 2017_Table 6'!$C$103,'AEO 2017_Table 6'!$C$104,'AEO 2017_Table 6'!$C$109,'AEO 2017_Table 6'!$C$114)</f>
        <v>18.966060868566764</v>
      </c>
      <c r="AG31" s="2">
        <f>$B31*SUM('AEO 2017_Table 6'!AH$98,'AEO 2017_Table 6'!AH$102,'AEO 2017_Table 6'!AH$103,'AEO 2017_Table 6'!AH$104,'AEO 2017_Table 6'!AH$109,'AEO 2017_Table 6'!AH$114)/SUM('AEO 2017_Table 6'!$C$98,'AEO 2017_Table 6'!$C$102,'AEO 2017_Table 6'!$C$103,'AEO 2017_Table 6'!$C$104,'AEO 2017_Table 6'!$C$109,'AEO 2017_Table 6'!$C$114)</f>
        <v>19.028887464212168</v>
      </c>
      <c r="AH31" s="2">
        <f>$B31*SUM('AEO 2017_Table 6'!AI$98,'AEO 2017_Table 6'!AI$102,'AEO 2017_Table 6'!AI$103,'AEO 2017_Table 6'!AI$104,'AEO 2017_Table 6'!AI$109,'AEO 2017_Table 6'!AI$114)/SUM('AEO 2017_Table 6'!$C$98,'AEO 2017_Table 6'!$C$102,'AEO 2017_Table 6'!$C$103,'AEO 2017_Table 6'!$C$104,'AEO 2017_Table 6'!$C$109,'AEO 2017_Table 6'!$C$114)</f>
        <v>19.163900100903653</v>
      </c>
      <c r="AI31" s="2">
        <f>$B31*SUM('AEO 2017_Table 6'!AJ$98,'AEO 2017_Table 6'!AJ$102,'AEO 2017_Table 6'!AJ$103,'AEO 2017_Table 6'!AJ$104,'AEO 2017_Table 6'!AJ$109,'AEO 2017_Table 6'!AJ$114)/SUM('AEO 2017_Table 6'!$C$98,'AEO 2017_Table 6'!$C$102,'AEO 2017_Table 6'!$C$103,'AEO 2017_Table 6'!$C$104,'AEO 2017_Table 6'!$C$109,'AEO 2017_Table 6'!$C$114)</f>
        <v>19.281301297094718</v>
      </c>
      <c r="AJ31" s="2">
        <f>$B31*SUM('AEO 2017_Table 6'!AK$98,'AEO 2017_Table 6'!AK$102,'AEO 2017_Table 6'!AK$103,'AEO 2017_Table 6'!AK$104,'AEO 2017_Table 6'!AK$109,'AEO 2017_Table 6'!AK$114)/SUM('AEO 2017_Table 6'!$C$98,'AEO 2017_Table 6'!$C$102,'AEO 2017_Table 6'!$C$103,'AEO 2017_Table 6'!$C$104,'AEO 2017_Table 6'!$C$109,'AEO 2017_Table 6'!$C$114)</f>
        <v>19.440054183095086</v>
      </c>
      <c r="AK31" s="2">
        <f>$B31*SUM('AEO 2017_Table 6'!AL$98,'AEO 2017_Table 6'!AL$102,'AEO 2017_Table 6'!AL$103,'AEO 2017_Table 6'!AL$104,'AEO 2017_Table 6'!AL$109,'AEO 2017_Table 6'!AL$114)/SUM('AEO 2017_Table 6'!$C$98,'AEO 2017_Table 6'!$C$102,'AEO 2017_Table 6'!$C$103,'AEO 2017_Table 6'!$C$104,'AEO 2017_Table 6'!$C$109,'AEO 2017_Table 6'!$C$114)</f>
        <v>19.657080049217626</v>
      </c>
    </row>
    <row r="32" spans="1:37" x14ac:dyDescent="0.25">
      <c r="A32" t="s">
        <v>273</v>
      </c>
      <c r="B32" s="2">
        <f>SUMIF($I$6:$I$25,$A32,$H$6:$H$25)</f>
        <v>97.600000000000009</v>
      </c>
      <c r="C32" s="2">
        <f>$B32*SUM('AEO 2017_Table 6'!D$98,'AEO 2017_Table 6'!D$102,'AEO 2017_Table 6'!D$103,'AEO 2017_Table 6'!D$104,'AEO 2017_Table 6'!D$109,'AEO 2017_Table 6'!D$114)/SUM('AEO 2017_Table 6'!$C$98,'AEO 2017_Table 6'!$C$102,'AEO 2017_Table 6'!$C$103,'AEO 2017_Table 6'!$C$104,'AEO 2017_Table 6'!$C$109,'AEO 2017_Table 6'!$C$114)</f>
        <v>100.27952071390992</v>
      </c>
      <c r="D32" s="2">
        <f>$B32*SUM('AEO 2017_Table 6'!E$98,'AEO 2017_Table 6'!E$102,'AEO 2017_Table 6'!E$103,'AEO 2017_Table 6'!E$104,'AEO 2017_Table 6'!E$109,'AEO 2017_Table 6'!E$114)/SUM('AEO 2017_Table 6'!$C$98,'AEO 2017_Table 6'!$C$102,'AEO 2017_Table 6'!$C$103,'AEO 2017_Table 6'!$C$104,'AEO 2017_Table 6'!$C$109,'AEO 2017_Table 6'!$C$114)</f>
        <v>108.87663103243267</v>
      </c>
      <c r="E32" s="2">
        <f>$B32*SUM('AEO 2017_Table 6'!F$98,'AEO 2017_Table 6'!F$102,'AEO 2017_Table 6'!F$103,'AEO 2017_Table 6'!F$104,'AEO 2017_Table 6'!F$109,'AEO 2017_Table 6'!F$114)/SUM('AEO 2017_Table 6'!$C$98,'AEO 2017_Table 6'!$C$102,'AEO 2017_Table 6'!$C$103,'AEO 2017_Table 6'!$C$104,'AEO 2017_Table 6'!$C$109,'AEO 2017_Table 6'!$C$114)</f>
        <v>112.92668225451689</v>
      </c>
      <c r="F32" s="2">
        <f>$B32*SUM('AEO 2017_Table 6'!G$98,'AEO 2017_Table 6'!G$102,'AEO 2017_Table 6'!G$103,'AEO 2017_Table 6'!G$104,'AEO 2017_Table 6'!G$109,'AEO 2017_Table 6'!G$114)/SUM('AEO 2017_Table 6'!$C$98,'AEO 2017_Table 6'!$C$102,'AEO 2017_Table 6'!$C$103,'AEO 2017_Table 6'!$C$104,'AEO 2017_Table 6'!$C$109,'AEO 2017_Table 6'!$C$114)</f>
        <v>117.14086426049157</v>
      </c>
      <c r="G32" s="2">
        <f>$B32*SUM('AEO 2017_Table 6'!H$98,'AEO 2017_Table 6'!H$102,'AEO 2017_Table 6'!H$103,'AEO 2017_Table 6'!H$104,'AEO 2017_Table 6'!H$109,'AEO 2017_Table 6'!H$114)/SUM('AEO 2017_Table 6'!$C$98,'AEO 2017_Table 6'!$C$102,'AEO 2017_Table 6'!$C$103,'AEO 2017_Table 6'!$C$104,'AEO 2017_Table 6'!$C$109,'AEO 2017_Table 6'!$C$114)</f>
        <v>117.58825526600465</v>
      </c>
      <c r="H32" s="2">
        <f>$B32*SUM('AEO 2017_Table 6'!I$98,'AEO 2017_Table 6'!I$102,'AEO 2017_Table 6'!I$103,'AEO 2017_Table 6'!I$104,'AEO 2017_Table 6'!I$109,'AEO 2017_Table 6'!I$114)/SUM('AEO 2017_Table 6'!$C$98,'AEO 2017_Table 6'!$C$102,'AEO 2017_Table 6'!$C$103,'AEO 2017_Table 6'!$C$104,'AEO 2017_Table 6'!$C$109,'AEO 2017_Table 6'!$C$114)</f>
        <v>119.39939335999138</v>
      </c>
      <c r="I32" s="2">
        <f>$B32*SUM('AEO 2017_Table 6'!J$98,'AEO 2017_Table 6'!J$102,'AEO 2017_Table 6'!J$103,'AEO 2017_Table 6'!J$104,'AEO 2017_Table 6'!J$109,'AEO 2017_Table 6'!J$114)/SUM('AEO 2017_Table 6'!$C$98,'AEO 2017_Table 6'!$C$102,'AEO 2017_Table 6'!$C$103,'AEO 2017_Table 6'!$C$104,'AEO 2017_Table 6'!$C$109,'AEO 2017_Table 6'!$C$114)</f>
        <v>121.95791395083936</v>
      </c>
      <c r="J32" s="2">
        <f>$B32*SUM('AEO 2017_Table 6'!K$98,'AEO 2017_Table 6'!K$102,'AEO 2017_Table 6'!K$103,'AEO 2017_Table 6'!K$104,'AEO 2017_Table 6'!K$109,'AEO 2017_Table 6'!K$114)/SUM('AEO 2017_Table 6'!$C$98,'AEO 2017_Table 6'!$C$102,'AEO 2017_Table 6'!$C$103,'AEO 2017_Table 6'!$C$104,'AEO 2017_Table 6'!$C$109,'AEO 2017_Table 6'!$C$114)</f>
        <v>124.29908538261975</v>
      </c>
      <c r="K32" s="2">
        <f>$B32*SUM('AEO 2017_Table 6'!L$98,'AEO 2017_Table 6'!L$102,'AEO 2017_Table 6'!L$103,'AEO 2017_Table 6'!L$104,'AEO 2017_Table 6'!L$109,'AEO 2017_Table 6'!L$114)/SUM('AEO 2017_Table 6'!$C$98,'AEO 2017_Table 6'!$C$102,'AEO 2017_Table 6'!$C$103,'AEO 2017_Table 6'!$C$104,'AEO 2017_Table 6'!$C$109,'AEO 2017_Table 6'!$C$114)</f>
        <v>125.94731650554866</v>
      </c>
      <c r="L32" s="2">
        <f>$B32*SUM('AEO 2017_Table 6'!M$98,'AEO 2017_Table 6'!M$102,'AEO 2017_Table 6'!M$103,'AEO 2017_Table 6'!M$104,'AEO 2017_Table 6'!M$109,'AEO 2017_Table 6'!M$114)/SUM('AEO 2017_Table 6'!$C$98,'AEO 2017_Table 6'!$C$102,'AEO 2017_Table 6'!$C$103,'AEO 2017_Table 6'!$C$104,'AEO 2017_Table 6'!$C$109,'AEO 2017_Table 6'!$C$114)</f>
        <v>127.02642221220292</v>
      </c>
      <c r="M32" s="2">
        <f>$B32*SUM('AEO 2017_Table 6'!N$98,'AEO 2017_Table 6'!N$102,'AEO 2017_Table 6'!N$103,'AEO 2017_Table 6'!N$104,'AEO 2017_Table 6'!N$109,'AEO 2017_Table 6'!N$114)/SUM('AEO 2017_Table 6'!$C$98,'AEO 2017_Table 6'!$C$102,'AEO 2017_Table 6'!$C$103,'AEO 2017_Table 6'!$C$104,'AEO 2017_Table 6'!$C$109,'AEO 2017_Table 6'!$C$114)</f>
        <v>128.3160062430218</v>
      </c>
      <c r="N32" s="2">
        <f>$B32*SUM('AEO 2017_Table 6'!O$98,'AEO 2017_Table 6'!O$102,'AEO 2017_Table 6'!O$103,'AEO 2017_Table 6'!O$104,'AEO 2017_Table 6'!O$109,'AEO 2017_Table 6'!O$114)/SUM('AEO 2017_Table 6'!$C$98,'AEO 2017_Table 6'!$C$102,'AEO 2017_Table 6'!$C$103,'AEO 2017_Table 6'!$C$104,'AEO 2017_Table 6'!$C$109,'AEO 2017_Table 6'!$C$114)</f>
        <v>128.41459310820696</v>
      </c>
      <c r="O32" s="2">
        <f>$B32*SUM('AEO 2017_Table 6'!P$98,'AEO 2017_Table 6'!P$102,'AEO 2017_Table 6'!P$103,'AEO 2017_Table 6'!P$104,'AEO 2017_Table 6'!P$109,'AEO 2017_Table 6'!P$114)/SUM('AEO 2017_Table 6'!$C$98,'AEO 2017_Table 6'!$C$102,'AEO 2017_Table 6'!$C$103,'AEO 2017_Table 6'!$C$104,'AEO 2017_Table 6'!$C$109,'AEO 2017_Table 6'!$C$114)</f>
        <v>128.89534175492827</v>
      </c>
      <c r="P32" s="2">
        <f>$B32*SUM('AEO 2017_Table 6'!Q$98,'AEO 2017_Table 6'!Q$102,'AEO 2017_Table 6'!Q$103,'AEO 2017_Table 6'!Q$104,'AEO 2017_Table 6'!Q$109,'AEO 2017_Table 6'!Q$114)/SUM('AEO 2017_Table 6'!$C$98,'AEO 2017_Table 6'!$C$102,'AEO 2017_Table 6'!$C$103,'AEO 2017_Table 6'!$C$104,'AEO 2017_Table 6'!$C$109,'AEO 2017_Table 6'!$C$114)</f>
        <v>129.92192840802409</v>
      </c>
      <c r="Q32" s="2">
        <f>$B32*SUM('AEO 2017_Table 6'!R$98,'AEO 2017_Table 6'!R$102,'AEO 2017_Table 6'!R$103,'AEO 2017_Table 6'!R$104,'AEO 2017_Table 6'!R$109,'AEO 2017_Table 6'!R$114)/SUM('AEO 2017_Table 6'!$C$98,'AEO 2017_Table 6'!$C$102,'AEO 2017_Table 6'!$C$103,'AEO 2017_Table 6'!$C$104,'AEO 2017_Table 6'!$C$109,'AEO 2017_Table 6'!$C$114)</f>
        <v>131.07510975713086</v>
      </c>
      <c r="R32" s="2">
        <f>$B32*SUM('AEO 2017_Table 6'!S$98,'AEO 2017_Table 6'!S$102,'AEO 2017_Table 6'!S$103,'AEO 2017_Table 6'!S$104,'AEO 2017_Table 6'!S$109,'AEO 2017_Table 6'!S$114)/SUM('AEO 2017_Table 6'!$C$98,'AEO 2017_Table 6'!$C$102,'AEO 2017_Table 6'!$C$103,'AEO 2017_Table 6'!$C$104,'AEO 2017_Table 6'!$C$109,'AEO 2017_Table 6'!$C$114)</f>
        <v>132.09472067708091</v>
      </c>
      <c r="S32" s="2">
        <f>$B32*SUM('AEO 2017_Table 6'!T$98,'AEO 2017_Table 6'!T$102,'AEO 2017_Table 6'!T$103,'AEO 2017_Table 6'!T$104,'AEO 2017_Table 6'!T$109,'AEO 2017_Table 6'!T$114)/SUM('AEO 2017_Table 6'!$C$98,'AEO 2017_Table 6'!$C$102,'AEO 2017_Table 6'!$C$103,'AEO 2017_Table 6'!$C$104,'AEO 2017_Table 6'!$C$109,'AEO 2017_Table 6'!$C$114)</f>
        <v>133.06710990473357</v>
      </c>
      <c r="T32" s="2">
        <f>$B32*SUM('AEO 2017_Table 6'!U$98,'AEO 2017_Table 6'!U$102,'AEO 2017_Table 6'!U$103,'AEO 2017_Table 6'!U$104,'AEO 2017_Table 6'!U$109,'AEO 2017_Table 6'!U$114)/SUM('AEO 2017_Table 6'!$C$98,'AEO 2017_Table 6'!$C$102,'AEO 2017_Table 6'!$C$103,'AEO 2017_Table 6'!$C$104,'AEO 2017_Table 6'!$C$109,'AEO 2017_Table 6'!$C$114)</f>
        <v>133.70345761159814</v>
      </c>
      <c r="U32" s="2">
        <f>$B32*SUM('AEO 2017_Table 6'!V$98,'AEO 2017_Table 6'!V$102,'AEO 2017_Table 6'!V$103,'AEO 2017_Table 6'!V$104,'AEO 2017_Table 6'!V$109,'AEO 2017_Table 6'!V$114)/SUM('AEO 2017_Table 6'!$C$98,'AEO 2017_Table 6'!$C$102,'AEO 2017_Table 6'!$C$103,'AEO 2017_Table 6'!$C$104,'AEO 2017_Table 6'!$C$109,'AEO 2017_Table 6'!$C$114)</f>
        <v>134.86940158024476</v>
      </c>
      <c r="V32" s="2">
        <f>$B32*SUM('AEO 2017_Table 6'!W$98,'AEO 2017_Table 6'!W$102,'AEO 2017_Table 6'!W$103,'AEO 2017_Table 6'!W$104,'AEO 2017_Table 6'!W$109,'AEO 2017_Table 6'!W$114)/SUM('AEO 2017_Table 6'!$C$98,'AEO 2017_Table 6'!$C$102,'AEO 2017_Table 6'!$C$103,'AEO 2017_Table 6'!$C$104,'AEO 2017_Table 6'!$C$109,'AEO 2017_Table 6'!$C$114)</f>
        <v>135.90745710788596</v>
      </c>
      <c r="W32" s="2">
        <f>$B32*SUM('AEO 2017_Table 6'!X$98,'AEO 2017_Table 6'!X$102,'AEO 2017_Table 6'!X$103,'AEO 2017_Table 6'!X$104,'AEO 2017_Table 6'!X$109,'AEO 2017_Table 6'!X$114)/SUM('AEO 2017_Table 6'!$C$98,'AEO 2017_Table 6'!$C$102,'AEO 2017_Table 6'!$C$103,'AEO 2017_Table 6'!$C$104,'AEO 2017_Table 6'!$C$109,'AEO 2017_Table 6'!$C$114)</f>
        <v>137.17840421756858</v>
      </c>
      <c r="X32" s="2">
        <f>$B32*SUM('AEO 2017_Table 6'!Y$98,'AEO 2017_Table 6'!Y$102,'AEO 2017_Table 6'!Y$103,'AEO 2017_Table 6'!Y$104,'AEO 2017_Table 6'!Y$109,'AEO 2017_Table 6'!Y$114)/SUM('AEO 2017_Table 6'!$C$98,'AEO 2017_Table 6'!$C$102,'AEO 2017_Table 6'!$C$103,'AEO 2017_Table 6'!$C$104,'AEO 2017_Table 6'!$C$109,'AEO 2017_Table 6'!$C$114)</f>
        <v>138.22780623847191</v>
      </c>
      <c r="Y32" s="2">
        <f>$B32*SUM('AEO 2017_Table 6'!Z$98,'AEO 2017_Table 6'!Z$102,'AEO 2017_Table 6'!Z$103,'AEO 2017_Table 6'!Z$104,'AEO 2017_Table 6'!Z$109,'AEO 2017_Table 6'!Z$114)/SUM('AEO 2017_Table 6'!$C$98,'AEO 2017_Table 6'!$C$102,'AEO 2017_Table 6'!$C$103,'AEO 2017_Table 6'!$C$104,'AEO 2017_Table 6'!$C$109,'AEO 2017_Table 6'!$C$114)</f>
        <v>139.48272140004767</v>
      </c>
      <c r="Z32" s="2">
        <f>$B32*SUM('AEO 2017_Table 6'!AA$98,'AEO 2017_Table 6'!AA$102,'AEO 2017_Table 6'!AA$103,'AEO 2017_Table 6'!AA$104,'AEO 2017_Table 6'!AA$109,'AEO 2017_Table 6'!AA$114)/SUM('AEO 2017_Table 6'!$C$98,'AEO 2017_Table 6'!$C$102,'AEO 2017_Table 6'!$C$103,'AEO 2017_Table 6'!$C$104,'AEO 2017_Table 6'!$C$109,'AEO 2017_Table 6'!$C$114)</f>
        <v>141.02084433412455</v>
      </c>
      <c r="AA32" s="2">
        <f>$B32*SUM('AEO 2017_Table 6'!AB$98,'AEO 2017_Table 6'!AB$102,'AEO 2017_Table 6'!AB$103,'AEO 2017_Table 6'!AB$104,'AEO 2017_Table 6'!AB$109,'AEO 2017_Table 6'!AB$114)/SUM('AEO 2017_Table 6'!$C$98,'AEO 2017_Table 6'!$C$102,'AEO 2017_Table 6'!$C$103,'AEO 2017_Table 6'!$C$104,'AEO 2017_Table 6'!$C$109,'AEO 2017_Table 6'!$C$114)</f>
        <v>141.90330080162249</v>
      </c>
      <c r="AB32" s="2">
        <f>$B32*SUM('AEO 2017_Table 6'!AC$98,'AEO 2017_Table 6'!AC$102,'AEO 2017_Table 6'!AC$103,'AEO 2017_Table 6'!AC$104,'AEO 2017_Table 6'!AC$109,'AEO 2017_Table 6'!AC$114)/SUM('AEO 2017_Table 6'!$C$98,'AEO 2017_Table 6'!$C$102,'AEO 2017_Table 6'!$C$103,'AEO 2017_Table 6'!$C$104,'AEO 2017_Table 6'!$C$109,'AEO 2017_Table 6'!$C$114)</f>
        <v>142.23493659621326</v>
      </c>
      <c r="AC32" s="2">
        <f>$B32*SUM('AEO 2017_Table 6'!AD$98,'AEO 2017_Table 6'!AD$102,'AEO 2017_Table 6'!AD$103,'AEO 2017_Table 6'!AD$104,'AEO 2017_Table 6'!AD$109,'AEO 2017_Table 6'!AD$114)/SUM('AEO 2017_Table 6'!$C$98,'AEO 2017_Table 6'!$C$102,'AEO 2017_Table 6'!$C$103,'AEO 2017_Table 6'!$C$104,'AEO 2017_Table 6'!$C$109,'AEO 2017_Table 6'!$C$114)</f>
        <v>142.66533408639384</v>
      </c>
      <c r="AD32" s="2">
        <f>$B32*SUM('AEO 2017_Table 6'!AE$98,'AEO 2017_Table 6'!AE$102,'AEO 2017_Table 6'!AE$103,'AEO 2017_Table 6'!AE$104,'AEO 2017_Table 6'!AE$109,'AEO 2017_Table 6'!AE$114)/SUM('AEO 2017_Table 6'!$C$98,'AEO 2017_Table 6'!$C$102,'AEO 2017_Table 6'!$C$103,'AEO 2017_Table 6'!$C$104,'AEO 2017_Table 6'!$C$109,'AEO 2017_Table 6'!$C$114)</f>
        <v>143.25024668820879</v>
      </c>
      <c r="AE32" s="2">
        <f>$B32*SUM('AEO 2017_Table 6'!AF$98,'AEO 2017_Table 6'!AF$102,'AEO 2017_Table 6'!AF$103,'AEO 2017_Table 6'!AF$104,'AEO 2017_Table 6'!AF$109,'AEO 2017_Table 6'!AF$114)/SUM('AEO 2017_Table 6'!$C$98,'AEO 2017_Table 6'!$C$102,'AEO 2017_Table 6'!$C$103,'AEO 2017_Table 6'!$C$104,'AEO 2017_Table 6'!$C$109,'AEO 2017_Table 6'!$C$114)</f>
        <v>143.8945841445661</v>
      </c>
      <c r="AF32" s="2">
        <f>$B32*SUM('AEO 2017_Table 6'!AG$98,'AEO 2017_Table 6'!AG$102,'AEO 2017_Table 6'!AG$103,'AEO 2017_Table 6'!AG$104,'AEO 2017_Table 6'!AG$109,'AEO 2017_Table 6'!AG$114)/SUM('AEO 2017_Table 6'!$C$98,'AEO 2017_Table 6'!$C$102,'AEO 2017_Table 6'!$C$103,'AEO 2017_Table 6'!$C$104,'AEO 2017_Table 6'!$C$109,'AEO 2017_Table 6'!$C$114)</f>
        <v>144.61621412282159</v>
      </c>
      <c r="AG32" s="2">
        <f>$B32*SUM('AEO 2017_Table 6'!AH$98,'AEO 2017_Table 6'!AH$102,'AEO 2017_Table 6'!AH$103,'AEO 2017_Table 6'!AH$104,'AEO 2017_Table 6'!AH$109,'AEO 2017_Table 6'!AH$114)/SUM('AEO 2017_Table 6'!$C$98,'AEO 2017_Table 6'!$C$102,'AEO 2017_Table 6'!$C$103,'AEO 2017_Table 6'!$C$104,'AEO 2017_Table 6'!$C$109,'AEO 2017_Table 6'!$C$114)</f>
        <v>145.09526691461778</v>
      </c>
      <c r="AH32" s="2">
        <f>$B32*SUM('AEO 2017_Table 6'!AI$98,'AEO 2017_Table 6'!AI$102,'AEO 2017_Table 6'!AI$103,'AEO 2017_Table 6'!AI$104,'AEO 2017_Table 6'!AI$109,'AEO 2017_Table 6'!AI$114)/SUM('AEO 2017_Table 6'!$C$98,'AEO 2017_Table 6'!$C$102,'AEO 2017_Table 6'!$C$103,'AEO 2017_Table 6'!$C$104,'AEO 2017_Table 6'!$C$109,'AEO 2017_Table 6'!$C$114)</f>
        <v>146.12473826939038</v>
      </c>
      <c r="AI32" s="2">
        <f>$B32*SUM('AEO 2017_Table 6'!AJ$98,'AEO 2017_Table 6'!AJ$102,'AEO 2017_Table 6'!AJ$103,'AEO 2017_Table 6'!AJ$104,'AEO 2017_Table 6'!AJ$109,'AEO 2017_Table 6'!AJ$114)/SUM('AEO 2017_Table 6'!$C$98,'AEO 2017_Table 6'!$C$102,'AEO 2017_Table 6'!$C$103,'AEO 2017_Table 6'!$C$104,'AEO 2017_Table 6'!$C$109,'AEO 2017_Table 6'!$C$114)</f>
        <v>147.01992239034723</v>
      </c>
      <c r="AJ32" s="2">
        <f>$B32*SUM('AEO 2017_Table 6'!AK$98,'AEO 2017_Table 6'!AK$102,'AEO 2017_Table 6'!AK$103,'AEO 2017_Table 6'!AK$104,'AEO 2017_Table 6'!AK$109,'AEO 2017_Table 6'!AK$114)/SUM('AEO 2017_Table 6'!$C$98,'AEO 2017_Table 6'!$C$102,'AEO 2017_Table 6'!$C$103,'AEO 2017_Table 6'!$C$104,'AEO 2017_Table 6'!$C$109,'AEO 2017_Table 6'!$C$114)</f>
        <v>148.23041314610003</v>
      </c>
      <c r="AK32" s="2">
        <f>$B32*SUM('AEO 2017_Table 6'!AL$98,'AEO 2017_Table 6'!AL$102,'AEO 2017_Table 6'!AL$103,'AEO 2017_Table 6'!AL$104,'AEO 2017_Table 6'!AL$109,'AEO 2017_Table 6'!AL$114)/SUM('AEO 2017_Table 6'!$C$98,'AEO 2017_Table 6'!$C$102,'AEO 2017_Table 6'!$C$103,'AEO 2017_Table 6'!$C$104,'AEO 2017_Table 6'!$C$109,'AEO 2017_Table 6'!$C$114)</f>
        <v>149.8852353752844</v>
      </c>
    </row>
    <row r="33" spans="1:7" x14ac:dyDescent="0.25">
      <c r="A33" s="145"/>
    </row>
    <row r="34" spans="1:7" x14ac:dyDescent="0.25">
      <c r="A34" s="145"/>
      <c r="G34" s="1"/>
    </row>
    <row r="35" spans="1:7" x14ac:dyDescent="0.25">
      <c r="A35" s="145"/>
      <c r="G35" s="1"/>
    </row>
    <row r="36" spans="1:7" x14ac:dyDescent="0.25">
      <c r="A36" s="145"/>
      <c r="G36" s="1"/>
    </row>
    <row r="37" spans="1:7" x14ac:dyDescent="0.25">
      <c r="A37" s="145"/>
      <c r="G37" s="1"/>
    </row>
    <row r="38" spans="1:7" x14ac:dyDescent="0.25">
      <c r="A38" s="145"/>
      <c r="G38" s="1"/>
    </row>
    <row r="39" spans="1:7" x14ac:dyDescent="0.25">
      <c r="A39" s="145"/>
      <c r="G39" s="1"/>
    </row>
    <row r="40" spans="1:7" x14ac:dyDescent="0.25">
      <c r="A40" s="145"/>
      <c r="G40" s="1"/>
    </row>
    <row r="41" spans="1:7" x14ac:dyDescent="0.25">
      <c r="A41" s="145"/>
      <c r="G41" s="1"/>
    </row>
    <row r="42" spans="1:7" x14ac:dyDescent="0.25">
      <c r="A42" s="145"/>
      <c r="G42" s="1"/>
    </row>
    <row r="43" spans="1:7" x14ac:dyDescent="0.25">
      <c r="A43" s="145"/>
      <c r="G43" s="1"/>
    </row>
    <row r="44" spans="1:7" x14ac:dyDescent="0.25">
      <c r="A44" s="145"/>
      <c r="G44" s="1"/>
    </row>
    <row r="45" spans="1:7" x14ac:dyDescent="0.25">
      <c r="A45" s="145"/>
      <c r="G45" s="1"/>
    </row>
    <row r="46" spans="1:7" x14ac:dyDescent="0.25">
      <c r="A46" s="145"/>
      <c r="G46" s="1"/>
    </row>
    <row r="48" spans="1:7" x14ac:dyDescent="0.25">
      <c r="G48" s="1"/>
    </row>
    <row r="49" spans="7:7" x14ac:dyDescent="0.25">
      <c r="G49" s="1"/>
    </row>
    <row r="50" spans="7:7" x14ac:dyDescent="0.25">
      <c r="G50" s="1"/>
    </row>
    <row r="51" spans="7:7" x14ac:dyDescent="0.25">
      <c r="G51" s="1"/>
    </row>
    <row r="52" spans="7:7" x14ac:dyDescent="0.25">
      <c r="G52" s="1"/>
    </row>
    <row r="53" spans="7:7" x14ac:dyDescent="0.25">
      <c r="G53" s="1"/>
    </row>
    <row r="54" spans="7:7" x14ac:dyDescent="0.25">
      <c r="G54" s="1"/>
    </row>
    <row r="55" spans="7:7" x14ac:dyDescent="0.25">
      <c r="G55" s="1"/>
    </row>
    <row r="56" spans="7:7" x14ac:dyDescent="0.25">
      <c r="G56" s="1"/>
    </row>
    <row r="61" spans="7:7" x14ac:dyDescent="0.25">
      <c r="G61" s="1"/>
    </row>
    <row r="62" spans="7:7" x14ac:dyDescent="0.25">
      <c r="G62" s="1"/>
    </row>
    <row r="63" spans="7:7" x14ac:dyDescent="0.25">
      <c r="G63" s="1"/>
    </row>
    <row r="64" spans="7:7" x14ac:dyDescent="0.25">
      <c r="G64" s="1"/>
    </row>
    <row r="65" spans="7:7" x14ac:dyDescent="0.25">
      <c r="G65" s="1"/>
    </row>
    <row r="66" spans="7:7" x14ac:dyDescent="0.25">
      <c r="G66" s="1"/>
    </row>
    <row r="68" spans="7:7" x14ac:dyDescent="0.25">
      <c r="G68" s="1"/>
    </row>
    <row r="72" spans="7:7" x14ac:dyDescent="0.25">
      <c r="G72" s="1"/>
    </row>
    <row r="73" spans="7:7" x14ac:dyDescent="0.25">
      <c r="G73" s="1"/>
    </row>
    <row r="74" spans="7:7" x14ac:dyDescent="0.25">
      <c r="G74" s="1"/>
    </row>
    <row r="75" spans="7:7" x14ac:dyDescent="0.25">
      <c r="G75" s="1"/>
    </row>
    <row r="76" spans="7:7" x14ac:dyDescent="0.25">
      <c r="G76" s="1"/>
    </row>
    <row r="78" spans="7:7" x14ac:dyDescent="0.25">
      <c r="G78" s="1"/>
    </row>
    <row r="79" spans="7:7" x14ac:dyDescent="0.25">
      <c r="G79" s="1"/>
    </row>
    <row r="80" spans="7:7" x14ac:dyDescent="0.25">
      <c r="G80" s="1"/>
    </row>
    <row r="81" spans="7:7" x14ac:dyDescent="0.25">
      <c r="G81" s="1"/>
    </row>
    <row r="82" spans="7:7" x14ac:dyDescent="0.25">
      <c r="G82" s="1"/>
    </row>
    <row r="83" spans="7:7" x14ac:dyDescent="0.25">
      <c r="G83" s="1"/>
    </row>
    <row r="84" spans="7:7" x14ac:dyDescent="0.25">
      <c r="G84" s="1"/>
    </row>
    <row r="85" spans="7:7" x14ac:dyDescent="0.25">
      <c r="G85" s="1"/>
    </row>
    <row r="86" spans="7:7" x14ac:dyDescent="0.25">
      <c r="G86" s="1"/>
    </row>
    <row r="87" spans="7:7" x14ac:dyDescent="0.25">
      <c r="G87" s="1"/>
    </row>
    <row r="88" spans="7:7" x14ac:dyDescent="0.25">
      <c r="G88" s="1"/>
    </row>
    <row r="89" spans="7:7" x14ac:dyDescent="0.25">
      <c r="G89" s="1"/>
    </row>
    <row r="90" spans="7:7" x14ac:dyDescent="0.25">
      <c r="G90" s="1"/>
    </row>
    <row r="92" spans="7:7" x14ac:dyDescent="0.25">
      <c r="G92" s="1"/>
    </row>
    <row r="94" spans="7:7" x14ac:dyDescent="0.25">
      <c r="G94" s="1"/>
    </row>
    <row r="95" spans="7:7" x14ac:dyDescent="0.25">
      <c r="G95" s="1"/>
    </row>
    <row r="96" spans="7:7" x14ac:dyDescent="0.25">
      <c r="G96" s="1"/>
    </row>
    <row r="98" spans="7:7" x14ac:dyDescent="0.25">
      <c r="G98" s="1"/>
    </row>
    <row r="99" spans="7:7" x14ac:dyDescent="0.25">
      <c r="G99" s="1"/>
    </row>
    <row r="100" spans="7:7" x14ac:dyDescent="0.25">
      <c r="G100" s="1"/>
    </row>
    <row r="101" spans="7:7" x14ac:dyDescent="0.25">
      <c r="G101" s="1"/>
    </row>
    <row r="102" spans="7:7" x14ac:dyDescent="0.25">
      <c r="G102" s="1"/>
    </row>
    <row r="103" spans="7:7" x14ac:dyDescent="0.25">
      <c r="G103" s="1"/>
    </row>
    <row r="104" spans="7:7" x14ac:dyDescent="0.25">
      <c r="G104" s="1"/>
    </row>
    <row r="107" spans="7:7" x14ac:dyDescent="0.25">
      <c r="G107" s="1"/>
    </row>
    <row r="108" spans="7:7" x14ac:dyDescent="0.25">
      <c r="G108" s="1"/>
    </row>
    <row r="109" spans="7:7" x14ac:dyDescent="0.25">
      <c r="G109" s="1"/>
    </row>
    <row r="110" spans="7:7" x14ac:dyDescent="0.25">
      <c r="G110" s="1"/>
    </row>
    <row r="111" spans="7:7" x14ac:dyDescent="0.25">
      <c r="G111" s="1"/>
    </row>
    <row r="112" spans="7:7" x14ac:dyDescent="0.25">
      <c r="G112" s="1"/>
    </row>
    <row r="113" spans="7:7" x14ac:dyDescent="0.25">
      <c r="G113" s="1"/>
    </row>
    <row r="114" spans="7:7" x14ac:dyDescent="0.25">
      <c r="G114" s="1"/>
    </row>
    <row r="115" spans="7:7" x14ac:dyDescent="0.25">
      <c r="G115" s="1"/>
    </row>
    <row r="116" spans="7:7" x14ac:dyDescent="0.25">
      <c r="G116" s="1"/>
    </row>
    <row r="117" spans="7:7" x14ac:dyDescent="0.25">
      <c r="G117" s="1"/>
    </row>
    <row r="118" spans="7:7" x14ac:dyDescent="0.25">
      <c r="G118" s="1"/>
    </row>
    <row r="119" spans="7:7" x14ac:dyDescent="0.25">
      <c r="G119" s="1"/>
    </row>
    <row r="121" spans="7:7" x14ac:dyDescent="0.25">
      <c r="G121" s="1"/>
    </row>
    <row r="123" spans="7:7" x14ac:dyDescent="0.25">
      <c r="G123" s="1"/>
    </row>
    <row r="124" spans="7:7" x14ac:dyDescent="0.25">
      <c r="G124" s="1"/>
    </row>
    <row r="125" spans="7:7" x14ac:dyDescent="0.25">
      <c r="G125" s="1"/>
    </row>
    <row r="127" spans="7:7" x14ac:dyDescent="0.25">
      <c r="G127" s="1"/>
    </row>
    <row r="128" spans="7:7" x14ac:dyDescent="0.25">
      <c r="G128" s="1"/>
    </row>
    <row r="129" spans="7:7" x14ac:dyDescent="0.25">
      <c r="G129" s="1"/>
    </row>
    <row r="130" spans="7:7" x14ac:dyDescent="0.25">
      <c r="G130" s="1"/>
    </row>
    <row r="131" spans="7:7" x14ac:dyDescent="0.25">
      <c r="G131" s="1"/>
    </row>
    <row r="132" spans="7:7" x14ac:dyDescent="0.25">
      <c r="G132" s="1"/>
    </row>
    <row r="133" spans="7:7" x14ac:dyDescent="0.25">
      <c r="G133" s="1"/>
    </row>
    <row r="135" spans="7:7" x14ac:dyDescent="0.25">
      <c r="G135" s="1"/>
    </row>
    <row r="136" spans="7:7" x14ac:dyDescent="0.25">
      <c r="G136" s="1"/>
    </row>
  </sheetData>
  <mergeCells count="1">
    <mergeCell ref="A27:H27"/>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5" tint="0.79998168889431442"/>
  </sheetPr>
  <dimension ref="A1:AM111"/>
  <sheetViews>
    <sheetView topLeftCell="B1" workbookViewId="0">
      <selection activeCell="E37" sqref="E37"/>
    </sheetView>
  </sheetViews>
  <sheetFormatPr defaultRowHeight="15" x14ac:dyDescent="0.25"/>
  <cols>
    <col min="1" max="1" width="20.85546875" hidden="1" customWidth="1"/>
    <col min="2" max="2" width="45.7109375" customWidth="1"/>
  </cols>
  <sheetData>
    <row r="1" spans="1:39" ht="15" customHeight="1" thickBot="1" x14ac:dyDescent="0.3">
      <c r="B1" s="4" t="s">
        <v>15</v>
      </c>
      <c r="C1" s="5">
        <v>2015</v>
      </c>
      <c r="D1" s="5">
        <v>2016</v>
      </c>
      <c r="E1" s="5">
        <v>2017</v>
      </c>
      <c r="F1" s="5">
        <v>2018</v>
      </c>
      <c r="G1" s="5">
        <v>2019</v>
      </c>
      <c r="H1" s="5">
        <v>2020</v>
      </c>
      <c r="I1" s="5">
        <v>2021</v>
      </c>
      <c r="J1" s="5">
        <v>2022</v>
      </c>
      <c r="K1" s="5">
        <v>2023</v>
      </c>
      <c r="L1" s="5">
        <v>2024</v>
      </c>
      <c r="M1" s="5">
        <v>2025</v>
      </c>
      <c r="N1" s="5">
        <v>2026</v>
      </c>
      <c r="O1" s="5">
        <v>2027</v>
      </c>
      <c r="P1" s="5">
        <v>2028</v>
      </c>
      <c r="Q1" s="5">
        <v>2029</v>
      </c>
      <c r="R1" s="5">
        <v>2030</v>
      </c>
      <c r="S1" s="5">
        <v>2031</v>
      </c>
      <c r="T1" s="5">
        <v>2032</v>
      </c>
      <c r="U1" s="5">
        <v>2033</v>
      </c>
      <c r="V1" s="5">
        <v>2034</v>
      </c>
      <c r="W1" s="5">
        <v>2035</v>
      </c>
      <c r="X1" s="5">
        <v>2036</v>
      </c>
      <c r="Y1" s="5">
        <v>2037</v>
      </c>
      <c r="Z1" s="5">
        <v>2038</v>
      </c>
      <c r="AA1" s="5">
        <v>2039</v>
      </c>
      <c r="AB1" s="5">
        <v>2040</v>
      </c>
      <c r="AC1" s="5">
        <v>2041</v>
      </c>
      <c r="AD1" s="5">
        <v>2042</v>
      </c>
      <c r="AE1" s="5">
        <v>2043</v>
      </c>
      <c r="AF1" s="5">
        <v>2044</v>
      </c>
      <c r="AG1" s="5">
        <v>2045</v>
      </c>
      <c r="AH1" s="5">
        <v>2046</v>
      </c>
      <c r="AI1" s="5">
        <v>2047</v>
      </c>
      <c r="AJ1" s="5">
        <v>2048</v>
      </c>
      <c r="AK1" s="5">
        <v>2049</v>
      </c>
      <c r="AL1" s="5">
        <v>2050</v>
      </c>
    </row>
    <row r="2" spans="1:39" ht="15" customHeight="1" thickTop="1" x14ac:dyDescent="0.25"/>
    <row r="3" spans="1:39" ht="15" customHeight="1" x14ac:dyDescent="0.25">
      <c r="C3" s="6" t="s">
        <v>16</v>
      </c>
      <c r="D3" s="6" t="s">
        <v>17</v>
      </c>
      <c r="E3" s="6"/>
      <c r="F3" s="6"/>
      <c r="G3" s="6"/>
    </row>
    <row r="4" spans="1:39" ht="15" customHeight="1" x14ac:dyDescent="0.25">
      <c r="C4" s="6" t="s">
        <v>18</v>
      </c>
      <c r="D4" s="6" t="s">
        <v>19</v>
      </c>
      <c r="E4" s="6"/>
      <c r="F4" s="6"/>
      <c r="G4" s="6" t="s">
        <v>20</v>
      </c>
    </row>
    <row r="5" spans="1:39" ht="15" customHeight="1" x14ac:dyDescent="0.25">
      <c r="C5" s="6" t="s">
        <v>21</v>
      </c>
      <c r="D5" s="6" t="s">
        <v>22</v>
      </c>
      <c r="E5" s="6"/>
      <c r="F5" s="6"/>
      <c r="G5" s="6"/>
    </row>
    <row r="6" spans="1:39" ht="15" customHeight="1" x14ac:dyDescent="0.25">
      <c r="C6" s="6" t="s">
        <v>23</v>
      </c>
      <c r="D6" s="6"/>
      <c r="E6" s="6" t="s">
        <v>24</v>
      </c>
      <c r="F6" s="6"/>
      <c r="G6" s="6"/>
    </row>
    <row r="7" spans="1:39" ht="15" customHeight="1" x14ac:dyDescent="0.25"/>
    <row r="8" spans="1:39" ht="15" customHeight="1" x14ac:dyDescent="0.25"/>
    <row r="9" spans="1:39" ht="15" customHeight="1" x14ac:dyDescent="0.25"/>
    <row r="10" spans="1:39" ht="15" customHeight="1" x14ac:dyDescent="0.25">
      <c r="A10" s="7" t="s">
        <v>505</v>
      </c>
      <c r="B10" s="8" t="s">
        <v>506</v>
      </c>
    </row>
    <row r="11" spans="1:39" ht="15" customHeight="1" x14ac:dyDescent="0.25">
      <c r="B11" s="4" t="s">
        <v>507</v>
      </c>
    </row>
    <row r="12" spans="1:39" ht="15" customHeight="1" x14ac:dyDescent="0.25">
      <c r="B12" s="4" t="s">
        <v>27</v>
      </c>
      <c r="C12" s="9" t="s">
        <v>27</v>
      </c>
      <c r="D12" s="9" t="s">
        <v>27</v>
      </c>
      <c r="E12" s="9" t="s">
        <v>27</v>
      </c>
      <c r="F12" s="9" t="s">
        <v>27</v>
      </c>
      <c r="G12" s="9" t="s">
        <v>27</v>
      </c>
      <c r="H12" s="9" t="s">
        <v>27</v>
      </c>
      <c r="I12" s="9" t="s">
        <v>27</v>
      </c>
      <c r="J12" s="9" t="s">
        <v>27</v>
      </c>
      <c r="K12" s="9" t="s">
        <v>27</v>
      </c>
      <c r="L12" s="9" t="s">
        <v>27</v>
      </c>
      <c r="M12" s="9" t="s">
        <v>27</v>
      </c>
      <c r="N12" s="9" t="s">
        <v>27</v>
      </c>
      <c r="O12" s="9" t="s">
        <v>27</v>
      </c>
      <c r="P12" s="9" t="s">
        <v>27</v>
      </c>
      <c r="Q12" s="9" t="s">
        <v>27</v>
      </c>
      <c r="R12" s="9" t="s">
        <v>27</v>
      </c>
      <c r="S12" s="9" t="s">
        <v>27</v>
      </c>
      <c r="T12" s="9" t="s">
        <v>27</v>
      </c>
      <c r="U12" s="9" t="s">
        <v>27</v>
      </c>
      <c r="V12" s="9" t="s">
        <v>27</v>
      </c>
      <c r="W12" s="9" t="s">
        <v>27</v>
      </c>
      <c r="X12" s="9" t="s">
        <v>27</v>
      </c>
      <c r="Y12" s="9" t="s">
        <v>27</v>
      </c>
      <c r="Z12" s="9" t="s">
        <v>27</v>
      </c>
      <c r="AA12" s="9" t="s">
        <v>27</v>
      </c>
      <c r="AB12" s="9" t="s">
        <v>27</v>
      </c>
      <c r="AC12" s="9" t="s">
        <v>27</v>
      </c>
      <c r="AD12" s="9" t="s">
        <v>27</v>
      </c>
      <c r="AE12" s="9" t="s">
        <v>27</v>
      </c>
      <c r="AF12" s="9" t="s">
        <v>27</v>
      </c>
      <c r="AG12" s="9" t="s">
        <v>27</v>
      </c>
      <c r="AH12" s="9" t="s">
        <v>27</v>
      </c>
      <c r="AI12" s="9" t="s">
        <v>27</v>
      </c>
      <c r="AJ12" s="9" t="s">
        <v>27</v>
      </c>
      <c r="AK12" s="9" t="s">
        <v>27</v>
      </c>
      <c r="AL12" s="9" t="s">
        <v>27</v>
      </c>
      <c r="AM12" s="9" t="s">
        <v>28</v>
      </c>
    </row>
    <row r="13" spans="1:39" ht="15" customHeight="1" thickBot="1" x14ac:dyDescent="0.3">
      <c r="B13" s="5" t="s">
        <v>508</v>
      </c>
      <c r="C13" s="5">
        <v>2015</v>
      </c>
      <c r="D13" s="5">
        <v>2016</v>
      </c>
      <c r="E13" s="5">
        <v>2017</v>
      </c>
      <c r="F13" s="5">
        <v>2018</v>
      </c>
      <c r="G13" s="5">
        <v>2019</v>
      </c>
      <c r="H13" s="5">
        <v>2020</v>
      </c>
      <c r="I13" s="5">
        <v>2021</v>
      </c>
      <c r="J13" s="5">
        <v>2022</v>
      </c>
      <c r="K13" s="5">
        <v>2023</v>
      </c>
      <c r="L13" s="5">
        <v>2024</v>
      </c>
      <c r="M13" s="5">
        <v>2025</v>
      </c>
      <c r="N13" s="5">
        <v>2026</v>
      </c>
      <c r="O13" s="5">
        <v>2027</v>
      </c>
      <c r="P13" s="5">
        <v>2028</v>
      </c>
      <c r="Q13" s="5">
        <v>2029</v>
      </c>
      <c r="R13" s="5">
        <v>2030</v>
      </c>
      <c r="S13" s="5">
        <v>2031</v>
      </c>
      <c r="T13" s="5">
        <v>2032</v>
      </c>
      <c r="U13" s="5">
        <v>2033</v>
      </c>
      <c r="V13" s="5">
        <v>2034</v>
      </c>
      <c r="W13" s="5">
        <v>2035</v>
      </c>
      <c r="X13" s="5">
        <v>2036</v>
      </c>
      <c r="Y13" s="5">
        <v>2037</v>
      </c>
      <c r="Z13" s="5">
        <v>2038</v>
      </c>
      <c r="AA13" s="5">
        <v>2039</v>
      </c>
      <c r="AB13" s="5">
        <v>2040</v>
      </c>
      <c r="AC13" s="5">
        <v>2041</v>
      </c>
      <c r="AD13" s="5">
        <v>2042</v>
      </c>
      <c r="AE13" s="5">
        <v>2043</v>
      </c>
      <c r="AF13" s="5">
        <v>2044</v>
      </c>
      <c r="AG13" s="5">
        <v>2045</v>
      </c>
      <c r="AH13" s="5">
        <v>2046</v>
      </c>
      <c r="AI13" s="5">
        <v>2047</v>
      </c>
      <c r="AJ13" s="5">
        <v>2048</v>
      </c>
      <c r="AK13" s="5">
        <v>2049</v>
      </c>
      <c r="AL13" s="5">
        <v>2050</v>
      </c>
      <c r="AM13" s="5">
        <v>2050</v>
      </c>
    </row>
    <row r="14" spans="1:39" ht="15" customHeight="1" thickTop="1" x14ac:dyDescent="0.25"/>
    <row r="15" spans="1:39" ht="15" customHeight="1" x14ac:dyDescent="0.25">
      <c r="B15" s="10" t="s">
        <v>509</v>
      </c>
    </row>
    <row r="16" spans="1:39" ht="15" customHeight="1" x14ac:dyDescent="0.25">
      <c r="A16" s="7" t="s">
        <v>510</v>
      </c>
      <c r="B16" s="11" t="s">
        <v>511</v>
      </c>
      <c r="C16" s="16">
        <v>9.4149999999999991</v>
      </c>
      <c r="D16" s="16">
        <v>8.7415489999999991</v>
      </c>
      <c r="E16" s="16">
        <v>8.6978430000000007</v>
      </c>
      <c r="F16" s="16">
        <v>9.3180800000000001</v>
      </c>
      <c r="G16" s="16">
        <v>9.6870170000000009</v>
      </c>
      <c r="H16" s="16">
        <v>9.8859290000000009</v>
      </c>
      <c r="I16" s="16">
        <v>10.038157999999999</v>
      </c>
      <c r="J16" s="16">
        <v>10.151885</v>
      </c>
      <c r="K16" s="16">
        <v>10.307933</v>
      </c>
      <c r="L16" s="16">
        <v>10.346003</v>
      </c>
      <c r="M16" s="16">
        <v>10.380317</v>
      </c>
      <c r="N16" s="16">
        <v>10.527554</v>
      </c>
      <c r="O16" s="16">
        <v>10.542673000000001</v>
      </c>
      <c r="P16" s="16">
        <v>10.537024000000001</v>
      </c>
      <c r="Q16" s="16">
        <v>10.538717</v>
      </c>
      <c r="R16" s="16">
        <v>10.529776999999999</v>
      </c>
      <c r="S16" s="16">
        <v>10.483684999999999</v>
      </c>
      <c r="T16" s="16">
        <v>10.417608</v>
      </c>
      <c r="U16" s="16">
        <v>10.238421000000001</v>
      </c>
      <c r="V16" s="16">
        <v>10.207879999999999</v>
      </c>
      <c r="W16" s="16">
        <v>10.197989</v>
      </c>
      <c r="X16" s="16">
        <v>10.238866</v>
      </c>
      <c r="Y16" s="16">
        <v>10.266988</v>
      </c>
      <c r="Z16" s="16">
        <v>10.340199</v>
      </c>
      <c r="AA16" s="16">
        <v>10.343902</v>
      </c>
      <c r="AB16" s="16">
        <v>10.318833</v>
      </c>
      <c r="AC16" s="16">
        <v>10.304263000000001</v>
      </c>
      <c r="AD16" s="16">
        <v>10.265302999999999</v>
      </c>
      <c r="AE16" s="16">
        <v>10.262869</v>
      </c>
      <c r="AF16" s="16">
        <v>10.234119</v>
      </c>
      <c r="AG16" s="16">
        <v>10.198567000000001</v>
      </c>
      <c r="AH16" s="16">
        <v>10.177254</v>
      </c>
      <c r="AI16" s="16">
        <v>10.09254</v>
      </c>
      <c r="AJ16" s="16">
        <v>10.020887</v>
      </c>
      <c r="AK16" s="16">
        <v>9.8953900000000008</v>
      </c>
      <c r="AL16" s="16">
        <v>9.8460470000000004</v>
      </c>
      <c r="AM16" s="13">
        <v>3.506E-3</v>
      </c>
    </row>
    <row r="17" spans="1:39" ht="15" customHeight="1" x14ac:dyDescent="0.25">
      <c r="A17" s="7" t="s">
        <v>512</v>
      </c>
      <c r="B17" s="11" t="s">
        <v>513</v>
      </c>
      <c r="C17" s="16">
        <v>0.48299999999999998</v>
      </c>
      <c r="D17" s="16">
        <v>0.47592400000000001</v>
      </c>
      <c r="E17" s="16">
        <v>0.45947199999999999</v>
      </c>
      <c r="F17" s="16">
        <v>0.46</v>
      </c>
      <c r="G17" s="16">
        <v>0.441577</v>
      </c>
      <c r="H17" s="16">
        <v>0.43121700000000002</v>
      </c>
      <c r="I17" s="16">
        <v>0.48739100000000002</v>
      </c>
      <c r="J17" s="16">
        <v>0.52426399999999995</v>
      </c>
      <c r="K17" s="16">
        <v>0.53135600000000005</v>
      </c>
      <c r="L17" s="16">
        <v>0.53668700000000003</v>
      </c>
      <c r="M17" s="16">
        <v>0.54266899999999996</v>
      </c>
      <c r="N17" s="16">
        <v>0.62514400000000003</v>
      </c>
      <c r="O17" s="16">
        <v>0.63380700000000001</v>
      </c>
      <c r="P17" s="16">
        <v>0.62161100000000002</v>
      </c>
      <c r="Q17" s="16">
        <v>0.60470400000000002</v>
      </c>
      <c r="R17" s="16">
        <v>0.598306</v>
      </c>
      <c r="S17" s="16">
        <v>0.59149200000000002</v>
      </c>
      <c r="T17" s="16">
        <v>0.58289299999999999</v>
      </c>
      <c r="U17" s="16">
        <v>0.56400700000000004</v>
      </c>
      <c r="V17" s="16">
        <v>0.54691900000000004</v>
      </c>
      <c r="W17" s="16">
        <v>0.52648399999999995</v>
      </c>
      <c r="X17" s="16">
        <v>0.50804300000000002</v>
      </c>
      <c r="Y17" s="16">
        <v>0.49136400000000002</v>
      </c>
      <c r="Z17" s="16">
        <v>0.47624699999999998</v>
      </c>
      <c r="AA17" s="16">
        <v>0.46251500000000001</v>
      </c>
      <c r="AB17" s="16">
        <v>0.47467100000000001</v>
      </c>
      <c r="AC17" s="16">
        <v>0.487923</v>
      </c>
      <c r="AD17" s="16">
        <v>0.47744599999999998</v>
      </c>
      <c r="AE17" s="16">
        <v>0.45434999999999998</v>
      </c>
      <c r="AF17" s="16">
        <v>0.42717699999999997</v>
      </c>
      <c r="AG17" s="16">
        <v>0.39904699999999999</v>
      </c>
      <c r="AH17" s="16">
        <v>0.37518600000000002</v>
      </c>
      <c r="AI17" s="16">
        <v>0.35535</v>
      </c>
      <c r="AJ17" s="16">
        <v>0.33861999999999998</v>
      </c>
      <c r="AK17" s="16">
        <v>0.320413</v>
      </c>
      <c r="AL17" s="16">
        <v>0.296514</v>
      </c>
      <c r="AM17" s="13">
        <v>-1.3820000000000001E-2</v>
      </c>
    </row>
    <row r="18" spans="1:39" ht="15" customHeight="1" x14ac:dyDescent="0.25">
      <c r="A18" s="7" t="s">
        <v>514</v>
      </c>
      <c r="B18" s="11" t="s">
        <v>515</v>
      </c>
      <c r="C18" s="16">
        <v>8.9320000000000004</v>
      </c>
      <c r="D18" s="16">
        <v>8.265625</v>
      </c>
      <c r="E18" s="16">
        <v>8.2383699999999997</v>
      </c>
      <c r="F18" s="16">
        <v>8.8580799999999993</v>
      </c>
      <c r="G18" s="16">
        <v>9.2454409999999996</v>
      </c>
      <c r="H18" s="16">
        <v>9.4547120000000007</v>
      </c>
      <c r="I18" s="16">
        <v>9.5507690000000007</v>
      </c>
      <c r="J18" s="16">
        <v>9.6276209999999995</v>
      </c>
      <c r="K18" s="16">
        <v>9.7765760000000004</v>
      </c>
      <c r="L18" s="16">
        <v>9.8093160000000008</v>
      </c>
      <c r="M18" s="16">
        <v>9.8376470000000005</v>
      </c>
      <c r="N18" s="16">
        <v>9.9024099999999997</v>
      </c>
      <c r="O18" s="16">
        <v>9.9088670000000008</v>
      </c>
      <c r="P18" s="16">
        <v>9.9154129999999991</v>
      </c>
      <c r="Q18" s="16">
        <v>9.9340130000000002</v>
      </c>
      <c r="R18" s="16">
        <v>9.9314710000000002</v>
      </c>
      <c r="S18" s="16">
        <v>9.8921930000000007</v>
      </c>
      <c r="T18" s="16">
        <v>9.8347160000000002</v>
      </c>
      <c r="U18" s="16">
        <v>9.6744149999999998</v>
      </c>
      <c r="V18" s="16">
        <v>9.6609610000000004</v>
      </c>
      <c r="W18" s="16">
        <v>9.6715049999999998</v>
      </c>
      <c r="X18" s="16">
        <v>9.7308230000000009</v>
      </c>
      <c r="Y18" s="16">
        <v>9.7756240000000005</v>
      </c>
      <c r="Z18" s="16">
        <v>9.8639510000000001</v>
      </c>
      <c r="AA18" s="16">
        <v>9.8813870000000001</v>
      </c>
      <c r="AB18" s="16">
        <v>9.8441620000000007</v>
      </c>
      <c r="AC18" s="16">
        <v>9.8163400000000003</v>
      </c>
      <c r="AD18" s="16">
        <v>9.7878550000000004</v>
      </c>
      <c r="AE18" s="16">
        <v>9.8085179999999994</v>
      </c>
      <c r="AF18" s="16">
        <v>9.8069410000000001</v>
      </c>
      <c r="AG18" s="16">
        <v>9.7995199999999993</v>
      </c>
      <c r="AH18" s="16">
        <v>9.8020669999999992</v>
      </c>
      <c r="AI18" s="16">
        <v>9.7371890000000008</v>
      </c>
      <c r="AJ18" s="16">
        <v>9.6822669999999995</v>
      </c>
      <c r="AK18" s="16">
        <v>9.5749759999999995</v>
      </c>
      <c r="AL18" s="16">
        <v>9.5495339999999995</v>
      </c>
      <c r="AM18" s="13">
        <v>4.2560000000000002E-3</v>
      </c>
    </row>
    <row r="19" spans="1:39" ht="15" customHeight="1" x14ac:dyDescent="0.25">
      <c r="A19" s="7" t="s">
        <v>516</v>
      </c>
      <c r="B19" s="11" t="s">
        <v>517</v>
      </c>
      <c r="C19" s="16">
        <v>6.8979999999999997</v>
      </c>
      <c r="D19" s="16">
        <v>7.4729999999999999</v>
      </c>
      <c r="E19" s="16">
        <v>7.5620000000000003</v>
      </c>
      <c r="F19" s="16">
        <v>7.2507729999999997</v>
      </c>
      <c r="G19" s="16">
        <v>6.9798450000000001</v>
      </c>
      <c r="H19" s="16">
        <v>6.6927570000000003</v>
      </c>
      <c r="I19" s="16">
        <v>6.7858479999999997</v>
      </c>
      <c r="J19" s="16">
        <v>6.8720699999999999</v>
      </c>
      <c r="K19" s="16">
        <v>6.8227440000000001</v>
      </c>
      <c r="L19" s="16">
        <v>6.8796280000000003</v>
      </c>
      <c r="M19" s="16">
        <v>6.9032470000000004</v>
      </c>
      <c r="N19" s="16">
        <v>6.8508050000000003</v>
      </c>
      <c r="O19" s="16">
        <v>6.7487259999999996</v>
      </c>
      <c r="P19" s="16">
        <v>6.5877540000000003</v>
      </c>
      <c r="Q19" s="16">
        <v>6.7163560000000002</v>
      </c>
      <c r="R19" s="16">
        <v>6.8528279999999997</v>
      </c>
      <c r="S19" s="16">
        <v>6.802657</v>
      </c>
      <c r="T19" s="16">
        <v>6.8425140000000004</v>
      </c>
      <c r="U19" s="16">
        <v>6.8903610000000004</v>
      </c>
      <c r="V19" s="16">
        <v>6.9778409999999997</v>
      </c>
      <c r="W19" s="16">
        <v>7.0318459999999998</v>
      </c>
      <c r="X19" s="16">
        <v>7.0263960000000001</v>
      </c>
      <c r="Y19" s="16">
        <v>7.087002</v>
      </c>
      <c r="Z19" s="16">
        <v>6.8722770000000004</v>
      </c>
      <c r="AA19" s="16">
        <v>7.0181519999999997</v>
      </c>
      <c r="AB19" s="16">
        <v>7.1525319999999999</v>
      </c>
      <c r="AC19" s="16">
        <v>7.1087429999999996</v>
      </c>
      <c r="AD19" s="16">
        <v>7.225403</v>
      </c>
      <c r="AE19" s="16">
        <v>7.163405</v>
      </c>
      <c r="AF19" s="16">
        <v>7.2471909999999999</v>
      </c>
      <c r="AG19" s="16">
        <v>7.3178020000000004</v>
      </c>
      <c r="AH19" s="16">
        <v>7.4058890000000002</v>
      </c>
      <c r="AI19" s="16">
        <v>7.6147530000000003</v>
      </c>
      <c r="AJ19" s="16">
        <v>7.662649</v>
      </c>
      <c r="AK19" s="16">
        <v>7.7857279999999998</v>
      </c>
      <c r="AL19" s="16">
        <v>7.9655310000000004</v>
      </c>
      <c r="AM19" s="13">
        <v>1.879E-3</v>
      </c>
    </row>
    <row r="20" spans="1:39" ht="15" customHeight="1" x14ac:dyDescent="0.25">
      <c r="A20" s="7" t="s">
        <v>518</v>
      </c>
      <c r="B20" s="11" t="s">
        <v>519</v>
      </c>
      <c r="C20" s="16">
        <v>7.3630000000000004</v>
      </c>
      <c r="D20" s="16">
        <v>7.9329999999999998</v>
      </c>
      <c r="E20" s="16">
        <v>8.0640000000000001</v>
      </c>
      <c r="F20" s="16">
        <v>7.7964250000000002</v>
      </c>
      <c r="G20" s="16">
        <v>7.5681370000000001</v>
      </c>
      <c r="H20" s="16">
        <v>7.3242849999999997</v>
      </c>
      <c r="I20" s="16">
        <v>7.4173460000000002</v>
      </c>
      <c r="J20" s="16">
        <v>7.5035379999999998</v>
      </c>
      <c r="K20" s="16">
        <v>7.4541829999999996</v>
      </c>
      <c r="L20" s="16">
        <v>7.5110380000000001</v>
      </c>
      <c r="M20" s="16">
        <v>7.5346279999999997</v>
      </c>
      <c r="N20" s="16">
        <v>7.4821590000000002</v>
      </c>
      <c r="O20" s="16">
        <v>7.3800530000000002</v>
      </c>
      <c r="P20" s="16">
        <v>7.2190539999999999</v>
      </c>
      <c r="Q20" s="16">
        <v>7.3476309999999998</v>
      </c>
      <c r="R20" s="16">
        <v>7.484076</v>
      </c>
      <c r="S20" s="16">
        <v>7.4338810000000004</v>
      </c>
      <c r="T20" s="16">
        <v>7.4737119999999999</v>
      </c>
      <c r="U20" s="16">
        <v>7.5215360000000002</v>
      </c>
      <c r="V20" s="16">
        <v>7.6089929999999999</v>
      </c>
      <c r="W20" s="16">
        <v>7.6629740000000002</v>
      </c>
      <c r="X20" s="16">
        <v>7.657502</v>
      </c>
      <c r="Y20" s="16">
        <v>7.7180859999999996</v>
      </c>
      <c r="Z20" s="16">
        <v>7.5033390000000004</v>
      </c>
      <c r="AA20" s="16">
        <v>7.6789909999999999</v>
      </c>
      <c r="AB20" s="16">
        <v>7.8010710000000003</v>
      </c>
      <c r="AC20" s="16">
        <v>7.7542210000000003</v>
      </c>
      <c r="AD20" s="16">
        <v>7.9076870000000001</v>
      </c>
      <c r="AE20" s="16">
        <v>7.8710820000000004</v>
      </c>
      <c r="AF20" s="16">
        <v>7.9653689999999999</v>
      </c>
      <c r="AG20" s="16">
        <v>8.0559449999999995</v>
      </c>
      <c r="AH20" s="16">
        <v>8.1848100000000006</v>
      </c>
      <c r="AI20" s="16">
        <v>8.2706160000000004</v>
      </c>
      <c r="AJ20" s="16">
        <v>8.2944969999999998</v>
      </c>
      <c r="AK20" s="16">
        <v>8.4165790000000005</v>
      </c>
      <c r="AL20" s="16">
        <v>8.5963650000000005</v>
      </c>
      <c r="AM20" s="13">
        <v>2.3649999999999999E-3</v>
      </c>
    </row>
    <row r="21" spans="1:39" ht="15" customHeight="1" x14ac:dyDescent="0.25">
      <c r="A21" s="7" t="s">
        <v>520</v>
      </c>
      <c r="B21" s="11" t="s">
        <v>521</v>
      </c>
      <c r="C21" s="16">
        <v>0.46500000000000002</v>
      </c>
      <c r="D21" s="16">
        <v>0.46</v>
      </c>
      <c r="E21" s="16">
        <v>0.502</v>
      </c>
      <c r="F21" s="16">
        <v>0.54565200000000003</v>
      </c>
      <c r="G21" s="16">
        <v>0.58829200000000004</v>
      </c>
      <c r="H21" s="16">
        <v>0.63152799999999998</v>
      </c>
      <c r="I21" s="16">
        <v>0.631498</v>
      </c>
      <c r="J21" s="16">
        <v>0.63146800000000003</v>
      </c>
      <c r="K21" s="16">
        <v>0.63143800000000005</v>
      </c>
      <c r="L21" s="16">
        <v>0.631409</v>
      </c>
      <c r="M21" s="16">
        <v>0.63138099999999997</v>
      </c>
      <c r="N21" s="16">
        <v>0.63135399999999997</v>
      </c>
      <c r="O21" s="16">
        <v>0.63132699999999997</v>
      </c>
      <c r="P21" s="16">
        <v>0.63129999999999997</v>
      </c>
      <c r="Q21" s="16">
        <v>0.631274</v>
      </c>
      <c r="R21" s="16">
        <v>0.63124899999999995</v>
      </c>
      <c r="S21" s="16">
        <v>0.63122400000000001</v>
      </c>
      <c r="T21" s="16">
        <v>0.63119899999999995</v>
      </c>
      <c r="U21" s="16">
        <v>0.63117500000000004</v>
      </c>
      <c r="V21" s="16">
        <v>0.63115200000000005</v>
      </c>
      <c r="W21" s="16">
        <v>0.63112900000000005</v>
      </c>
      <c r="X21" s="16">
        <v>0.63110599999999994</v>
      </c>
      <c r="Y21" s="16">
        <v>0.63108399999999998</v>
      </c>
      <c r="Z21" s="16">
        <v>0.63106200000000001</v>
      </c>
      <c r="AA21" s="16">
        <v>0.66083899999999995</v>
      </c>
      <c r="AB21" s="16">
        <v>0.64853799999999995</v>
      </c>
      <c r="AC21" s="16">
        <v>0.645478</v>
      </c>
      <c r="AD21" s="16">
        <v>0.68228299999999997</v>
      </c>
      <c r="AE21" s="16">
        <v>0.707677</v>
      </c>
      <c r="AF21" s="16">
        <v>0.71817799999999998</v>
      </c>
      <c r="AG21" s="16">
        <v>0.73814299999999999</v>
      </c>
      <c r="AH21" s="16">
        <v>0.77892099999999997</v>
      </c>
      <c r="AI21" s="16">
        <v>0.65586299999999997</v>
      </c>
      <c r="AJ21" s="16">
        <v>0.63184700000000005</v>
      </c>
      <c r="AK21" s="16">
        <v>0.63085100000000005</v>
      </c>
      <c r="AL21" s="16">
        <v>0.63083400000000001</v>
      </c>
      <c r="AM21" s="13">
        <v>9.332E-3</v>
      </c>
    </row>
    <row r="22" spans="1:39" ht="15" customHeight="1" x14ac:dyDescent="0.25">
      <c r="A22" s="7" t="s">
        <v>522</v>
      </c>
      <c r="B22" s="11" t="s">
        <v>523</v>
      </c>
      <c r="C22" s="16">
        <v>-0.124</v>
      </c>
      <c r="D22" s="16">
        <v>8.5999999999999993E-2</v>
      </c>
      <c r="E22" s="16">
        <v>0.25600000000000001</v>
      </c>
      <c r="F22" s="16">
        <v>1.37E-2</v>
      </c>
      <c r="G22" s="16">
        <v>1.37E-2</v>
      </c>
      <c r="H22" s="16">
        <v>1.366E-2</v>
      </c>
      <c r="I22" s="16">
        <v>1.575E-2</v>
      </c>
      <c r="J22" s="16">
        <v>3.4250000000000003E-2</v>
      </c>
      <c r="K22" s="16">
        <v>7.7399999999999997E-2</v>
      </c>
      <c r="L22" s="16">
        <v>9.5630000000000007E-2</v>
      </c>
      <c r="M22" s="16">
        <v>7.1919999999999998E-2</v>
      </c>
      <c r="N22" s="16">
        <v>0</v>
      </c>
      <c r="O22" s="16">
        <v>0</v>
      </c>
      <c r="P22" s="16">
        <v>0</v>
      </c>
      <c r="Q22" s="16">
        <v>0</v>
      </c>
      <c r="R22" s="16">
        <v>0</v>
      </c>
      <c r="S22" s="16">
        <v>0</v>
      </c>
      <c r="T22" s="16">
        <v>0</v>
      </c>
      <c r="U22" s="16">
        <v>0</v>
      </c>
      <c r="V22" s="16">
        <v>0</v>
      </c>
      <c r="W22" s="16">
        <v>0</v>
      </c>
      <c r="X22" s="16">
        <v>0</v>
      </c>
      <c r="Y22" s="16">
        <v>0</v>
      </c>
      <c r="Z22" s="16">
        <v>0</v>
      </c>
      <c r="AA22" s="16">
        <v>0</v>
      </c>
      <c r="AB22" s="16">
        <v>0</v>
      </c>
      <c r="AC22" s="16">
        <v>0</v>
      </c>
      <c r="AD22" s="16">
        <v>0</v>
      </c>
      <c r="AE22" s="16">
        <v>0</v>
      </c>
      <c r="AF22" s="16">
        <v>0</v>
      </c>
      <c r="AG22" s="16">
        <v>0</v>
      </c>
      <c r="AH22" s="16">
        <v>0</v>
      </c>
      <c r="AI22" s="16">
        <v>0</v>
      </c>
      <c r="AJ22" s="16">
        <v>0</v>
      </c>
      <c r="AK22" s="16">
        <v>0</v>
      </c>
      <c r="AL22" s="16">
        <v>0</v>
      </c>
      <c r="AM22" s="13" t="s">
        <v>13</v>
      </c>
    </row>
    <row r="23" spans="1:39" ht="15" customHeight="1" x14ac:dyDescent="0.25">
      <c r="A23" s="7" t="s">
        <v>524</v>
      </c>
      <c r="B23" s="10" t="s">
        <v>525</v>
      </c>
      <c r="C23" s="17">
        <v>16.188998999999999</v>
      </c>
      <c r="D23" s="17">
        <v>16.300550000000001</v>
      </c>
      <c r="E23" s="17">
        <v>16.515841999999999</v>
      </c>
      <c r="F23" s="17">
        <v>16.582553999999998</v>
      </c>
      <c r="G23" s="17">
        <v>16.680562999999999</v>
      </c>
      <c r="H23" s="17">
        <v>16.592345999999999</v>
      </c>
      <c r="I23" s="17">
        <v>16.839758</v>
      </c>
      <c r="J23" s="17">
        <v>17.058205000000001</v>
      </c>
      <c r="K23" s="17">
        <v>17.208075999999998</v>
      </c>
      <c r="L23" s="17">
        <v>17.321262000000001</v>
      </c>
      <c r="M23" s="17">
        <v>17.355484000000001</v>
      </c>
      <c r="N23" s="17">
        <v>17.378359</v>
      </c>
      <c r="O23" s="17">
        <v>17.291398999999998</v>
      </c>
      <c r="P23" s="17">
        <v>17.124777000000002</v>
      </c>
      <c r="Q23" s="17">
        <v>17.255074</v>
      </c>
      <c r="R23" s="17">
        <v>17.382605000000002</v>
      </c>
      <c r="S23" s="17">
        <v>17.286342999999999</v>
      </c>
      <c r="T23" s="17">
        <v>17.260121999999999</v>
      </c>
      <c r="U23" s="17">
        <v>17.128782000000001</v>
      </c>
      <c r="V23" s="17">
        <v>17.185721999999998</v>
      </c>
      <c r="W23" s="17">
        <v>17.229835999999999</v>
      </c>
      <c r="X23" s="17">
        <v>17.265263000000001</v>
      </c>
      <c r="Y23" s="17">
        <v>17.353991000000001</v>
      </c>
      <c r="Z23" s="17">
        <v>17.212475000000001</v>
      </c>
      <c r="AA23" s="17">
        <v>17.362053</v>
      </c>
      <c r="AB23" s="17">
        <v>17.471364999999999</v>
      </c>
      <c r="AC23" s="17">
        <v>17.413005999999999</v>
      </c>
      <c r="AD23" s="17">
        <v>17.490704999999998</v>
      </c>
      <c r="AE23" s="17">
        <v>17.426272999999998</v>
      </c>
      <c r="AF23" s="17">
        <v>17.481311999999999</v>
      </c>
      <c r="AG23" s="17">
        <v>17.516369000000001</v>
      </c>
      <c r="AH23" s="17">
        <v>17.583141000000001</v>
      </c>
      <c r="AI23" s="17">
        <v>17.707293</v>
      </c>
      <c r="AJ23" s="17">
        <v>17.683537000000001</v>
      </c>
      <c r="AK23" s="17">
        <v>17.681118000000001</v>
      </c>
      <c r="AL23" s="17">
        <v>17.811578999999998</v>
      </c>
      <c r="AM23" s="15">
        <v>2.611E-3</v>
      </c>
    </row>
    <row r="24" spans="1:39" ht="15" customHeight="1" x14ac:dyDescent="0.25"/>
    <row r="25" spans="1:39" ht="15" customHeight="1" x14ac:dyDescent="0.25">
      <c r="A25" s="7" t="s">
        <v>526</v>
      </c>
      <c r="B25" s="11" t="s">
        <v>527</v>
      </c>
      <c r="C25" s="16">
        <v>-2.1720000000000002</v>
      </c>
      <c r="D25" s="16">
        <v>-2.64</v>
      </c>
      <c r="E25" s="16">
        <v>-2.81</v>
      </c>
      <c r="F25" s="16">
        <v>-3.1533410000000002</v>
      </c>
      <c r="G25" s="16">
        <v>-3.4583219999999999</v>
      </c>
      <c r="H25" s="16">
        <v>-3.5722580000000002</v>
      </c>
      <c r="I25" s="16">
        <v>-3.947959</v>
      </c>
      <c r="J25" s="16">
        <v>-4.1381959999999998</v>
      </c>
      <c r="K25" s="16">
        <v>-4.3190980000000003</v>
      </c>
      <c r="L25" s="16">
        <v>-4.5425760000000004</v>
      </c>
      <c r="M25" s="16">
        <v>-4.7509870000000003</v>
      </c>
      <c r="N25" s="16">
        <v>-4.8868169999999997</v>
      </c>
      <c r="O25" s="16">
        <v>-4.8703779999999997</v>
      </c>
      <c r="P25" s="16">
        <v>-4.7856079999999999</v>
      </c>
      <c r="Q25" s="16">
        <v>-4.9982249999999997</v>
      </c>
      <c r="R25" s="16">
        <v>-5.1994939999999996</v>
      </c>
      <c r="S25" s="16">
        <v>-5.1241779999999997</v>
      </c>
      <c r="T25" s="16">
        <v>-5.1682449999999998</v>
      </c>
      <c r="U25" s="16">
        <v>-5.0793910000000002</v>
      </c>
      <c r="V25" s="16">
        <v>-5.1348549999999999</v>
      </c>
      <c r="W25" s="16">
        <v>-5.1518949999999997</v>
      </c>
      <c r="X25" s="16">
        <v>-5.1806669999999997</v>
      </c>
      <c r="Y25" s="16">
        <v>-5.2319250000000004</v>
      </c>
      <c r="Z25" s="16">
        <v>-5.0283720000000001</v>
      </c>
      <c r="AA25" s="16">
        <v>-5.0571210000000004</v>
      </c>
      <c r="AB25" s="16">
        <v>-5.1088579999999997</v>
      </c>
      <c r="AC25" s="16">
        <v>-4.9851530000000004</v>
      </c>
      <c r="AD25" s="16">
        <v>-4.9612249999999998</v>
      </c>
      <c r="AE25" s="16">
        <v>-4.7968919999999997</v>
      </c>
      <c r="AF25" s="16">
        <v>-4.7473109999999998</v>
      </c>
      <c r="AG25" s="16">
        <v>-4.685721</v>
      </c>
      <c r="AH25" s="16">
        <v>-4.6423740000000002</v>
      </c>
      <c r="AI25" s="16">
        <v>-4.6240420000000002</v>
      </c>
      <c r="AJ25" s="16">
        <v>-4.4460639999999998</v>
      </c>
      <c r="AK25" s="16">
        <v>-4.2779230000000004</v>
      </c>
      <c r="AL25" s="16">
        <v>-4.2661680000000004</v>
      </c>
      <c r="AM25" s="13">
        <v>1.4215999999999999E-2</v>
      </c>
    </row>
    <row r="26" spans="1:39" ht="15" customHeight="1" x14ac:dyDescent="0.25">
      <c r="A26" s="7" t="s">
        <v>528</v>
      </c>
      <c r="B26" s="11" t="s">
        <v>529</v>
      </c>
      <c r="C26" s="16">
        <v>0.89400000000000002</v>
      </c>
      <c r="D26" s="16">
        <v>0.83199999999999996</v>
      </c>
      <c r="E26" s="16">
        <v>0.97099999999999997</v>
      </c>
      <c r="F26" s="16">
        <v>1.0384279999999999</v>
      </c>
      <c r="G26" s="16">
        <v>0.992483</v>
      </c>
      <c r="H26" s="16">
        <v>0.96079899999999996</v>
      </c>
      <c r="I26" s="16">
        <v>0.96833400000000003</v>
      </c>
      <c r="J26" s="16">
        <v>1.031177</v>
      </c>
      <c r="K26" s="16">
        <v>1.073663</v>
      </c>
      <c r="L26" s="16">
        <v>1.087966</v>
      </c>
      <c r="M26" s="16">
        <v>1.1164810000000001</v>
      </c>
      <c r="N26" s="16">
        <v>1.1227180000000001</v>
      </c>
      <c r="O26" s="16">
        <v>1.1228210000000001</v>
      </c>
      <c r="P26" s="16">
        <v>1.1064130000000001</v>
      </c>
      <c r="Q26" s="16">
        <v>1.113591</v>
      </c>
      <c r="R26" s="16">
        <v>1.127845</v>
      </c>
      <c r="S26" s="16">
        <v>1.170374</v>
      </c>
      <c r="T26" s="16">
        <v>1.186707</v>
      </c>
      <c r="U26" s="16">
        <v>1.1913149999999999</v>
      </c>
      <c r="V26" s="16">
        <v>1.2195100000000001</v>
      </c>
      <c r="W26" s="16">
        <v>1.2487550000000001</v>
      </c>
      <c r="X26" s="16">
        <v>1.276608</v>
      </c>
      <c r="Y26" s="16">
        <v>1.2839849999999999</v>
      </c>
      <c r="Z26" s="16">
        <v>1.2973699999999999</v>
      </c>
      <c r="AA26" s="16">
        <v>1.3430949999999999</v>
      </c>
      <c r="AB26" s="16">
        <v>1.368922</v>
      </c>
      <c r="AC26" s="16">
        <v>1.3375239999999999</v>
      </c>
      <c r="AD26" s="16">
        <v>1.3459220000000001</v>
      </c>
      <c r="AE26" s="16">
        <v>1.344319</v>
      </c>
      <c r="AF26" s="16">
        <v>1.351342</v>
      </c>
      <c r="AG26" s="16">
        <v>1.3581099999999999</v>
      </c>
      <c r="AH26" s="16">
        <v>1.3615120000000001</v>
      </c>
      <c r="AI26" s="16">
        <v>1.352168</v>
      </c>
      <c r="AJ26" s="16">
        <v>1.3451470000000001</v>
      </c>
      <c r="AK26" s="16">
        <v>1.3483529999999999</v>
      </c>
      <c r="AL26" s="16">
        <v>1.3546339999999999</v>
      </c>
      <c r="AM26" s="13">
        <v>1.444E-2</v>
      </c>
    </row>
    <row r="27" spans="1:39" ht="15" customHeight="1" x14ac:dyDescent="0.25">
      <c r="A27" s="7" t="s">
        <v>530</v>
      </c>
      <c r="B27" s="11" t="s">
        <v>531</v>
      </c>
      <c r="C27" s="16">
        <v>0.54700000000000004</v>
      </c>
      <c r="D27" s="16">
        <v>0.56999999999999995</v>
      </c>
      <c r="E27" s="16">
        <v>0.56000000000000005</v>
      </c>
      <c r="F27" s="16">
        <v>0.53412000000000004</v>
      </c>
      <c r="G27" s="16">
        <v>0.53419099999999997</v>
      </c>
      <c r="H27" s="16">
        <v>0.53046099999999996</v>
      </c>
      <c r="I27" s="16">
        <v>0.52449599999999996</v>
      </c>
      <c r="J27" s="16">
        <v>0.51694700000000005</v>
      </c>
      <c r="K27" s="16">
        <v>0.510598</v>
      </c>
      <c r="L27" s="16">
        <v>0.50424899999999995</v>
      </c>
      <c r="M27" s="16">
        <v>0.49827199999999999</v>
      </c>
      <c r="N27" s="16">
        <v>0.49096699999999999</v>
      </c>
      <c r="O27" s="16">
        <v>0.48366199999999998</v>
      </c>
      <c r="P27" s="16">
        <v>0.47635699999999997</v>
      </c>
      <c r="Q27" s="16">
        <v>0.46905200000000002</v>
      </c>
      <c r="R27" s="16">
        <v>0.46174599999999999</v>
      </c>
      <c r="S27" s="16">
        <v>0.45444099999999998</v>
      </c>
      <c r="T27" s="16">
        <v>0.44713599999999998</v>
      </c>
      <c r="U27" s="16">
        <v>0.43983100000000003</v>
      </c>
      <c r="V27" s="16">
        <v>0.43252600000000002</v>
      </c>
      <c r="W27" s="16">
        <v>0.42522100000000002</v>
      </c>
      <c r="X27" s="16">
        <v>0.41791499999999998</v>
      </c>
      <c r="Y27" s="16">
        <v>0.41060999999999998</v>
      </c>
      <c r="Z27" s="16">
        <v>0.40330500000000002</v>
      </c>
      <c r="AA27" s="16">
        <v>0.39600000000000002</v>
      </c>
      <c r="AB27" s="16">
        <v>0.38869500000000001</v>
      </c>
      <c r="AC27" s="16">
        <v>0.38345800000000002</v>
      </c>
      <c r="AD27" s="16">
        <v>0.37822099999999997</v>
      </c>
      <c r="AE27" s="16">
        <v>0.37298399999999998</v>
      </c>
      <c r="AF27" s="16">
        <v>0.36774699999999999</v>
      </c>
      <c r="AG27" s="16">
        <v>0.36251</v>
      </c>
      <c r="AH27" s="16">
        <v>0.35727300000000001</v>
      </c>
      <c r="AI27" s="16">
        <v>0.35203600000000002</v>
      </c>
      <c r="AJ27" s="16">
        <v>0.34679900000000002</v>
      </c>
      <c r="AK27" s="16">
        <v>0.34156300000000001</v>
      </c>
      <c r="AL27" s="16">
        <v>0.33632600000000001</v>
      </c>
      <c r="AM27" s="13">
        <v>-1.5396999999999999E-2</v>
      </c>
    </row>
    <row r="28" spans="1:39" ht="15" customHeight="1" x14ac:dyDescent="0.25">
      <c r="A28" s="7" t="s">
        <v>532</v>
      </c>
      <c r="B28" s="11" t="s">
        <v>533</v>
      </c>
      <c r="C28" s="16">
        <v>0.60299999999999998</v>
      </c>
      <c r="D28" s="16">
        <v>0.622</v>
      </c>
      <c r="E28" s="16">
        <v>0.60599999999999998</v>
      </c>
      <c r="F28" s="16">
        <v>0.57203899999999996</v>
      </c>
      <c r="G28" s="16">
        <v>0.55718599999999996</v>
      </c>
      <c r="H28" s="16">
        <v>0.54121699999999995</v>
      </c>
      <c r="I28" s="16">
        <v>0.532412</v>
      </c>
      <c r="J28" s="16">
        <v>0.53307499999999997</v>
      </c>
      <c r="K28" s="16">
        <v>0.52960499999999999</v>
      </c>
      <c r="L28" s="16">
        <v>0.53564400000000001</v>
      </c>
      <c r="M28" s="16">
        <v>0.52723299999999995</v>
      </c>
      <c r="N28" s="16">
        <v>0.517536</v>
      </c>
      <c r="O28" s="16">
        <v>0.51205299999999998</v>
      </c>
      <c r="P28" s="16">
        <v>0.486649</v>
      </c>
      <c r="Q28" s="16">
        <v>0.47461399999999998</v>
      </c>
      <c r="R28" s="16">
        <v>0.46173500000000001</v>
      </c>
      <c r="S28" s="16">
        <v>0.44653399999999999</v>
      </c>
      <c r="T28" s="16">
        <v>0.43326500000000001</v>
      </c>
      <c r="U28" s="16">
        <v>0.41660799999999998</v>
      </c>
      <c r="V28" s="16">
        <v>0.40223599999999998</v>
      </c>
      <c r="W28" s="16">
        <v>0.387546</v>
      </c>
      <c r="X28" s="16">
        <v>0.37398500000000001</v>
      </c>
      <c r="Y28" s="16">
        <v>0.36141000000000001</v>
      </c>
      <c r="Z28" s="16">
        <v>0.341082</v>
      </c>
      <c r="AA28" s="16">
        <v>0.332287</v>
      </c>
      <c r="AB28" s="16">
        <v>0.32340400000000002</v>
      </c>
      <c r="AC28" s="16">
        <v>0.29379699999999997</v>
      </c>
      <c r="AD28" s="16">
        <v>0.29581800000000003</v>
      </c>
      <c r="AE28" s="16">
        <v>0.28386800000000001</v>
      </c>
      <c r="AF28" s="16">
        <v>0.27749499999999999</v>
      </c>
      <c r="AG28" s="16">
        <v>0.28509600000000002</v>
      </c>
      <c r="AH28" s="16">
        <v>0.28039500000000001</v>
      </c>
      <c r="AI28" s="16">
        <v>0.28059699999999999</v>
      </c>
      <c r="AJ28" s="16">
        <v>0.27532400000000001</v>
      </c>
      <c r="AK28" s="16">
        <v>0.272337</v>
      </c>
      <c r="AL28" s="16">
        <v>0.27082099999999998</v>
      </c>
      <c r="AM28" s="13">
        <v>-2.4159E-2</v>
      </c>
    </row>
    <row r="29" spans="1:39" ht="15" customHeight="1" x14ac:dyDescent="0.25">
      <c r="A29" s="7" t="s">
        <v>534</v>
      </c>
      <c r="B29" s="11" t="s">
        <v>535</v>
      </c>
      <c r="C29" s="16">
        <v>4.2119999999999997</v>
      </c>
      <c r="D29" s="16">
        <v>4.6639999999999997</v>
      </c>
      <c r="E29" s="16">
        <v>4.9470000000000001</v>
      </c>
      <c r="F29" s="16">
        <v>5.2979279999999997</v>
      </c>
      <c r="G29" s="16">
        <v>5.5421820000000004</v>
      </c>
      <c r="H29" s="16">
        <v>5.6047339999999997</v>
      </c>
      <c r="I29" s="16">
        <v>5.9732019999999997</v>
      </c>
      <c r="J29" s="16">
        <v>6.2193949999999996</v>
      </c>
      <c r="K29" s="16">
        <v>6.4329640000000001</v>
      </c>
      <c r="L29" s="16">
        <v>6.6704350000000003</v>
      </c>
      <c r="M29" s="16">
        <v>6.8929729999999996</v>
      </c>
      <c r="N29" s="16">
        <v>7.0180389999999999</v>
      </c>
      <c r="O29" s="16">
        <v>6.9889130000000002</v>
      </c>
      <c r="P29" s="16">
        <v>6.8550269999999998</v>
      </c>
      <c r="Q29" s="16">
        <v>7.0554819999999996</v>
      </c>
      <c r="R29" s="16">
        <v>7.25082</v>
      </c>
      <c r="S29" s="16">
        <v>7.1955280000000004</v>
      </c>
      <c r="T29" s="16">
        <v>7.2353529999999999</v>
      </c>
      <c r="U29" s="16">
        <v>7.1271449999999996</v>
      </c>
      <c r="V29" s="16">
        <v>7.1891280000000002</v>
      </c>
      <c r="W29" s="16">
        <v>7.2134159999999996</v>
      </c>
      <c r="X29" s="16">
        <v>7.2491750000000001</v>
      </c>
      <c r="Y29" s="16">
        <v>7.2879300000000002</v>
      </c>
      <c r="Z29" s="16">
        <v>7.0701280000000004</v>
      </c>
      <c r="AA29" s="16">
        <v>7.1285020000000001</v>
      </c>
      <c r="AB29" s="16">
        <v>7.1898780000000002</v>
      </c>
      <c r="AC29" s="16">
        <v>6.9999320000000003</v>
      </c>
      <c r="AD29" s="16">
        <v>6.981185</v>
      </c>
      <c r="AE29" s="16">
        <v>6.7980619999999998</v>
      </c>
      <c r="AF29" s="16">
        <v>6.7438950000000002</v>
      </c>
      <c r="AG29" s="16">
        <v>6.6914369999999996</v>
      </c>
      <c r="AH29" s="16">
        <v>6.6415540000000002</v>
      </c>
      <c r="AI29" s="16">
        <v>6.6088440000000004</v>
      </c>
      <c r="AJ29" s="16">
        <v>6.413335</v>
      </c>
      <c r="AK29" s="16">
        <v>6.2401749999999998</v>
      </c>
      <c r="AL29" s="16">
        <v>6.2279489999999997</v>
      </c>
      <c r="AM29" s="13">
        <v>8.541E-3</v>
      </c>
    </row>
    <row r="30" spans="1:39" ht="15" customHeight="1" x14ac:dyDescent="0.25">
      <c r="A30" s="7" t="s">
        <v>536</v>
      </c>
      <c r="B30" s="11" t="s">
        <v>537</v>
      </c>
      <c r="C30" s="16">
        <v>1.0620000000000001</v>
      </c>
      <c r="D30" s="16">
        <v>1.0840000000000001</v>
      </c>
      <c r="E30" s="16">
        <v>1.0649999999999999</v>
      </c>
      <c r="F30" s="16">
        <v>1.069814</v>
      </c>
      <c r="G30" s="16">
        <v>1.073987</v>
      </c>
      <c r="H30" s="16">
        <v>1.0634889999999999</v>
      </c>
      <c r="I30" s="16">
        <v>1.042915</v>
      </c>
      <c r="J30" s="16">
        <v>1.0469619999999999</v>
      </c>
      <c r="K30" s="16">
        <v>1.043145</v>
      </c>
      <c r="L30" s="16">
        <v>1.035347</v>
      </c>
      <c r="M30" s="16">
        <v>1.0235430000000001</v>
      </c>
      <c r="N30" s="16">
        <v>1.01953</v>
      </c>
      <c r="O30" s="16">
        <v>1.0139640000000001</v>
      </c>
      <c r="P30" s="16">
        <v>1.0193680000000001</v>
      </c>
      <c r="Q30" s="16">
        <v>1.0136529999999999</v>
      </c>
      <c r="R30" s="16">
        <v>1.0116229999999999</v>
      </c>
      <c r="S30" s="16">
        <v>1.016438</v>
      </c>
      <c r="T30" s="16">
        <v>1.0167459999999999</v>
      </c>
      <c r="U30" s="16">
        <v>1.014783</v>
      </c>
      <c r="V30" s="16">
        <v>1.012551</v>
      </c>
      <c r="W30" s="16">
        <v>1.006232</v>
      </c>
      <c r="X30" s="16">
        <v>1.0131589999999999</v>
      </c>
      <c r="Y30" s="16">
        <v>1.012386</v>
      </c>
      <c r="Z30" s="16">
        <v>1.0168759999999999</v>
      </c>
      <c r="AA30" s="16">
        <v>1.0233479999999999</v>
      </c>
      <c r="AB30" s="16">
        <v>1.0208459999999999</v>
      </c>
      <c r="AC30" s="16">
        <v>1.0105980000000001</v>
      </c>
      <c r="AD30" s="16">
        <v>1.01627</v>
      </c>
      <c r="AE30" s="16">
        <v>1.0091030000000001</v>
      </c>
      <c r="AF30" s="16">
        <v>1.008078</v>
      </c>
      <c r="AG30" s="16">
        <v>1.0110079999999999</v>
      </c>
      <c r="AH30" s="16">
        <v>1.014931</v>
      </c>
      <c r="AI30" s="16">
        <v>1.0034019999999999</v>
      </c>
      <c r="AJ30" s="16">
        <v>0.993035</v>
      </c>
      <c r="AK30" s="16">
        <v>0.99355000000000004</v>
      </c>
      <c r="AL30" s="16">
        <v>1.000167</v>
      </c>
      <c r="AM30" s="13">
        <v>-2.3649999999999999E-3</v>
      </c>
    </row>
    <row r="31" spans="1:39" ht="15" customHeight="1" x14ac:dyDescent="0.25">
      <c r="A31" s="7" t="s">
        <v>538</v>
      </c>
      <c r="B31" s="11" t="s">
        <v>539</v>
      </c>
      <c r="C31" s="16">
        <v>-0.18</v>
      </c>
      <c r="D31" s="16">
        <v>0</v>
      </c>
      <c r="E31" s="16">
        <v>0</v>
      </c>
      <c r="F31" s="16">
        <v>0</v>
      </c>
      <c r="G31" s="16">
        <v>0</v>
      </c>
      <c r="H31" s="16">
        <v>0</v>
      </c>
      <c r="I31" s="16">
        <v>0</v>
      </c>
      <c r="J31" s="16">
        <v>0</v>
      </c>
      <c r="K31" s="16">
        <v>0</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6">
        <v>0</v>
      </c>
      <c r="AL31" s="16">
        <v>0</v>
      </c>
      <c r="AM31" s="13" t="s">
        <v>13</v>
      </c>
    </row>
    <row r="32" spans="1:39" ht="15" customHeight="1" x14ac:dyDescent="0.25">
      <c r="A32" s="7" t="s">
        <v>540</v>
      </c>
      <c r="B32" s="11" t="s">
        <v>541</v>
      </c>
      <c r="C32" s="16">
        <v>3.2730000000000001</v>
      </c>
      <c r="D32" s="16">
        <v>3.522497</v>
      </c>
      <c r="E32" s="16">
        <v>3.8194530000000002</v>
      </c>
      <c r="F32" s="16">
        <v>4.1732709999999997</v>
      </c>
      <c r="G32" s="16">
        <v>4.4822069999999998</v>
      </c>
      <c r="H32" s="16">
        <v>4.6517340000000003</v>
      </c>
      <c r="I32" s="16">
        <v>4.80396</v>
      </c>
      <c r="J32" s="16">
        <v>4.7821210000000001</v>
      </c>
      <c r="K32" s="16">
        <v>4.7809650000000001</v>
      </c>
      <c r="L32" s="16">
        <v>4.8008420000000003</v>
      </c>
      <c r="M32" s="16">
        <v>4.8258359999999998</v>
      </c>
      <c r="N32" s="16">
        <v>4.8156739999999996</v>
      </c>
      <c r="O32" s="16">
        <v>4.7721</v>
      </c>
      <c r="P32" s="16">
        <v>4.7346120000000003</v>
      </c>
      <c r="Q32" s="16">
        <v>4.7394889999999998</v>
      </c>
      <c r="R32" s="16">
        <v>4.746111</v>
      </c>
      <c r="S32" s="16">
        <v>4.6830569999999998</v>
      </c>
      <c r="T32" s="16">
        <v>4.6802149999999996</v>
      </c>
      <c r="U32" s="16">
        <v>4.6802590000000004</v>
      </c>
      <c r="V32" s="16">
        <v>4.6916950000000002</v>
      </c>
      <c r="W32" s="16">
        <v>4.6951450000000001</v>
      </c>
      <c r="X32" s="16">
        <v>4.7101959999999998</v>
      </c>
      <c r="Y32" s="16">
        <v>4.7239890000000004</v>
      </c>
      <c r="Z32" s="16">
        <v>4.7383369999999996</v>
      </c>
      <c r="AA32" s="16">
        <v>4.6991389999999997</v>
      </c>
      <c r="AB32" s="16">
        <v>4.7118000000000002</v>
      </c>
      <c r="AC32" s="16">
        <v>4.7234850000000002</v>
      </c>
      <c r="AD32" s="16">
        <v>4.7036259999999999</v>
      </c>
      <c r="AE32" s="16">
        <v>4.7201820000000003</v>
      </c>
      <c r="AF32" s="16">
        <v>4.725079</v>
      </c>
      <c r="AG32" s="16">
        <v>4.7283280000000003</v>
      </c>
      <c r="AH32" s="16">
        <v>4.714194</v>
      </c>
      <c r="AI32" s="16">
        <v>4.6997739999999997</v>
      </c>
      <c r="AJ32" s="16">
        <v>4.6713060000000004</v>
      </c>
      <c r="AK32" s="16">
        <v>4.6403740000000004</v>
      </c>
      <c r="AL32" s="16">
        <v>4.6579179999999996</v>
      </c>
      <c r="AM32" s="13">
        <v>8.2509999999999997E-3</v>
      </c>
    </row>
    <row r="33" spans="1:39" ht="15" customHeight="1" x14ac:dyDescent="0.25">
      <c r="A33" s="7" t="s">
        <v>542</v>
      </c>
      <c r="B33" s="11" t="s">
        <v>543</v>
      </c>
      <c r="C33" s="16">
        <v>1.0089710000000001</v>
      </c>
      <c r="D33" s="16">
        <v>1.053534</v>
      </c>
      <c r="E33" s="16">
        <v>1.0776060000000001</v>
      </c>
      <c r="F33" s="16">
        <v>1.0997779999999999</v>
      </c>
      <c r="G33" s="16">
        <v>1.1057110000000001</v>
      </c>
      <c r="H33" s="16">
        <v>1.102533</v>
      </c>
      <c r="I33" s="16">
        <v>1.090705</v>
      </c>
      <c r="J33" s="16">
        <v>1.0827059999999999</v>
      </c>
      <c r="K33" s="16">
        <v>1.0764009999999999</v>
      </c>
      <c r="L33" s="16">
        <v>1.0698300000000001</v>
      </c>
      <c r="M33" s="16">
        <v>1.0637509999999999</v>
      </c>
      <c r="N33" s="16">
        <v>1.048386</v>
      </c>
      <c r="O33" s="16">
        <v>1.039345</v>
      </c>
      <c r="P33" s="16">
        <v>1.0347729999999999</v>
      </c>
      <c r="Q33" s="16">
        <v>1.0292110000000001</v>
      </c>
      <c r="R33" s="16">
        <v>1.0250760000000001</v>
      </c>
      <c r="S33" s="16">
        <v>1.0193570000000001</v>
      </c>
      <c r="T33" s="16">
        <v>1.0145109999999999</v>
      </c>
      <c r="U33" s="16">
        <v>1.011808</v>
      </c>
      <c r="V33" s="16">
        <v>1.0114080000000001</v>
      </c>
      <c r="W33" s="16">
        <v>1.0120739999999999</v>
      </c>
      <c r="X33" s="16">
        <v>1.012257</v>
      </c>
      <c r="Y33" s="16">
        <v>1.0125599999999999</v>
      </c>
      <c r="Z33" s="16">
        <v>1.01284</v>
      </c>
      <c r="AA33" s="16">
        <v>1.013085</v>
      </c>
      <c r="AB33" s="16">
        <v>1.0131600000000001</v>
      </c>
      <c r="AC33" s="16">
        <v>1.013468</v>
      </c>
      <c r="AD33" s="16">
        <v>1.0141389999999999</v>
      </c>
      <c r="AE33" s="16">
        <v>1.01522</v>
      </c>
      <c r="AF33" s="16">
        <v>1.022527</v>
      </c>
      <c r="AG33" s="16">
        <v>1.0349740000000001</v>
      </c>
      <c r="AH33" s="16">
        <v>1.0508869999999999</v>
      </c>
      <c r="AI33" s="16">
        <v>1.0744009999999999</v>
      </c>
      <c r="AJ33" s="16">
        <v>1.0965579999999999</v>
      </c>
      <c r="AK33" s="16">
        <v>1.1192390000000001</v>
      </c>
      <c r="AL33" s="16">
        <v>1.1340589999999999</v>
      </c>
      <c r="AM33" s="13">
        <v>2.1689999999999999E-3</v>
      </c>
    </row>
    <row r="34" spans="1:39" ht="15" customHeight="1" x14ac:dyDescent="0.25">
      <c r="A34" s="7" t="s">
        <v>544</v>
      </c>
      <c r="B34" s="11" t="s">
        <v>545</v>
      </c>
      <c r="C34" s="16">
        <v>0.89357299999999995</v>
      </c>
      <c r="D34" s="16">
        <v>0.91048499999999999</v>
      </c>
      <c r="E34" s="16">
        <v>0.91386000000000001</v>
      </c>
      <c r="F34" s="16">
        <v>0.92518199999999995</v>
      </c>
      <c r="G34" s="16">
        <v>0.91946600000000001</v>
      </c>
      <c r="H34" s="16">
        <v>0.91035699999999997</v>
      </c>
      <c r="I34" s="16">
        <v>0.899536</v>
      </c>
      <c r="J34" s="16">
        <v>0.89121600000000001</v>
      </c>
      <c r="K34" s="16">
        <v>0.884606</v>
      </c>
      <c r="L34" s="16">
        <v>0.87933300000000003</v>
      </c>
      <c r="M34" s="16">
        <v>0.87333400000000005</v>
      </c>
      <c r="N34" s="16">
        <v>0.86168500000000003</v>
      </c>
      <c r="O34" s="16">
        <v>0.85321000000000002</v>
      </c>
      <c r="P34" s="16">
        <v>0.84845000000000004</v>
      </c>
      <c r="Q34" s="16">
        <v>0.84269099999999997</v>
      </c>
      <c r="R34" s="16">
        <v>0.83833899999999995</v>
      </c>
      <c r="S34" s="16">
        <v>0.83245899999999995</v>
      </c>
      <c r="T34" s="16">
        <v>0.82741500000000001</v>
      </c>
      <c r="U34" s="16">
        <v>0.82433800000000002</v>
      </c>
      <c r="V34" s="16">
        <v>0.82356499999999999</v>
      </c>
      <c r="W34" s="16">
        <v>0.82392399999999999</v>
      </c>
      <c r="X34" s="16">
        <v>0.82394500000000004</v>
      </c>
      <c r="Y34" s="16">
        <v>0.82394599999999996</v>
      </c>
      <c r="Z34" s="16">
        <v>0.82392500000000002</v>
      </c>
      <c r="AA34" s="16">
        <v>0.82395600000000002</v>
      </c>
      <c r="AB34" s="16">
        <v>0.82394199999999995</v>
      </c>
      <c r="AC34" s="16">
        <v>0.82394299999999998</v>
      </c>
      <c r="AD34" s="16">
        <v>0.82484500000000005</v>
      </c>
      <c r="AE34" s="16">
        <v>0.82687299999999997</v>
      </c>
      <c r="AF34" s="16">
        <v>0.83394100000000004</v>
      </c>
      <c r="AG34" s="16">
        <v>0.84615099999999999</v>
      </c>
      <c r="AH34" s="16">
        <v>0.86179899999999998</v>
      </c>
      <c r="AI34" s="16">
        <v>0.88322500000000004</v>
      </c>
      <c r="AJ34" s="16">
        <v>0.90510199999999996</v>
      </c>
      <c r="AK34" s="16">
        <v>0.92752599999999996</v>
      </c>
      <c r="AL34" s="16">
        <v>0.94209699999999996</v>
      </c>
      <c r="AM34" s="13">
        <v>1.0039999999999999E-3</v>
      </c>
    </row>
    <row r="35" spans="1:39" ht="15" customHeight="1" x14ac:dyDescent="0.25">
      <c r="A35" s="7" t="s">
        <v>546</v>
      </c>
      <c r="B35" s="11" t="s">
        <v>547</v>
      </c>
      <c r="C35" s="16">
        <v>0.94194699999999998</v>
      </c>
      <c r="D35" s="16">
        <v>0.96339900000000001</v>
      </c>
      <c r="E35" s="16">
        <v>0.96827399999999997</v>
      </c>
      <c r="F35" s="16">
        <v>0.97806000000000004</v>
      </c>
      <c r="G35" s="16">
        <v>0.97646699999999997</v>
      </c>
      <c r="H35" s="16">
        <v>0.97148199999999996</v>
      </c>
      <c r="I35" s="16">
        <v>0.96478399999999997</v>
      </c>
      <c r="J35" s="16">
        <v>0.96058600000000005</v>
      </c>
      <c r="K35" s="16">
        <v>0.95809999999999995</v>
      </c>
      <c r="L35" s="16">
        <v>0.95694999999999997</v>
      </c>
      <c r="M35" s="16">
        <v>0.95507399999999998</v>
      </c>
      <c r="N35" s="16">
        <v>0.94754799999999995</v>
      </c>
      <c r="O35" s="16">
        <v>0.94319600000000003</v>
      </c>
      <c r="P35" s="16">
        <v>0.94255999999999995</v>
      </c>
      <c r="Q35" s="16">
        <v>0.94092399999999998</v>
      </c>
      <c r="R35" s="16">
        <v>0.94069499999999995</v>
      </c>
      <c r="S35" s="16">
        <v>0.92818299999999998</v>
      </c>
      <c r="T35" s="16">
        <v>0.92254199999999997</v>
      </c>
      <c r="U35" s="16">
        <v>0.92258600000000002</v>
      </c>
      <c r="V35" s="16">
        <v>0.92258499999999999</v>
      </c>
      <c r="W35" s="16">
        <v>0.92258499999999999</v>
      </c>
      <c r="X35" s="16">
        <v>0.92255900000000002</v>
      </c>
      <c r="Y35" s="16">
        <v>0.92181500000000005</v>
      </c>
      <c r="Z35" s="16">
        <v>0.920269</v>
      </c>
      <c r="AA35" s="16">
        <v>0.91882299999999995</v>
      </c>
      <c r="AB35" s="16">
        <v>0.91838799999999998</v>
      </c>
      <c r="AC35" s="16">
        <v>0.92157299999999998</v>
      </c>
      <c r="AD35" s="16">
        <v>0.92157299999999998</v>
      </c>
      <c r="AE35" s="16">
        <v>0.92157299999999998</v>
      </c>
      <c r="AF35" s="16">
        <v>0.92157299999999998</v>
      </c>
      <c r="AG35" s="16">
        <v>0.92252000000000001</v>
      </c>
      <c r="AH35" s="16">
        <v>0.92259999999999998</v>
      </c>
      <c r="AI35" s="16">
        <v>0.92305499999999996</v>
      </c>
      <c r="AJ35" s="16">
        <v>0.923933</v>
      </c>
      <c r="AK35" s="16">
        <v>0.91084799999999999</v>
      </c>
      <c r="AL35" s="16">
        <v>0.88432100000000002</v>
      </c>
      <c r="AM35" s="13">
        <v>-2.516E-3</v>
      </c>
    </row>
    <row r="36" spans="1:39" ht="15" customHeight="1" x14ac:dyDescent="0.25">
      <c r="A36" s="7" t="s">
        <v>548</v>
      </c>
      <c r="B36" s="11" t="s">
        <v>549</v>
      </c>
      <c r="C36" s="16">
        <v>-4.8374E-2</v>
      </c>
      <c r="D36" s="16">
        <v>-5.2914000000000003E-2</v>
      </c>
      <c r="E36" s="16">
        <v>-5.4413999999999997E-2</v>
      </c>
      <c r="F36" s="16">
        <v>-5.2878000000000001E-2</v>
      </c>
      <c r="G36" s="16">
        <v>-5.7001000000000003E-2</v>
      </c>
      <c r="H36" s="16">
        <v>-6.1123999999999998E-2</v>
      </c>
      <c r="I36" s="16">
        <v>-6.5246999999999999E-2</v>
      </c>
      <c r="J36" s="16">
        <v>-6.9371000000000002E-2</v>
      </c>
      <c r="K36" s="16">
        <v>-7.3494000000000004E-2</v>
      </c>
      <c r="L36" s="16">
        <v>-7.7617000000000005E-2</v>
      </c>
      <c r="M36" s="16">
        <v>-8.1739999999999993E-2</v>
      </c>
      <c r="N36" s="16">
        <v>-8.5862999999999995E-2</v>
      </c>
      <c r="O36" s="16">
        <v>-8.9985999999999997E-2</v>
      </c>
      <c r="P36" s="16">
        <v>-9.4108999999999998E-2</v>
      </c>
      <c r="Q36" s="16">
        <v>-9.8233000000000001E-2</v>
      </c>
      <c r="R36" s="16">
        <v>-0.102356</v>
      </c>
      <c r="S36" s="16">
        <v>-9.5725000000000005E-2</v>
      </c>
      <c r="T36" s="16">
        <v>-9.5127000000000003E-2</v>
      </c>
      <c r="U36" s="16">
        <v>-9.8248000000000002E-2</v>
      </c>
      <c r="V36" s="16">
        <v>-9.9019999999999997E-2</v>
      </c>
      <c r="W36" s="16">
        <v>-9.8660999999999999E-2</v>
      </c>
      <c r="X36" s="16">
        <v>-9.8613999999999993E-2</v>
      </c>
      <c r="Y36" s="16">
        <v>-9.7868999999999998E-2</v>
      </c>
      <c r="Z36" s="16">
        <v>-9.6343999999999999E-2</v>
      </c>
      <c r="AA36" s="16">
        <v>-9.4867000000000007E-2</v>
      </c>
      <c r="AB36" s="16">
        <v>-9.4445000000000001E-2</v>
      </c>
      <c r="AC36" s="16">
        <v>-9.7629999999999995E-2</v>
      </c>
      <c r="AD36" s="16">
        <v>-9.6727999999999995E-2</v>
      </c>
      <c r="AE36" s="16">
        <v>-9.4700000000000006E-2</v>
      </c>
      <c r="AF36" s="16">
        <v>-8.7632000000000002E-2</v>
      </c>
      <c r="AG36" s="16">
        <v>-7.6369000000000006E-2</v>
      </c>
      <c r="AH36" s="16">
        <v>-6.0801000000000001E-2</v>
      </c>
      <c r="AI36" s="16">
        <v>-3.9829999999999997E-2</v>
      </c>
      <c r="AJ36" s="16">
        <v>-1.8831000000000001E-2</v>
      </c>
      <c r="AK36" s="16">
        <v>1.6677999999999998E-2</v>
      </c>
      <c r="AL36" s="16">
        <v>5.7775E-2</v>
      </c>
      <c r="AM36" s="13" t="s">
        <v>13</v>
      </c>
    </row>
    <row r="37" spans="1:39" ht="15" customHeight="1" x14ac:dyDescent="0.25">
      <c r="A37" s="7" t="s">
        <v>550</v>
      </c>
      <c r="B37" s="11" t="s">
        <v>551</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v>0</v>
      </c>
      <c r="AM37" s="13" t="s">
        <v>13</v>
      </c>
    </row>
    <row r="38" spans="1:39" ht="15" customHeight="1" x14ac:dyDescent="0.25">
      <c r="A38" s="7" t="s">
        <v>552</v>
      </c>
      <c r="B38" s="11" t="s">
        <v>553</v>
      </c>
      <c r="C38" s="16">
        <v>0.112636</v>
      </c>
      <c r="D38" s="16">
        <v>0.14230000000000001</v>
      </c>
      <c r="E38" s="16">
        <v>0.149224</v>
      </c>
      <c r="F38" s="16">
        <v>0.15095900000000001</v>
      </c>
      <c r="G38" s="16">
        <v>0.15704000000000001</v>
      </c>
      <c r="H38" s="16">
        <v>0.15737899999999999</v>
      </c>
      <c r="I38" s="16">
        <v>0.15005299999999999</v>
      </c>
      <c r="J38" s="16">
        <v>0.13924300000000001</v>
      </c>
      <c r="K38" s="16">
        <v>0.125948</v>
      </c>
      <c r="L38" s="16">
        <v>0.109921</v>
      </c>
      <c r="M38" s="16">
        <v>9.0687000000000004E-2</v>
      </c>
      <c r="N38" s="16">
        <v>6.7707000000000003E-2</v>
      </c>
      <c r="O38" s="16">
        <v>4.5201999999999999E-2</v>
      </c>
      <c r="P38" s="16">
        <v>4.5392000000000002E-2</v>
      </c>
      <c r="Q38" s="16">
        <v>4.5599000000000001E-2</v>
      </c>
      <c r="R38" s="16">
        <v>4.5824999999999998E-2</v>
      </c>
      <c r="S38" s="16">
        <v>4.6006999999999999E-2</v>
      </c>
      <c r="T38" s="16">
        <v>4.6206999999999998E-2</v>
      </c>
      <c r="U38" s="16">
        <v>4.6574999999999998E-2</v>
      </c>
      <c r="V38" s="16">
        <v>4.6947999999999997E-2</v>
      </c>
      <c r="W38" s="16">
        <v>4.7253999999999997E-2</v>
      </c>
      <c r="X38" s="16">
        <v>4.7417000000000001E-2</v>
      </c>
      <c r="Y38" s="16">
        <v>4.7721E-2</v>
      </c>
      <c r="Z38" s="16">
        <v>4.8023000000000003E-2</v>
      </c>
      <c r="AA38" s="16">
        <v>4.8656999999999999E-2</v>
      </c>
      <c r="AB38" s="16">
        <v>4.8323999999999999E-2</v>
      </c>
      <c r="AC38" s="16">
        <v>4.8627999999999998E-2</v>
      </c>
      <c r="AD38" s="16">
        <v>4.9473000000000003E-2</v>
      </c>
      <c r="AE38" s="16">
        <v>4.9803E-2</v>
      </c>
      <c r="AF38" s="16">
        <v>5.0042999999999997E-2</v>
      </c>
      <c r="AG38" s="16">
        <v>5.0280999999999999E-2</v>
      </c>
      <c r="AH38" s="16">
        <v>5.0547000000000002E-2</v>
      </c>
      <c r="AI38" s="16">
        <v>5.0810000000000001E-2</v>
      </c>
      <c r="AJ38" s="16">
        <v>5.1090999999999998E-2</v>
      </c>
      <c r="AK38" s="16">
        <v>5.1347999999999998E-2</v>
      </c>
      <c r="AL38" s="16">
        <v>5.1026000000000002E-2</v>
      </c>
      <c r="AM38" s="13" t="s">
        <v>13</v>
      </c>
    </row>
    <row r="39" spans="1:39" ht="15" customHeight="1" x14ac:dyDescent="0.25">
      <c r="A39" s="7" t="s">
        <v>554</v>
      </c>
      <c r="B39" s="11" t="s">
        <v>547</v>
      </c>
      <c r="C39" s="16">
        <v>8.2000000000000003E-2</v>
      </c>
      <c r="D39" s="16">
        <v>9.9000000000000005E-2</v>
      </c>
      <c r="E39" s="16">
        <v>0.102324</v>
      </c>
      <c r="F39" s="16">
        <v>0.114784</v>
      </c>
      <c r="G39" s="16">
        <v>0.11791500000000001</v>
      </c>
      <c r="H39" s="16">
        <v>0.11888700000000001</v>
      </c>
      <c r="I39" s="16">
        <v>0.110901</v>
      </c>
      <c r="J39" s="16">
        <v>9.9872000000000002E-2</v>
      </c>
      <c r="K39" s="16">
        <v>8.6463999999999999E-2</v>
      </c>
      <c r="L39" s="16">
        <v>7.0430999999999994E-2</v>
      </c>
      <c r="M39" s="16">
        <v>5.1201999999999998E-2</v>
      </c>
      <c r="N39" s="16">
        <v>2.8237999999999999E-2</v>
      </c>
      <c r="O39" s="16">
        <v>5.4549999999999998E-3</v>
      </c>
      <c r="P39" s="16">
        <v>5.4590000000000003E-3</v>
      </c>
      <c r="Q39" s="16">
        <v>5.4689999999999999E-3</v>
      </c>
      <c r="R39" s="16">
        <v>5.4790000000000004E-3</v>
      </c>
      <c r="S39" s="16">
        <v>5.489E-3</v>
      </c>
      <c r="T39" s="16">
        <v>5.4910000000000002E-3</v>
      </c>
      <c r="U39" s="16">
        <v>5.4840000000000002E-3</v>
      </c>
      <c r="V39" s="16">
        <v>5.4970000000000001E-3</v>
      </c>
      <c r="W39" s="16">
        <v>5.4980000000000003E-3</v>
      </c>
      <c r="X39" s="16">
        <v>5.4850000000000003E-3</v>
      </c>
      <c r="Y39" s="16">
        <v>5.4860000000000004E-3</v>
      </c>
      <c r="Z39" s="16">
        <v>5.4869999999999997E-3</v>
      </c>
      <c r="AA39" s="16">
        <v>5.9550000000000002E-3</v>
      </c>
      <c r="AB39" s="16">
        <v>5.4860000000000004E-3</v>
      </c>
      <c r="AC39" s="16">
        <v>5.4819999999999999E-3</v>
      </c>
      <c r="AD39" s="16">
        <v>6.0679999999999996E-3</v>
      </c>
      <c r="AE39" s="16">
        <v>6.0679999999999996E-3</v>
      </c>
      <c r="AF39" s="16">
        <v>6.0780000000000001E-3</v>
      </c>
      <c r="AG39" s="16">
        <v>6.1320000000000003E-3</v>
      </c>
      <c r="AH39" s="16">
        <v>6.169E-3</v>
      </c>
      <c r="AI39" s="16">
        <v>6.2329999999999998E-3</v>
      </c>
      <c r="AJ39" s="16">
        <v>6.3010000000000002E-3</v>
      </c>
      <c r="AK39" s="16">
        <v>6.2890000000000003E-3</v>
      </c>
      <c r="AL39" s="16">
        <v>5.7000000000000002E-3</v>
      </c>
      <c r="AM39" s="13">
        <v>-8.0530000000000004E-2</v>
      </c>
    </row>
    <row r="40" spans="1:39" ht="15" customHeight="1" x14ac:dyDescent="0.25">
      <c r="A40" s="7" t="s">
        <v>555</v>
      </c>
      <c r="B40" s="11" t="s">
        <v>549</v>
      </c>
      <c r="C40" s="16">
        <v>3.0636E-2</v>
      </c>
      <c r="D40" s="16">
        <v>4.3299999999999998E-2</v>
      </c>
      <c r="E40" s="16">
        <v>4.6899999999999997E-2</v>
      </c>
      <c r="F40" s="16">
        <v>3.6176E-2</v>
      </c>
      <c r="G40" s="16">
        <v>3.9125E-2</v>
      </c>
      <c r="H40" s="16">
        <v>3.8491999999999998E-2</v>
      </c>
      <c r="I40" s="16">
        <v>3.9151999999999999E-2</v>
      </c>
      <c r="J40" s="16">
        <v>3.9371000000000003E-2</v>
      </c>
      <c r="K40" s="16">
        <v>3.9483999999999998E-2</v>
      </c>
      <c r="L40" s="16">
        <v>3.9489999999999997E-2</v>
      </c>
      <c r="M40" s="16">
        <v>3.9484999999999999E-2</v>
      </c>
      <c r="N40" s="16">
        <v>3.9468000000000003E-2</v>
      </c>
      <c r="O40" s="16">
        <v>3.9746999999999998E-2</v>
      </c>
      <c r="P40" s="16">
        <v>3.9933000000000003E-2</v>
      </c>
      <c r="Q40" s="16">
        <v>4.0129999999999999E-2</v>
      </c>
      <c r="R40" s="16">
        <v>4.0346E-2</v>
      </c>
      <c r="S40" s="16">
        <v>4.0517999999999998E-2</v>
      </c>
      <c r="T40" s="16">
        <v>4.0716000000000002E-2</v>
      </c>
      <c r="U40" s="16">
        <v>4.1091000000000003E-2</v>
      </c>
      <c r="V40" s="16">
        <v>4.1450000000000001E-2</v>
      </c>
      <c r="W40" s="16">
        <v>4.1756000000000001E-2</v>
      </c>
      <c r="X40" s="16">
        <v>4.1931999999999997E-2</v>
      </c>
      <c r="Y40" s="16">
        <v>4.2235000000000002E-2</v>
      </c>
      <c r="Z40" s="16">
        <v>4.2535999999999997E-2</v>
      </c>
      <c r="AA40" s="16">
        <v>4.2701999999999997E-2</v>
      </c>
      <c r="AB40" s="16">
        <v>4.2838000000000001E-2</v>
      </c>
      <c r="AC40" s="16">
        <v>4.3145999999999997E-2</v>
      </c>
      <c r="AD40" s="16">
        <v>4.3404999999999999E-2</v>
      </c>
      <c r="AE40" s="16">
        <v>4.3735000000000003E-2</v>
      </c>
      <c r="AF40" s="16">
        <v>4.3964999999999997E-2</v>
      </c>
      <c r="AG40" s="16">
        <v>4.4149000000000001E-2</v>
      </c>
      <c r="AH40" s="16">
        <v>4.4377E-2</v>
      </c>
      <c r="AI40" s="16">
        <v>4.4576999999999999E-2</v>
      </c>
      <c r="AJ40" s="16">
        <v>4.4790999999999997E-2</v>
      </c>
      <c r="AK40" s="16">
        <v>4.5059000000000002E-2</v>
      </c>
      <c r="AL40" s="16">
        <v>4.5324999999999997E-2</v>
      </c>
      <c r="AM40" s="13">
        <v>1.3450000000000001E-3</v>
      </c>
    </row>
    <row r="41" spans="1:39" ht="15" customHeight="1" x14ac:dyDescent="0.25">
      <c r="A41" s="7" t="s">
        <v>556</v>
      </c>
      <c r="B41" s="11" t="s">
        <v>551</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c r="W41" s="16">
        <v>0</v>
      </c>
      <c r="X41" s="16">
        <v>0</v>
      </c>
      <c r="Y41" s="16">
        <v>0</v>
      </c>
      <c r="Z41" s="16">
        <v>0</v>
      </c>
      <c r="AA41" s="16">
        <v>0</v>
      </c>
      <c r="AB41" s="16">
        <v>0</v>
      </c>
      <c r="AC41" s="16">
        <v>0</v>
      </c>
      <c r="AD41" s="16">
        <v>0</v>
      </c>
      <c r="AE41" s="16">
        <v>0</v>
      </c>
      <c r="AF41" s="16">
        <v>0</v>
      </c>
      <c r="AG41" s="16">
        <v>0</v>
      </c>
      <c r="AH41" s="16">
        <v>0</v>
      </c>
      <c r="AI41" s="16">
        <v>0</v>
      </c>
      <c r="AJ41" s="16">
        <v>0</v>
      </c>
      <c r="AK41" s="16">
        <v>0</v>
      </c>
      <c r="AL41" s="16">
        <v>0</v>
      </c>
      <c r="AM41" s="13" t="s">
        <v>13</v>
      </c>
    </row>
    <row r="42" spans="1:39" ht="15" customHeight="1" x14ac:dyDescent="0.25">
      <c r="A42" s="7" t="s">
        <v>557</v>
      </c>
      <c r="B42" s="11" t="s">
        <v>558</v>
      </c>
      <c r="C42" s="16">
        <v>2.7629999999999998E-3</v>
      </c>
      <c r="D42" s="16">
        <v>7.4899999999999999E-4</v>
      </c>
      <c r="E42" s="16">
        <v>1.4522E-2</v>
      </c>
      <c r="F42" s="16">
        <v>2.3636000000000001E-2</v>
      </c>
      <c r="G42" s="16">
        <v>2.9205999999999999E-2</v>
      </c>
      <c r="H42" s="16">
        <v>3.4797000000000002E-2</v>
      </c>
      <c r="I42" s="16">
        <v>4.1116E-2</v>
      </c>
      <c r="J42" s="16">
        <v>5.2247000000000002E-2</v>
      </c>
      <c r="K42" s="16">
        <v>6.5847000000000003E-2</v>
      </c>
      <c r="L42" s="16">
        <v>8.0574999999999994E-2</v>
      </c>
      <c r="M42" s="16">
        <v>9.9729999999999999E-2</v>
      </c>
      <c r="N42" s="16">
        <v>0.118995</v>
      </c>
      <c r="O42" s="16">
        <v>0.140933</v>
      </c>
      <c r="P42" s="16">
        <v>0.14093</v>
      </c>
      <c r="Q42" s="16">
        <v>0.14092099999999999</v>
      </c>
      <c r="R42" s="16">
        <v>0.14091100000000001</v>
      </c>
      <c r="S42" s="16">
        <v>0.14089099999999999</v>
      </c>
      <c r="T42" s="16">
        <v>0.14088899999999999</v>
      </c>
      <c r="U42" s="16">
        <v>0.14089599999999999</v>
      </c>
      <c r="V42" s="16">
        <v>0.14089499999999999</v>
      </c>
      <c r="W42" s="16">
        <v>0.14089499999999999</v>
      </c>
      <c r="X42" s="16">
        <v>0.14089399999999999</v>
      </c>
      <c r="Y42" s="16">
        <v>0.14089399999999999</v>
      </c>
      <c r="Z42" s="16">
        <v>0.14089299999999999</v>
      </c>
      <c r="AA42" s="16">
        <v>0.14047200000000001</v>
      </c>
      <c r="AB42" s="16">
        <v>0.14089299999999999</v>
      </c>
      <c r="AC42" s="16">
        <v>0.14089699999999999</v>
      </c>
      <c r="AD42" s="16">
        <v>0.13982</v>
      </c>
      <c r="AE42" s="16">
        <v>0.138544</v>
      </c>
      <c r="AF42" s="16">
        <v>0.138543</v>
      </c>
      <c r="AG42" s="16">
        <v>0.138542</v>
      </c>
      <c r="AH42" s="16">
        <v>0.138541</v>
      </c>
      <c r="AI42" s="16">
        <v>0.14036599999999999</v>
      </c>
      <c r="AJ42" s="16">
        <v>0.14036499999999999</v>
      </c>
      <c r="AK42" s="16">
        <v>0.14036399999999999</v>
      </c>
      <c r="AL42" s="16">
        <v>0.14093700000000001</v>
      </c>
      <c r="AM42" s="13">
        <v>0.16653499999999999</v>
      </c>
    </row>
    <row r="43" spans="1:39" ht="15" customHeight="1" x14ac:dyDescent="0.25">
      <c r="A43" s="7" t="s">
        <v>559</v>
      </c>
      <c r="B43" s="11" t="s">
        <v>547</v>
      </c>
      <c r="C43" s="16">
        <v>2.7629999999999998E-3</v>
      </c>
      <c r="D43" s="16">
        <v>7.4899999999999999E-4</v>
      </c>
      <c r="E43" s="16">
        <v>1.4522E-2</v>
      </c>
      <c r="F43" s="16">
        <v>2.3636000000000001E-2</v>
      </c>
      <c r="G43" s="16">
        <v>2.9205999999999999E-2</v>
      </c>
      <c r="H43" s="16">
        <v>3.4797000000000002E-2</v>
      </c>
      <c r="I43" s="16">
        <v>4.1116E-2</v>
      </c>
      <c r="J43" s="16">
        <v>5.2247000000000002E-2</v>
      </c>
      <c r="K43" s="16">
        <v>6.5847000000000003E-2</v>
      </c>
      <c r="L43" s="16">
        <v>8.0574999999999994E-2</v>
      </c>
      <c r="M43" s="16">
        <v>9.9729999999999999E-2</v>
      </c>
      <c r="N43" s="16">
        <v>0.118995</v>
      </c>
      <c r="O43" s="16">
        <v>0.140933</v>
      </c>
      <c r="P43" s="16">
        <v>0.14093</v>
      </c>
      <c r="Q43" s="16">
        <v>0.14092099999999999</v>
      </c>
      <c r="R43" s="16">
        <v>0.14091100000000001</v>
      </c>
      <c r="S43" s="16">
        <v>0.14089099999999999</v>
      </c>
      <c r="T43" s="16">
        <v>0.14088899999999999</v>
      </c>
      <c r="U43" s="16">
        <v>0.14089599999999999</v>
      </c>
      <c r="V43" s="16">
        <v>0.14089499999999999</v>
      </c>
      <c r="W43" s="16">
        <v>0.14089499999999999</v>
      </c>
      <c r="X43" s="16">
        <v>0.14089399999999999</v>
      </c>
      <c r="Y43" s="16">
        <v>0.14089399999999999</v>
      </c>
      <c r="Z43" s="16">
        <v>0.14089299999999999</v>
      </c>
      <c r="AA43" s="16">
        <v>0.14047200000000001</v>
      </c>
      <c r="AB43" s="16">
        <v>0.14089299999999999</v>
      </c>
      <c r="AC43" s="16">
        <v>0.14089699999999999</v>
      </c>
      <c r="AD43" s="16">
        <v>0.13982</v>
      </c>
      <c r="AE43" s="16">
        <v>0.138544</v>
      </c>
      <c r="AF43" s="16">
        <v>0.138543</v>
      </c>
      <c r="AG43" s="16">
        <v>0.138542</v>
      </c>
      <c r="AH43" s="16">
        <v>0.138541</v>
      </c>
      <c r="AI43" s="16">
        <v>0.14036599999999999</v>
      </c>
      <c r="AJ43" s="16">
        <v>0.14036499999999999</v>
      </c>
      <c r="AK43" s="16">
        <v>0.14036399999999999</v>
      </c>
      <c r="AL43" s="16">
        <v>0.14093700000000001</v>
      </c>
      <c r="AM43" s="13">
        <v>0.16653499999999999</v>
      </c>
    </row>
    <row r="44" spans="1:39" ht="15" customHeight="1" x14ac:dyDescent="0.25">
      <c r="A44" s="7" t="s">
        <v>560</v>
      </c>
      <c r="B44" s="11" t="s">
        <v>549</v>
      </c>
      <c r="C44" s="16">
        <v>0</v>
      </c>
      <c r="D44" s="16">
        <v>0</v>
      </c>
      <c r="E44" s="16">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v>0</v>
      </c>
      <c r="AM44" s="13" t="s">
        <v>13</v>
      </c>
    </row>
    <row r="45" spans="1:39" ht="15" customHeight="1" x14ac:dyDescent="0.25">
      <c r="A45" s="7" t="s">
        <v>561</v>
      </c>
      <c r="B45" s="11" t="s">
        <v>551</v>
      </c>
      <c r="C45" s="16">
        <v>0</v>
      </c>
      <c r="D45" s="16">
        <v>0</v>
      </c>
      <c r="E45" s="16">
        <v>0</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v>0</v>
      </c>
      <c r="AM45" s="13" t="s">
        <v>13</v>
      </c>
    </row>
    <row r="46" spans="1:39" ht="15" customHeight="1" x14ac:dyDescent="0.25">
      <c r="A46" s="7" t="s">
        <v>562</v>
      </c>
      <c r="B46" s="11" t="s">
        <v>563</v>
      </c>
      <c r="C46" s="16">
        <v>0</v>
      </c>
      <c r="D46" s="16">
        <v>0</v>
      </c>
      <c r="E46" s="16">
        <v>0</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c r="AC46" s="16">
        <v>0</v>
      </c>
      <c r="AD46" s="16">
        <v>0</v>
      </c>
      <c r="AE46" s="16">
        <v>0</v>
      </c>
      <c r="AF46" s="16">
        <v>0</v>
      </c>
      <c r="AG46" s="16">
        <v>0</v>
      </c>
      <c r="AH46" s="16">
        <v>0</v>
      </c>
      <c r="AI46" s="16">
        <v>0</v>
      </c>
      <c r="AJ46" s="16">
        <v>0</v>
      </c>
      <c r="AK46" s="16">
        <v>0</v>
      </c>
      <c r="AL46" s="16">
        <v>0</v>
      </c>
      <c r="AM46" s="13" t="s">
        <v>13</v>
      </c>
    </row>
    <row r="47" spans="1:39" ht="15" customHeight="1" x14ac:dyDescent="0.25">
      <c r="A47" s="7" t="s">
        <v>564</v>
      </c>
      <c r="B47" s="11" t="s">
        <v>565</v>
      </c>
      <c r="C47" s="16">
        <v>0</v>
      </c>
      <c r="D47" s="16">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16">
        <v>0</v>
      </c>
      <c r="AD47" s="16">
        <v>0</v>
      </c>
      <c r="AE47" s="16">
        <v>0</v>
      </c>
      <c r="AF47" s="16">
        <v>0</v>
      </c>
      <c r="AG47" s="16">
        <v>0</v>
      </c>
      <c r="AH47" s="16">
        <v>0</v>
      </c>
      <c r="AI47" s="16">
        <v>0</v>
      </c>
      <c r="AJ47" s="16">
        <v>0</v>
      </c>
      <c r="AK47" s="16">
        <v>0</v>
      </c>
      <c r="AL47" s="16">
        <v>0</v>
      </c>
      <c r="AM47" s="13" t="s">
        <v>13</v>
      </c>
    </row>
    <row r="48" spans="1:39" ht="15" customHeight="1" x14ac:dyDescent="0.25">
      <c r="A48" s="7" t="s">
        <v>566</v>
      </c>
      <c r="B48" s="11" t="s">
        <v>567</v>
      </c>
      <c r="C48" s="16">
        <v>0.214</v>
      </c>
      <c r="D48" s="16">
        <v>0.224</v>
      </c>
      <c r="E48" s="16">
        <v>0.23599999999999999</v>
      </c>
      <c r="F48" s="16">
        <v>0.25973099999999999</v>
      </c>
      <c r="G48" s="16">
        <v>0.27402399999999999</v>
      </c>
      <c r="H48" s="16">
        <v>0.273281</v>
      </c>
      <c r="I48" s="16">
        <v>0.27537200000000001</v>
      </c>
      <c r="J48" s="16">
        <v>0.277586</v>
      </c>
      <c r="K48" s="16">
        <v>0.27863100000000002</v>
      </c>
      <c r="L48" s="16">
        <v>0.28105999999999998</v>
      </c>
      <c r="M48" s="16">
        <v>0.28479100000000002</v>
      </c>
      <c r="N48" s="16">
        <v>0.28262599999999999</v>
      </c>
      <c r="O48" s="16">
        <v>0.27236900000000003</v>
      </c>
      <c r="P48" s="16">
        <v>0.27166600000000002</v>
      </c>
      <c r="Q48" s="16">
        <v>0.27456900000000001</v>
      </c>
      <c r="R48" s="16">
        <v>0.27476899999999999</v>
      </c>
      <c r="S48" s="16">
        <v>0.27668300000000001</v>
      </c>
      <c r="T48" s="16">
        <v>0.27989599999999998</v>
      </c>
      <c r="U48" s="16">
        <v>0.28098099999999998</v>
      </c>
      <c r="V48" s="16">
        <v>0.28361900000000001</v>
      </c>
      <c r="W48" s="16">
        <v>0.28579599999999999</v>
      </c>
      <c r="X48" s="16">
        <v>0.29260999999999998</v>
      </c>
      <c r="Y48" s="16">
        <v>0.29635699999999998</v>
      </c>
      <c r="Z48" s="16">
        <v>0.29618100000000003</v>
      </c>
      <c r="AA48" s="16">
        <v>0.30034899999999998</v>
      </c>
      <c r="AB48" s="16">
        <v>0.30221900000000002</v>
      </c>
      <c r="AC48" s="16">
        <v>0.29996400000000001</v>
      </c>
      <c r="AD48" s="16">
        <v>0.30059200000000003</v>
      </c>
      <c r="AE48" s="16">
        <v>0.29864099999999999</v>
      </c>
      <c r="AF48" s="16">
        <v>0.30011100000000002</v>
      </c>
      <c r="AG48" s="16">
        <v>0.30323800000000001</v>
      </c>
      <c r="AH48" s="16">
        <v>0.30577700000000002</v>
      </c>
      <c r="AI48" s="16">
        <v>0.30407699999999999</v>
      </c>
      <c r="AJ48" s="16">
        <v>0.30230699999999999</v>
      </c>
      <c r="AK48" s="16">
        <v>0.30430299999999999</v>
      </c>
      <c r="AL48" s="16">
        <v>0.306255</v>
      </c>
      <c r="AM48" s="13">
        <v>9.2420000000000002E-3</v>
      </c>
    </row>
    <row r="49" spans="1:39" ht="15" customHeight="1" x14ac:dyDescent="0.25"/>
    <row r="50" spans="1:39" ht="15" customHeight="1" x14ac:dyDescent="0.25">
      <c r="A50" s="7" t="s">
        <v>568</v>
      </c>
      <c r="B50" s="10" t="s">
        <v>569</v>
      </c>
      <c r="C50" s="17">
        <v>19.394970000000001</v>
      </c>
      <c r="D50" s="17">
        <v>19.544581999999998</v>
      </c>
      <c r="E50" s="17">
        <v>19.903901999999999</v>
      </c>
      <c r="F50" s="17">
        <v>20.031807000000001</v>
      </c>
      <c r="G50" s="17">
        <v>20.158170999999999</v>
      </c>
      <c r="H50" s="17">
        <v>20.111125999999999</v>
      </c>
      <c r="I50" s="17">
        <v>20.104752000000001</v>
      </c>
      <c r="J50" s="17">
        <v>20.109383000000001</v>
      </c>
      <c r="K50" s="17">
        <v>20.068118999999999</v>
      </c>
      <c r="L50" s="17">
        <v>19.965765000000001</v>
      </c>
      <c r="M50" s="17">
        <v>19.802417999999999</v>
      </c>
      <c r="N50" s="17">
        <v>19.657758999999999</v>
      </c>
      <c r="O50" s="17">
        <v>19.518801</v>
      </c>
      <c r="P50" s="17">
        <v>19.399588000000001</v>
      </c>
      <c r="Q50" s="17">
        <v>19.313770000000002</v>
      </c>
      <c r="R50" s="17">
        <v>19.240690000000001</v>
      </c>
      <c r="S50" s="17">
        <v>19.157699999999998</v>
      </c>
      <c r="T50" s="17">
        <v>19.083245999999999</v>
      </c>
      <c r="U50" s="17">
        <v>19.037222</v>
      </c>
      <c r="V50" s="17">
        <v>19.050139999999999</v>
      </c>
      <c r="W50" s="17">
        <v>19.077188</v>
      </c>
      <c r="X50" s="17">
        <v>19.112818000000001</v>
      </c>
      <c r="Y50" s="17">
        <v>19.167358</v>
      </c>
      <c r="Z50" s="17">
        <v>19.248336999999999</v>
      </c>
      <c r="AA50" s="17">
        <v>19.340852999999999</v>
      </c>
      <c r="AB50" s="17">
        <v>19.410530000000001</v>
      </c>
      <c r="AC50" s="17">
        <v>19.475368</v>
      </c>
      <c r="AD50" s="17">
        <v>19.564108000000001</v>
      </c>
      <c r="AE50" s="17">
        <v>19.672526999999999</v>
      </c>
      <c r="AF50" s="17">
        <v>19.789795000000002</v>
      </c>
      <c r="AG50" s="17">
        <v>19.908194999999999</v>
      </c>
      <c r="AH50" s="17">
        <v>20.026555999999999</v>
      </c>
      <c r="AI50" s="17">
        <v>20.164904</v>
      </c>
      <c r="AJ50" s="17">
        <v>20.30068</v>
      </c>
      <c r="AK50" s="17">
        <v>20.460661000000002</v>
      </c>
      <c r="AL50" s="17">
        <v>20.643809999999998</v>
      </c>
      <c r="AM50" s="15">
        <v>1.611E-3</v>
      </c>
    </row>
    <row r="51" spans="1:39" ht="15" customHeight="1" x14ac:dyDescent="0.25"/>
    <row r="52" spans="1:39" ht="15" customHeight="1" x14ac:dyDescent="0.25"/>
    <row r="53" spans="1:39" ht="15" customHeight="1" x14ac:dyDescent="0.25">
      <c r="B53" s="10" t="s">
        <v>570</v>
      </c>
    </row>
    <row r="54" spans="1:39" ht="15" customHeight="1" x14ac:dyDescent="0.25">
      <c r="B54" s="10" t="s">
        <v>571</v>
      </c>
    </row>
    <row r="55" spans="1:39" ht="15" customHeight="1" x14ac:dyDescent="0.25">
      <c r="A55" s="7" t="s">
        <v>572</v>
      </c>
      <c r="B55" s="11" t="s">
        <v>573</v>
      </c>
      <c r="C55" s="16">
        <v>2.5489999999999999</v>
      </c>
      <c r="D55" s="16">
        <v>2.5179999999999998</v>
      </c>
      <c r="E55" s="16">
        <v>2.5990000000000002</v>
      </c>
      <c r="F55" s="16">
        <v>2.6921390000000001</v>
      </c>
      <c r="G55" s="16">
        <v>2.8001459999999998</v>
      </c>
      <c r="H55" s="16">
        <v>2.846133</v>
      </c>
      <c r="I55" s="16">
        <v>2.8974760000000002</v>
      </c>
      <c r="J55" s="16">
        <v>2.9706709999999998</v>
      </c>
      <c r="K55" s="16">
        <v>3.0372690000000002</v>
      </c>
      <c r="L55" s="16">
        <v>3.0847950000000002</v>
      </c>
      <c r="M55" s="16">
        <v>3.1194510000000002</v>
      </c>
      <c r="N55" s="16">
        <v>3.1620740000000001</v>
      </c>
      <c r="O55" s="16">
        <v>3.1723309999999998</v>
      </c>
      <c r="P55" s="16">
        <v>3.1809970000000001</v>
      </c>
      <c r="Q55" s="16">
        <v>3.2003529999999998</v>
      </c>
      <c r="R55" s="16">
        <v>3.2246069999999998</v>
      </c>
      <c r="S55" s="16">
        <v>3.2454049999999999</v>
      </c>
      <c r="T55" s="16">
        <v>3.2617690000000001</v>
      </c>
      <c r="U55" s="16">
        <v>3.26938</v>
      </c>
      <c r="V55" s="16">
        <v>3.2981189999999998</v>
      </c>
      <c r="W55" s="16">
        <v>3.321647</v>
      </c>
      <c r="X55" s="16">
        <v>3.3445200000000002</v>
      </c>
      <c r="Y55" s="16">
        <v>3.3628179999999999</v>
      </c>
      <c r="Z55" s="16">
        <v>3.386625</v>
      </c>
      <c r="AA55" s="16">
        <v>3.4173309999999999</v>
      </c>
      <c r="AB55" s="16">
        <v>3.4362050000000002</v>
      </c>
      <c r="AC55" s="16">
        <v>3.4442729999999999</v>
      </c>
      <c r="AD55" s="16">
        <v>3.447762</v>
      </c>
      <c r="AE55" s="16">
        <v>3.4580679999999999</v>
      </c>
      <c r="AF55" s="16">
        <v>3.4677419999999999</v>
      </c>
      <c r="AG55" s="16">
        <v>3.4756459999999998</v>
      </c>
      <c r="AH55" s="16">
        <v>3.4774229999999999</v>
      </c>
      <c r="AI55" s="16">
        <v>3.4966219999999999</v>
      </c>
      <c r="AJ55" s="16">
        <v>3.5108839999999999</v>
      </c>
      <c r="AK55" s="16">
        <v>3.5265520000000001</v>
      </c>
      <c r="AL55" s="16">
        <v>3.5568949999999999</v>
      </c>
      <c r="AM55" s="13">
        <v>1.0211E-2</v>
      </c>
    </row>
    <row r="56" spans="1:39" ht="15" customHeight="1" x14ac:dyDescent="0.25">
      <c r="A56" s="7" t="s">
        <v>574</v>
      </c>
      <c r="B56" s="11" t="s">
        <v>575</v>
      </c>
      <c r="C56" s="16">
        <v>9.1888989999999993</v>
      </c>
      <c r="D56" s="16">
        <v>9.3534450000000007</v>
      </c>
      <c r="E56" s="16">
        <v>9.4010200000000008</v>
      </c>
      <c r="F56" s="16">
        <v>9.4027399999999997</v>
      </c>
      <c r="G56" s="16">
        <v>9.3362440000000007</v>
      </c>
      <c r="H56" s="16">
        <v>9.2396899999999995</v>
      </c>
      <c r="I56" s="16">
        <v>9.1055700000000002</v>
      </c>
      <c r="J56" s="16">
        <v>8.9474339999999994</v>
      </c>
      <c r="K56" s="16">
        <v>8.7609899999999996</v>
      </c>
      <c r="L56" s="16">
        <v>8.5559600000000007</v>
      </c>
      <c r="M56" s="16">
        <v>8.3395700000000001</v>
      </c>
      <c r="N56" s="16">
        <v>8.1531859999999998</v>
      </c>
      <c r="O56" s="16">
        <v>7.991333</v>
      </c>
      <c r="P56" s="16">
        <v>7.8554089999999999</v>
      </c>
      <c r="Q56" s="16">
        <v>7.7325720000000002</v>
      </c>
      <c r="R56" s="16">
        <v>7.6161310000000002</v>
      </c>
      <c r="S56" s="16">
        <v>7.5088239999999997</v>
      </c>
      <c r="T56" s="16">
        <v>7.4134209999999996</v>
      </c>
      <c r="U56" s="16">
        <v>7.3375240000000002</v>
      </c>
      <c r="V56" s="16">
        <v>7.2765139999999997</v>
      </c>
      <c r="W56" s="16">
        <v>7.2250370000000004</v>
      </c>
      <c r="X56" s="16">
        <v>7.1871640000000001</v>
      </c>
      <c r="Y56" s="16">
        <v>7.160711</v>
      </c>
      <c r="Z56" s="16">
        <v>7.1485250000000002</v>
      </c>
      <c r="AA56" s="16">
        <v>7.1360390000000002</v>
      </c>
      <c r="AB56" s="16">
        <v>7.1293369999999996</v>
      </c>
      <c r="AC56" s="16">
        <v>7.1295320000000002</v>
      </c>
      <c r="AD56" s="16">
        <v>7.1421080000000003</v>
      </c>
      <c r="AE56" s="16">
        <v>7.162973</v>
      </c>
      <c r="AF56" s="16">
        <v>7.1876829999999998</v>
      </c>
      <c r="AG56" s="16">
        <v>7.2177769999999999</v>
      </c>
      <c r="AH56" s="16">
        <v>7.2534090000000004</v>
      </c>
      <c r="AI56" s="16">
        <v>7.2914469999999998</v>
      </c>
      <c r="AJ56" s="16">
        <v>7.3360810000000001</v>
      </c>
      <c r="AK56" s="16">
        <v>7.3913089999999997</v>
      </c>
      <c r="AL56" s="16">
        <v>7.4413049999999998</v>
      </c>
      <c r="AM56" s="13">
        <v>-6.7039999999999999E-3</v>
      </c>
    </row>
    <row r="57" spans="1:39" ht="15" customHeight="1" x14ac:dyDescent="0.25">
      <c r="A57" s="7" t="s">
        <v>576</v>
      </c>
      <c r="B57" s="11" t="s">
        <v>577</v>
      </c>
      <c r="C57" s="16">
        <v>1.4727000000000001E-2</v>
      </c>
      <c r="D57" s="16">
        <v>2.0871000000000001E-2</v>
      </c>
      <c r="E57" s="16">
        <v>1.8946000000000001E-2</v>
      </c>
      <c r="F57" s="16">
        <v>1.4099E-2</v>
      </c>
      <c r="G57" s="16">
        <v>1.5887999999999999E-2</v>
      </c>
      <c r="H57" s="16">
        <v>1.8242000000000001E-2</v>
      </c>
      <c r="I57" s="16">
        <v>2.1305000000000001E-2</v>
      </c>
      <c r="J57" s="16">
        <v>3.1314000000000002E-2</v>
      </c>
      <c r="K57" s="16">
        <v>3.6644999999999997E-2</v>
      </c>
      <c r="L57" s="16">
        <v>3.7895999999999999E-2</v>
      </c>
      <c r="M57" s="16">
        <v>4.4622000000000002E-2</v>
      </c>
      <c r="N57" s="16">
        <v>5.3414999999999997E-2</v>
      </c>
      <c r="O57" s="16">
        <v>6.3148999999999997E-2</v>
      </c>
      <c r="P57" s="16">
        <v>7.4719999999999995E-2</v>
      </c>
      <c r="Q57" s="16">
        <v>8.2811999999999997E-2</v>
      </c>
      <c r="R57" s="16">
        <v>9.5688999999999996E-2</v>
      </c>
      <c r="S57" s="16">
        <v>9.9089999999999998E-2</v>
      </c>
      <c r="T57" s="16">
        <v>0.10507900000000001</v>
      </c>
      <c r="U57" s="16">
        <v>0.11225499999999999</v>
      </c>
      <c r="V57" s="16">
        <v>0.117492</v>
      </c>
      <c r="W57" s="16">
        <v>0.121986</v>
      </c>
      <c r="X57" s="16">
        <v>0.12331300000000001</v>
      </c>
      <c r="Y57" s="16">
        <v>0.12212199999999999</v>
      </c>
      <c r="Z57" s="16">
        <v>0.118643</v>
      </c>
      <c r="AA57" s="16">
        <v>0.113785</v>
      </c>
      <c r="AB57" s="16">
        <v>0.107075</v>
      </c>
      <c r="AC57" s="16">
        <v>9.8147999999999999E-2</v>
      </c>
      <c r="AD57" s="16">
        <v>8.8729000000000002E-2</v>
      </c>
      <c r="AE57" s="16">
        <v>7.7334E-2</v>
      </c>
      <c r="AF57" s="16">
        <v>7.2120000000000004E-2</v>
      </c>
      <c r="AG57" s="16">
        <v>7.2559999999999999E-2</v>
      </c>
      <c r="AH57" s="16">
        <v>7.8163999999999997E-2</v>
      </c>
      <c r="AI57" s="16">
        <v>8.8431999999999997E-2</v>
      </c>
      <c r="AJ57" s="16">
        <v>9.6758999999999998E-2</v>
      </c>
      <c r="AK57" s="16">
        <v>0.101385</v>
      </c>
      <c r="AL57" s="16">
        <v>0.11378099999999999</v>
      </c>
      <c r="AM57" s="13">
        <v>5.1144000000000002E-2</v>
      </c>
    </row>
    <row r="58" spans="1:39" ht="15" customHeight="1" x14ac:dyDescent="0.25">
      <c r="A58" s="7" t="s">
        <v>578</v>
      </c>
      <c r="B58" s="11" t="s">
        <v>579</v>
      </c>
      <c r="C58" s="16">
        <v>1.548</v>
      </c>
      <c r="D58" s="16">
        <v>1.59</v>
      </c>
      <c r="E58" s="16">
        <v>1.571</v>
      </c>
      <c r="F58" s="16">
        <v>1.5942229999999999</v>
      </c>
      <c r="G58" s="16">
        <v>1.617022</v>
      </c>
      <c r="H58" s="16">
        <v>1.6443589999999999</v>
      </c>
      <c r="I58" s="16">
        <v>1.676455</v>
      </c>
      <c r="J58" s="16">
        <v>1.7088129999999999</v>
      </c>
      <c r="K58" s="16">
        <v>1.738472</v>
      </c>
      <c r="L58" s="16">
        <v>1.7686459999999999</v>
      </c>
      <c r="M58" s="16">
        <v>1.7978160000000001</v>
      </c>
      <c r="N58" s="16">
        <v>1.8232710000000001</v>
      </c>
      <c r="O58" s="16">
        <v>1.85124</v>
      </c>
      <c r="P58" s="16">
        <v>1.881891</v>
      </c>
      <c r="Q58" s="16">
        <v>1.909106</v>
      </c>
      <c r="R58" s="16">
        <v>1.9326890000000001</v>
      </c>
      <c r="S58" s="16">
        <v>1.9556640000000001</v>
      </c>
      <c r="T58" s="16">
        <v>1.980221</v>
      </c>
      <c r="U58" s="16">
        <v>2.0082659999999999</v>
      </c>
      <c r="V58" s="16">
        <v>2.0385469999999999</v>
      </c>
      <c r="W58" s="16">
        <v>2.070141</v>
      </c>
      <c r="X58" s="16">
        <v>2.101429</v>
      </c>
      <c r="Y58" s="16">
        <v>2.1327820000000002</v>
      </c>
      <c r="Z58" s="16">
        <v>2.167001</v>
      </c>
      <c r="AA58" s="16">
        <v>2.1992189999999998</v>
      </c>
      <c r="AB58" s="16">
        <v>2.229533</v>
      </c>
      <c r="AC58" s="16">
        <v>2.259989</v>
      </c>
      <c r="AD58" s="16">
        <v>2.291947</v>
      </c>
      <c r="AE58" s="16">
        <v>2.3242950000000002</v>
      </c>
      <c r="AF58" s="16">
        <v>2.3562479999999999</v>
      </c>
      <c r="AG58" s="16">
        <v>2.3890899999999999</v>
      </c>
      <c r="AH58" s="16">
        <v>2.4219140000000001</v>
      </c>
      <c r="AI58" s="16">
        <v>2.452871</v>
      </c>
      <c r="AJ58" s="16">
        <v>2.4832070000000002</v>
      </c>
      <c r="AK58" s="16">
        <v>2.5151289999999999</v>
      </c>
      <c r="AL58" s="16">
        <v>2.5473849999999998</v>
      </c>
      <c r="AM58" s="13">
        <v>1.3958999999999999E-2</v>
      </c>
    </row>
    <row r="59" spans="1:39" ht="15" customHeight="1" x14ac:dyDescent="0.25">
      <c r="A59" s="7" t="s">
        <v>580</v>
      </c>
      <c r="B59" s="11" t="s">
        <v>581</v>
      </c>
      <c r="C59" s="16">
        <v>3.9950000000000001</v>
      </c>
      <c r="D59" s="16">
        <v>3.819</v>
      </c>
      <c r="E59" s="16">
        <v>3.9510000000000001</v>
      </c>
      <c r="F59" s="16">
        <v>4.0619249999999996</v>
      </c>
      <c r="G59" s="16">
        <v>4.1199709999999996</v>
      </c>
      <c r="H59" s="16">
        <v>4.09999</v>
      </c>
      <c r="I59" s="16">
        <v>4.1236639999999998</v>
      </c>
      <c r="J59" s="16">
        <v>4.1515870000000001</v>
      </c>
      <c r="K59" s="16">
        <v>4.1722489999999999</v>
      </c>
      <c r="L59" s="16">
        <v>4.1743410000000001</v>
      </c>
      <c r="M59" s="16">
        <v>4.1558849999999996</v>
      </c>
      <c r="N59" s="16">
        <v>4.1153079999999997</v>
      </c>
      <c r="O59" s="16">
        <v>4.0832940000000004</v>
      </c>
      <c r="P59" s="16">
        <v>4.0506419999999999</v>
      </c>
      <c r="Q59" s="16">
        <v>4.0191939999999997</v>
      </c>
      <c r="R59" s="16">
        <v>3.9888599999999999</v>
      </c>
      <c r="S59" s="16">
        <v>3.9553609999999999</v>
      </c>
      <c r="T59" s="16">
        <v>3.9225910000000002</v>
      </c>
      <c r="U59" s="16">
        <v>3.9051279999999999</v>
      </c>
      <c r="V59" s="16">
        <v>3.901878</v>
      </c>
      <c r="W59" s="16">
        <v>3.907362</v>
      </c>
      <c r="X59" s="16">
        <v>3.9093239999999998</v>
      </c>
      <c r="Y59" s="16">
        <v>3.9195259999999998</v>
      </c>
      <c r="Z59" s="16">
        <v>3.936744</v>
      </c>
      <c r="AA59" s="16">
        <v>3.950812</v>
      </c>
      <c r="AB59" s="16">
        <v>3.9584030000000001</v>
      </c>
      <c r="AC59" s="16">
        <v>3.9742000000000002</v>
      </c>
      <c r="AD59" s="16">
        <v>3.9937339999999999</v>
      </c>
      <c r="AE59" s="16">
        <v>4.0234500000000004</v>
      </c>
      <c r="AF59" s="16">
        <v>4.054379</v>
      </c>
      <c r="AG59" s="16">
        <v>4.0824550000000004</v>
      </c>
      <c r="AH59" s="16">
        <v>4.1114100000000002</v>
      </c>
      <c r="AI59" s="16">
        <v>4.138687</v>
      </c>
      <c r="AJ59" s="16">
        <v>4.1657659999999996</v>
      </c>
      <c r="AK59" s="16">
        <v>4.1978650000000002</v>
      </c>
      <c r="AL59" s="16">
        <v>4.2338250000000004</v>
      </c>
      <c r="AM59" s="13">
        <v>3.0370000000000002E-3</v>
      </c>
    </row>
    <row r="60" spans="1:39" ht="15" customHeight="1" x14ac:dyDescent="0.25">
      <c r="A60" s="7" t="s">
        <v>582</v>
      </c>
      <c r="B60" s="11" t="s">
        <v>583</v>
      </c>
      <c r="C60" s="16">
        <v>3.83</v>
      </c>
      <c r="D60" s="16">
        <v>3.661</v>
      </c>
      <c r="E60" s="16">
        <v>3.7879999999999998</v>
      </c>
      <c r="F60" s="16">
        <v>3.5797409999999998</v>
      </c>
      <c r="G60" s="16">
        <v>3.6405530000000002</v>
      </c>
      <c r="H60" s="16">
        <v>3.6243340000000002</v>
      </c>
      <c r="I60" s="16">
        <v>3.6518350000000002</v>
      </c>
      <c r="J60" s="16">
        <v>3.6816979999999999</v>
      </c>
      <c r="K60" s="16">
        <v>3.7039179999999998</v>
      </c>
      <c r="L60" s="16">
        <v>3.7083379999999999</v>
      </c>
      <c r="M60" s="16">
        <v>3.6937570000000002</v>
      </c>
      <c r="N60" s="16">
        <v>3.659402</v>
      </c>
      <c r="O60" s="16">
        <v>3.6328420000000001</v>
      </c>
      <c r="P60" s="16">
        <v>3.605321</v>
      </c>
      <c r="Q60" s="16">
        <v>3.5778270000000001</v>
      </c>
      <c r="R60" s="16">
        <v>3.5518230000000002</v>
      </c>
      <c r="S60" s="16">
        <v>3.5234429999999999</v>
      </c>
      <c r="T60" s="16">
        <v>3.4948809999999999</v>
      </c>
      <c r="U60" s="16">
        <v>3.481074</v>
      </c>
      <c r="V60" s="16">
        <v>3.4802270000000002</v>
      </c>
      <c r="W60" s="16">
        <v>3.4876239999999998</v>
      </c>
      <c r="X60" s="16">
        <v>3.4922740000000001</v>
      </c>
      <c r="Y60" s="16">
        <v>3.504664</v>
      </c>
      <c r="Z60" s="16">
        <v>3.5244490000000002</v>
      </c>
      <c r="AA60" s="16">
        <v>3.5406270000000002</v>
      </c>
      <c r="AB60" s="16">
        <v>3.5505689999999999</v>
      </c>
      <c r="AC60" s="16">
        <v>3.5682429999999998</v>
      </c>
      <c r="AD60" s="16">
        <v>3.5895199999999998</v>
      </c>
      <c r="AE60" s="16">
        <v>3.6203590000000001</v>
      </c>
      <c r="AF60" s="16">
        <v>3.6524540000000001</v>
      </c>
      <c r="AG60" s="16">
        <v>3.6817419999999998</v>
      </c>
      <c r="AH60" s="16">
        <v>3.711802</v>
      </c>
      <c r="AI60" s="16">
        <v>3.7402690000000001</v>
      </c>
      <c r="AJ60" s="16">
        <v>3.7681659999999999</v>
      </c>
      <c r="AK60" s="16">
        <v>3.8002090000000002</v>
      </c>
      <c r="AL60" s="16">
        <v>3.8357950000000001</v>
      </c>
      <c r="AM60" s="13">
        <v>1.3730000000000001E-3</v>
      </c>
    </row>
    <row r="61" spans="1:39" ht="15" customHeight="1" x14ac:dyDescent="0.25">
      <c r="A61" s="7" t="s">
        <v>584</v>
      </c>
      <c r="B61" s="11" t="s">
        <v>585</v>
      </c>
      <c r="C61" s="16">
        <v>0.25900000000000001</v>
      </c>
      <c r="D61" s="16">
        <v>0.34300000000000003</v>
      </c>
      <c r="E61" s="16">
        <v>0.25600000000000001</v>
      </c>
      <c r="F61" s="16">
        <v>0.26710099999999998</v>
      </c>
      <c r="G61" s="16">
        <v>0.25320399999999998</v>
      </c>
      <c r="H61" s="16">
        <v>0.27745399999999998</v>
      </c>
      <c r="I61" s="16">
        <v>0.28649400000000003</v>
      </c>
      <c r="J61" s="16">
        <v>0.29033599999999998</v>
      </c>
      <c r="K61" s="16">
        <v>0.29355900000000001</v>
      </c>
      <c r="L61" s="16">
        <v>0.29835699999999998</v>
      </c>
      <c r="M61" s="16">
        <v>0.29901499999999998</v>
      </c>
      <c r="N61" s="16">
        <v>0.301649</v>
      </c>
      <c r="O61" s="16">
        <v>0.305058</v>
      </c>
      <c r="P61" s="16">
        <v>0.30923699999999998</v>
      </c>
      <c r="Q61" s="16">
        <v>0.313197</v>
      </c>
      <c r="R61" s="16">
        <v>0.31651400000000002</v>
      </c>
      <c r="S61" s="16">
        <v>0.32008399999999998</v>
      </c>
      <c r="T61" s="16">
        <v>0.32327400000000001</v>
      </c>
      <c r="U61" s="16">
        <v>0.32908799999999999</v>
      </c>
      <c r="V61" s="16">
        <v>0.332652</v>
      </c>
      <c r="W61" s="16">
        <v>0.33840900000000002</v>
      </c>
      <c r="X61" s="16">
        <v>0.34135799999999999</v>
      </c>
      <c r="Y61" s="16">
        <v>0.34589500000000001</v>
      </c>
      <c r="Z61" s="16">
        <v>0.34800300000000001</v>
      </c>
      <c r="AA61" s="16">
        <v>0.35082099999999999</v>
      </c>
      <c r="AB61" s="16">
        <v>0.35327199999999997</v>
      </c>
      <c r="AC61" s="16">
        <v>0.354819</v>
      </c>
      <c r="AD61" s="16">
        <v>0.35785099999999997</v>
      </c>
      <c r="AE61" s="16">
        <v>0.36057699999999998</v>
      </c>
      <c r="AF61" s="16">
        <v>0.36385899999999999</v>
      </c>
      <c r="AG61" s="16">
        <v>0.36693700000000001</v>
      </c>
      <c r="AH61" s="16">
        <v>0.37062400000000001</v>
      </c>
      <c r="AI61" s="16">
        <v>0.37406899999999998</v>
      </c>
      <c r="AJ61" s="16">
        <v>0.37728400000000001</v>
      </c>
      <c r="AK61" s="16">
        <v>0.381859</v>
      </c>
      <c r="AL61" s="16">
        <v>0.38559599999999999</v>
      </c>
      <c r="AM61" s="13">
        <v>3.4489999999999998E-3</v>
      </c>
    </row>
    <row r="62" spans="1:39" ht="15" customHeight="1" x14ac:dyDescent="0.25">
      <c r="A62" s="7" t="s">
        <v>586</v>
      </c>
      <c r="B62" s="11" t="s">
        <v>587</v>
      </c>
      <c r="C62" s="16">
        <v>2.008</v>
      </c>
      <c r="D62" s="16">
        <v>1.9690000000000001</v>
      </c>
      <c r="E62" s="16">
        <v>2.0329999999999999</v>
      </c>
      <c r="F62" s="16">
        <v>2.0442179999999999</v>
      </c>
      <c r="G62" s="16">
        <v>2.0648879999999998</v>
      </c>
      <c r="H62" s="16">
        <v>2.03694</v>
      </c>
      <c r="I62" s="16">
        <v>2.0475539999999999</v>
      </c>
      <c r="J62" s="16">
        <v>2.0725630000000002</v>
      </c>
      <c r="K62" s="16">
        <v>2.0962499999999999</v>
      </c>
      <c r="L62" s="16">
        <v>2.1133989999999998</v>
      </c>
      <c r="M62" s="16">
        <v>2.119634</v>
      </c>
      <c r="N62" s="16">
        <v>2.129759</v>
      </c>
      <c r="O62" s="16">
        <v>2.139675</v>
      </c>
      <c r="P62" s="16">
        <v>2.1458590000000002</v>
      </c>
      <c r="Q62" s="16">
        <v>2.1642999999999999</v>
      </c>
      <c r="R62" s="16">
        <v>2.1866729999999999</v>
      </c>
      <c r="S62" s="16">
        <v>2.1977120000000001</v>
      </c>
      <c r="T62" s="16">
        <v>2.2082320000000002</v>
      </c>
      <c r="U62" s="16">
        <v>2.2147700000000001</v>
      </c>
      <c r="V62" s="16">
        <v>2.2297859999999998</v>
      </c>
      <c r="W62" s="16">
        <v>2.2422140000000002</v>
      </c>
      <c r="X62" s="16">
        <v>2.258203</v>
      </c>
      <c r="Y62" s="16">
        <v>2.275398</v>
      </c>
      <c r="Z62" s="16">
        <v>2.2914979999999998</v>
      </c>
      <c r="AA62" s="16">
        <v>2.3174830000000002</v>
      </c>
      <c r="AB62" s="16">
        <v>2.3348399999999998</v>
      </c>
      <c r="AC62" s="16">
        <v>2.343248</v>
      </c>
      <c r="AD62" s="16">
        <v>2.3615439999999999</v>
      </c>
      <c r="AE62" s="16">
        <v>2.3736100000000002</v>
      </c>
      <c r="AF62" s="16">
        <v>2.3903569999999998</v>
      </c>
      <c r="AG62" s="16">
        <v>2.407022</v>
      </c>
      <c r="AH62" s="16">
        <v>2.422542</v>
      </c>
      <c r="AI62" s="16">
        <v>2.4403779999999999</v>
      </c>
      <c r="AJ62" s="16">
        <v>2.4550960000000002</v>
      </c>
      <c r="AK62" s="16">
        <v>2.4747340000000002</v>
      </c>
      <c r="AL62" s="16">
        <v>2.504597</v>
      </c>
      <c r="AM62" s="13">
        <v>7.1019999999999998E-3</v>
      </c>
    </row>
    <row r="63" spans="1:39" ht="15" customHeight="1" x14ac:dyDescent="0.25">
      <c r="B63" s="10" t="s">
        <v>588</v>
      </c>
    </row>
    <row r="64" spans="1:39" ht="15" customHeight="1" x14ac:dyDescent="0.25">
      <c r="A64" s="7" t="s">
        <v>589</v>
      </c>
      <c r="B64" s="11" t="s">
        <v>590</v>
      </c>
      <c r="C64" s="16">
        <v>0.89835600000000004</v>
      </c>
      <c r="D64" s="16">
        <v>0.91325500000000004</v>
      </c>
      <c r="E64" s="16">
        <v>0.96494999999999997</v>
      </c>
      <c r="F64" s="16">
        <v>0.942685</v>
      </c>
      <c r="G64" s="16">
        <v>0.929504</v>
      </c>
      <c r="H64" s="16">
        <v>0.923593</v>
      </c>
      <c r="I64" s="16">
        <v>0.92136899999999999</v>
      </c>
      <c r="J64" s="16">
        <v>0.91280799999999995</v>
      </c>
      <c r="K64" s="16">
        <v>0.90454699999999999</v>
      </c>
      <c r="L64" s="16">
        <v>0.89810599999999996</v>
      </c>
      <c r="M64" s="16">
        <v>0.89121799999999995</v>
      </c>
      <c r="N64" s="16">
        <v>0.88441199999999998</v>
      </c>
      <c r="O64" s="16">
        <v>0.87796099999999999</v>
      </c>
      <c r="P64" s="16">
        <v>0.873359</v>
      </c>
      <c r="Q64" s="16">
        <v>0.86813499999999999</v>
      </c>
      <c r="R64" s="16">
        <v>0.86171399999999998</v>
      </c>
      <c r="S64" s="16">
        <v>0.85408200000000001</v>
      </c>
      <c r="T64" s="16">
        <v>0.846889</v>
      </c>
      <c r="U64" s="16">
        <v>0.84305099999999999</v>
      </c>
      <c r="V64" s="16">
        <v>0.83820499999999998</v>
      </c>
      <c r="W64" s="16">
        <v>0.83457099999999995</v>
      </c>
      <c r="X64" s="16">
        <v>0.82847300000000001</v>
      </c>
      <c r="Y64" s="16">
        <v>0.82464199999999999</v>
      </c>
      <c r="Z64" s="16">
        <v>0.82075799999999999</v>
      </c>
      <c r="AA64" s="16">
        <v>0.81643399999999999</v>
      </c>
      <c r="AB64" s="16">
        <v>0.81286999999999998</v>
      </c>
      <c r="AC64" s="16">
        <v>0.81008800000000003</v>
      </c>
      <c r="AD64" s="16">
        <v>0.80790700000000004</v>
      </c>
      <c r="AE64" s="16">
        <v>0.80616500000000002</v>
      </c>
      <c r="AF64" s="16">
        <v>0.80415300000000001</v>
      </c>
      <c r="AG64" s="16">
        <v>0.80219600000000002</v>
      </c>
      <c r="AH64" s="16">
        <v>0.79971800000000004</v>
      </c>
      <c r="AI64" s="16">
        <v>0.79707300000000003</v>
      </c>
      <c r="AJ64" s="16">
        <v>0.79463099999999998</v>
      </c>
      <c r="AK64" s="16">
        <v>0.79262900000000003</v>
      </c>
      <c r="AL64" s="16">
        <v>0.78982699999999995</v>
      </c>
      <c r="AM64" s="13">
        <v>-4.261E-3</v>
      </c>
    </row>
    <row r="65" spans="1:39" ht="15" customHeight="1" x14ac:dyDescent="0.25">
      <c r="A65" s="7" t="s">
        <v>591</v>
      </c>
      <c r="B65" s="11" t="s">
        <v>592</v>
      </c>
      <c r="C65" s="16">
        <v>4.5311630000000003</v>
      </c>
      <c r="D65" s="16">
        <v>4.5393610000000004</v>
      </c>
      <c r="E65" s="16">
        <v>4.7044069999999998</v>
      </c>
      <c r="F65" s="16">
        <v>4.9854419999999999</v>
      </c>
      <c r="G65" s="16">
        <v>5.1398979999999996</v>
      </c>
      <c r="H65" s="16">
        <v>5.1730390000000002</v>
      </c>
      <c r="I65" s="16">
        <v>5.2476390000000004</v>
      </c>
      <c r="J65" s="16">
        <v>5.3627919999999998</v>
      </c>
      <c r="K65" s="16">
        <v>5.4714780000000003</v>
      </c>
      <c r="L65" s="16">
        <v>5.5471539999999999</v>
      </c>
      <c r="M65" s="16">
        <v>5.5940770000000004</v>
      </c>
      <c r="N65" s="16">
        <v>5.650385</v>
      </c>
      <c r="O65" s="16">
        <v>5.6744789999999998</v>
      </c>
      <c r="P65" s="16">
        <v>5.6916409999999997</v>
      </c>
      <c r="Q65" s="16">
        <v>5.7313039999999997</v>
      </c>
      <c r="R65" s="16">
        <v>5.780697</v>
      </c>
      <c r="S65" s="16">
        <v>5.8161449999999997</v>
      </c>
      <c r="T65" s="16">
        <v>5.8444219999999998</v>
      </c>
      <c r="U65" s="16">
        <v>5.8601260000000002</v>
      </c>
      <c r="V65" s="16">
        <v>5.9094499999999996</v>
      </c>
      <c r="W65" s="16">
        <v>5.9519539999999997</v>
      </c>
      <c r="X65" s="16">
        <v>5.9961630000000001</v>
      </c>
      <c r="Y65" s="16">
        <v>6.0370160000000004</v>
      </c>
      <c r="Z65" s="16">
        <v>6.0836990000000002</v>
      </c>
      <c r="AA65" s="16">
        <v>6.1462789999999998</v>
      </c>
      <c r="AB65" s="16">
        <v>6.1868619999999996</v>
      </c>
      <c r="AC65" s="16">
        <v>6.2080570000000002</v>
      </c>
      <c r="AD65" s="16">
        <v>6.2349410000000001</v>
      </c>
      <c r="AE65" s="16">
        <v>6.2644279999999997</v>
      </c>
      <c r="AF65" s="16">
        <v>6.2980090000000004</v>
      </c>
      <c r="AG65" s="16">
        <v>6.3287940000000003</v>
      </c>
      <c r="AH65" s="16">
        <v>6.3521029999999996</v>
      </c>
      <c r="AI65" s="16">
        <v>6.3950709999999997</v>
      </c>
      <c r="AJ65" s="16">
        <v>6.4297760000000004</v>
      </c>
      <c r="AK65" s="16">
        <v>6.4716469999999999</v>
      </c>
      <c r="AL65" s="16">
        <v>6.5394050000000004</v>
      </c>
      <c r="AM65" s="13">
        <v>1.0795000000000001E-2</v>
      </c>
    </row>
    <row r="66" spans="1:39" ht="15" customHeight="1" x14ac:dyDescent="0.25">
      <c r="A66" s="7" t="s">
        <v>593</v>
      </c>
      <c r="B66" s="11" t="s">
        <v>594</v>
      </c>
      <c r="C66" s="16">
        <v>14.012828000000001</v>
      </c>
      <c r="D66" s="16">
        <v>14.170063000000001</v>
      </c>
      <c r="E66" s="16">
        <v>14.290784</v>
      </c>
      <c r="F66" s="16">
        <v>14.345056</v>
      </c>
      <c r="G66" s="16">
        <v>14.31833</v>
      </c>
      <c r="H66" s="16">
        <v>14.237667</v>
      </c>
      <c r="I66" s="16">
        <v>14.153206000000001</v>
      </c>
      <c r="J66" s="16">
        <v>14.045610999999999</v>
      </c>
      <c r="K66" s="16">
        <v>13.896362</v>
      </c>
      <c r="L66" s="16">
        <v>13.716559999999999</v>
      </c>
      <c r="M66" s="16">
        <v>13.505247000000001</v>
      </c>
      <c r="N66" s="16">
        <v>13.302771999999999</v>
      </c>
      <c r="O66" s="16">
        <v>13.134675</v>
      </c>
      <c r="P66" s="16">
        <v>12.997557</v>
      </c>
      <c r="Q66" s="16">
        <v>12.869210000000001</v>
      </c>
      <c r="R66" s="16">
        <v>12.7461</v>
      </c>
      <c r="S66" s="16">
        <v>12.629977999999999</v>
      </c>
      <c r="T66" s="16">
        <v>12.528487</v>
      </c>
      <c r="U66" s="16">
        <v>12.465557</v>
      </c>
      <c r="V66" s="16">
        <v>12.429360000000001</v>
      </c>
      <c r="W66" s="16">
        <v>12.413325</v>
      </c>
      <c r="X66" s="16">
        <v>12.408609999999999</v>
      </c>
      <c r="Y66" s="16">
        <v>12.423645</v>
      </c>
      <c r="Z66" s="16">
        <v>12.460585999999999</v>
      </c>
      <c r="AA66" s="16">
        <v>12.49431</v>
      </c>
      <c r="AB66" s="16">
        <v>12.525167</v>
      </c>
      <c r="AC66" s="16">
        <v>12.570758</v>
      </c>
      <c r="AD66" s="16">
        <v>12.634727</v>
      </c>
      <c r="AE66" s="16">
        <v>12.715557</v>
      </c>
      <c r="AF66" s="16">
        <v>12.802028999999999</v>
      </c>
      <c r="AG66" s="16">
        <v>12.892329999999999</v>
      </c>
      <c r="AH66" s="16">
        <v>12.988960000000001</v>
      </c>
      <c r="AI66" s="16">
        <v>13.084728999999999</v>
      </c>
      <c r="AJ66" s="16">
        <v>13.185781</v>
      </c>
      <c r="AK66" s="16">
        <v>13.303630999999999</v>
      </c>
      <c r="AL66" s="16">
        <v>13.419473</v>
      </c>
      <c r="AM66" s="13">
        <v>-1.5989999999999999E-3</v>
      </c>
    </row>
    <row r="67" spans="1:39" ht="15" customHeight="1" x14ac:dyDescent="0.25">
      <c r="A67" s="7" t="s">
        <v>595</v>
      </c>
      <c r="B67" s="11" t="s">
        <v>596</v>
      </c>
      <c r="C67" s="16">
        <v>0.12773499999999999</v>
      </c>
      <c r="D67" s="16">
        <v>9.9515000000000006E-2</v>
      </c>
      <c r="E67" s="16">
        <v>8.6909E-2</v>
      </c>
      <c r="F67" s="16">
        <v>8.6250999999999994E-2</v>
      </c>
      <c r="G67" s="16">
        <v>7.0824999999999999E-2</v>
      </c>
      <c r="H67" s="16">
        <v>7.0580000000000004E-2</v>
      </c>
      <c r="I67" s="16">
        <v>6.9889000000000007E-2</v>
      </c>
      <c r="J67" s="16">
        <v>6.9512000000000004E-2</v>
      </c>
      <c r="K67" s="16">
        <v>6.8964999999999999E-2</v>
      </c>
      <c r="L67" s="16">
        <v>6.8867999999999999E-2</v>
      </c>
      <c r="M67" s="16">
        <v>6.6886000000000001E-2</v>
      </c>
      <c r="N67" s="16">
        <v>6.3442999999999999E-2</v>
      </c>
      <c r="O67" s="16">
        <v>6.1567999999999998E-2</v>
      </c>
      <c r="P67" s="16">
        <v>5.9330000000000001E-2</v>
      </c>
      <c r="Q67" s="16">
        <v>5.8842999999999999E-2</v>
      </c>
      <c r="R67" s="16">
        <v>5.7833000000000002E-2</v>
      </c>
      <c r="S67" s="16">
        <v>5.6342000000000003E-2</v>
      </c>
      <c r="T67" s="16">
        <v>5.6056000000000002E-2</v>
      </c>
      <c r="U67" s="16">
        <v>5.5666E-2</v>
      </c>
      <c r="V67" s="16">
        <v>5.5474999999999997E-2</v>
      </c>
      <c r="W67" s="16">
        <v>5.5435999999999999E-2</v>
      </c>
      <c r="X67" s="16">
        <v>5.5069E-2</v>
      </c>
      <c r="Y67" s="16">
        <v>5.4865999999999998E-2</v>
      </c>
      <c r="Z67" s="16">
        <v>5.3501E-2</v>
      </c>
      <c r="AA67" s="16">
        <v>5.2310000000000002E-2</v>
      </c>
      <c r="AB67" s="16">
        <v>5.1402999999999997E-2</v>
      </c>
      <c r="AC67" s="16">
        <v>4.9874000000000002E-2</v>
      </c>
      <c r="AD67" s="16">
        <v>4.8509999999999998E-2</v>
      </c>
      <c r="AE67" s="16">
        <v>4.7038999999999997E-2</v>
      </c>
      <c r="AF67" s="16">
        <v>4.5631999999999999E-2</v>
      </c>
      <c r="AG67" s="16">
        <v>4.4266E-2</v>
      </c>
      <c r="AH67" s="16">
        <v>4.4340999999999998E-2</v>
      </c>
      <c r="AI67" s="16">
        <v>4.4430999999999998E-2</v>
      </c>
      <c r="AJ67" s="16">
        <v>4.4374999999999998E-2</v>
      </c>
      <c r="AK67" s="16">
        <v>4.446E-2</v>
      </c>
      <c r="AL67" s="16">
        <v>4.4578E-2</v>
      </c>
      <c r="AM67" s="13">
        <v>-2.3342999999999999E-2</v>
      </c>
    </row>
    <row r="68" spans="1:39" ht="15" customHeight="1" x14ac:dyDescent="0.25">
      <c r="A68" s="7" t="s">
        <v>597</v>
      </c>
      <c r="B68" s="11" t="s">
        <v>598</v>
      </c>
      <c r="C68" s="16">
        <v>-0.26873200000000003</v>
      </c>
      <c r="D68" s="16">
        <v>-0.24186199999999999</v>
      </c>
      <c r="E68" s="16">
        <v>-0.32951999999999998</v>
      </c>
      <c r="F68" s="16">
        <v>-0.30077599999999999</v>
      </c>
      <c r="G68" s="16">
        <v>-0.27044299999999999</v>
      </c>
      <c r="H68" s="16">
        <v>-0.263264</v>
      </c>
      <c r="I68" s="16">
        <v>-0.25816</v>
      </c>
      <c r="J68" s="16">
        <v>-0.25237199999999999</v>
      </c>
      <c r="K68" s="16">
        <v>-0.245639</v>
      </c>
      <c r="L68" s="16">
        <v>-0.237515</v>
      </c>
      <c r="M68" s="16">
        <v>-0.22781199999999999</v>
      </c>
      <c r="N68" s="16">
        <v>-0.21764800000000001</v>
      </c>
      <c r="O68" s="16">
        <v>-0.20833299999999999</v>
      </c>
      <c r="P68" s="16">
        <v>-0.19937299999999999</v>
      </c>
      <c r="Q68" s="16">
        <v>-0.191029</v>
      </c>
      <c r="R68" s="16">
        <v>-0.18326500000000001</v>
      </c>
      <c r="S68" s="16">
        <v>-0.175845</v>
      </c>
      <c r="T68" s="16">
        <v>-0.16855300000000001</v>
      </c>
      <c r="U68" s="16">
        <v>-0.16240399999999999</v>
      </c>
      <c r="V68" s="16">
        <v>-0.15717500000000001</v>
      </c>
      <c r="W68" s="16">
        <v>-0.15263399999999999</v>
      </c>
      <c r="X68" s="16">
        <v>-0.14841599999999999</v>
      </c>
      <c r="Y68" s="16">
        <v>-0.14511099999999999</v>
      </c>
      <c r="Z68" s="16">
        <v>-0.14236699999999999</v>
      </c>
      <c r="AA68" s="16">
        <v>-0.139682</v>
      </c>
      <c r="AB68" s="16">
        <v>-0.13688500000000001</v>
      </c>
      <c r="AC68" s="16">
        <v>-0.13486600000000001</v>
      </c>
      <c r="AD68" s="16">
        <v>-0.133274</v>
      </c>
      <c r="AE68" s="16">
        <v>-0.132489</v>
      </c>
      <c r="AF68" s="16">
        <v>-0.1318</v>
      </c>
      <c r="AG68" s="16">
        <v>-0.13083400000000001</v>
      </c>
      <c r="AH68" s="16">
        <v>-0.12995999999999999</v>
      </c>
      <c r="AI68" s="16">
        <v>-0.12914300000000001</v>
      </c>
      <c r="AJ68" s="16">
        <v>-0.128552</v>
      </c>
      <c r="AK68" s="16">
        <v>-0.12837599999999999</v>
      </c>
      <c r="AL68" s="16">
        <v>-0.12809999999999999</v>
      </c>
      <c r="AM68" s="13">
        <v>-1.8519000000000001E-2</v>
      </c>
    </row>
    <row r="69" spans="1:39" ht="15" customHeight="1" x14ac:dyDescent="0.25">
      <c r="A69" s="7" t="s">
        <v>599</v>
      </c>
      <c r="B69" s="10" t="s">
        <v>600</v>
      </c>
      <c r="C69" s="17">
        <v>19.547901</v>
      </c>
      <c r="D69" s="17">
        <v>19.592442999999999</v>
      </c>
      <c r="E69" s="17">
        <v>19.811022000000001</v>
      </c>
      <c r="F69" s="17">
        <v>20.062346000000002</v>
      </c>
      <c r="G69" s="17">
        <v>20.191475000000001</v>
      </c>
      <c r="H69" s="17">
        <v>20.144566999999999</v>
      </c>
      <c r="I69" s="17">
        <v>20.137212999999999</v>
      </c>
      <c r="J69" s="17">
        <v>20.141407000000001</v>
      </c>
      <c r="K69" s="17">
        <v>20.098789</v>
      </c>
      <c r="L69" s="17">
        <v>19.995498999999999</v>
      </c>
      <c r="M69" s="17">
        <v>19.831371000000001</v>
      </c>
      <c r="N69" s="17">
        <v>19.685245999999999</v>
      </c>
      <c r="O69" s="17">
        <v>19.542930999999999</v>
      </c>
      <c r="P69" s="17">
        <v>19.424033999999999</v>
      </c>
      <c r="Q69" s="17">
        <v>19.338723999999999</v>
      </c>
      <c r="R69" s="17">
        <v>19.265471999999999</v>
      </c>
      <c r="S69" s="17">
        <v>19.183047999999999</v>
      </c>
      <c r="T69" s="17">
        <v>19.109508999999999</v>
      </c>
      <c r="U69" s="17">
        <v>19.064156000000001</v>
      </c>
      <c r="V69" s="17">
        <v>19.077494000000002</v>
      </c>
      <c r="W69" s="17">
        <v>19.104811000000002</v>
      </c>
      <c r="X69" s="17">
        <v>19.141998000000001</v>
      </c>
      <c r="Y69" s="17">
        <v>19.197127999999999</v>
      </c>
      <c r="Z69" s="17">
        <v>19.278396999999998</v>
      </c>
      <c r="AA69" s="17">
        <v>19.371704000000001</v>
      </c>
      <c r="AB69" s="17">
        <v>19.441590999999999</v>
      </c>
      <c r="AC69" s="17">
        <v>19.506062</v>
      </c>
      <c r="AD69" s="17">
        <v>19.594946</v>
      </c>
      <c r="AE69" s="17">
        <v>19.702974000000001</v>
      </c>
      <c r="AF69" s="17">
        <v>19.820269</v>
      </c>
      <c r="AG69" s="17">
        <v>19.938925000000001</v>
      </c>
      <c r="AH69" s="17">
        <v>20.057324999999999</v>
      </c>
      <c r="AI69" s="17">
        <v>20.194075000000002</v>
      </c>
      <c r="AJ69" s="17">
        <v>20.328317999999999</v>
      </c>
      <c r="AK69" s="17">
        <v>20.487448000000001</v>
      </c>
      <c r="AL69" s="17">
        <v>20.669601</v>
      </c>
      <c r="AM69" s="15">
        <v>1.575E-3</v>
      </c>
    </row>
    <row r="71" spans="1:39" ht="15" customHeight="1" x14ac:dyDescent="0.25">
      <c r="A71" s="7" t="s">
        <v>601</v>
      </c>
      <c r="B71" s="11" t="s">
        <v>602</v>
      </c>
      <c r="C71" s="16">
        <v>-0.15293100000000001</v>
      </c>
      <c r="D71" s="16">
        <v>-4.7861000000000001E-2</v>
      </c>
      <c r="E71" s="16">
        <v>9.2880000000000004E-2</v>
      </c>
      <c r="F71" s="16">
        <v>-3.0539E-2</v>
      </c>
      <c r="G71" s="16">
        <v>-3.3304E-2</v>
      </c>
      <c r="H71" s="16">
        <v>-3.3442E-2</v>
      </c>
      <c r="I71" s="16">
        <v>-3.2460999999999997E-2</v>
      </c>
      <c r="J71" s="16">
        <v>-3.2023999999999997E-2</v>
      </c>
      <c r="K71" s="16">
        <v>-3.0669999999999999E-2</v>
      </c>
      <c r="L71" s="16">
        <v>-2.9734E-2</v>
      </c>
      <c r="M71" s="16">
        <v>-2.8954000000000001E-2</v>
      </c>
      <c r="N71" s="16">
        <v>-2.7487000000000001E-2</v>
      </c>
      <c r="O71" s="16">
        <v>-2.4129999999999999E-2</v>
      </c>
      <c r="P71" s="16">
        <v>-2.4445999999999999E-2</v>
      </c>
      <c r="Q71" s="16">
        <v>-2.4954E-2</v>
      </c>
      <c r="R71" s="16">
        <v>-2.4781999999999998E-2</v>
      </c>
      <c r="S71" s="16">
        <v>-2.5349E-2</v>
      </c>
      <c r="T71" s="16">
        <v>-2.6262000000000001E-2</v>
      </c>
      <c r="U71" s="16">
        <v>-2.6934E-2</v>
      </c>
      <c r="V71" s="16">
        <v>-2.7352999999999999E-2</v>
      </c>
      <c r="W71" s="16">
        <v>-2.7622000000000001E-2</v>
      </c>
      <c r="X71" s="16">
        <v>-2.9180999999999999E-2</v>
      </c>
      <c r="Y71" s="16">
        <v>-2.9770000000000001E-2</v>
      </c>
      <c r="Z71" s="16">
        <v>-3.006E-2</v>
      </c>
      <c r="AA71" s="16">
        <v>-3.0851E-2</v>
      </c>
      <c r="AB71" s="16">
        <v>-3.1060999999999998E-2</v>
      </c>
      <c r="AC71" s="16">
        <v>-3.0693000000000002E-2</v>
      </c>
      <c r="AD71" s="16">
        <v>-3.0838000000000001E-2</v>
      </c>
      <c r="AE71" s="16">
        <v>-3.0446999999999998E-2</v>
      </c>
      <c r="AF71" s="16">
        <v>-3.0474000000000001E-2</v>
      </c>
      <c r="AG71" s="16">
        <v>-3.0728999999999999E-2</v>
      </c>
      <c r="AH71" s="16">
        <v>-3.0769000000000001E-2</v>
      </c>
      <c r="AI71" s="16">
        <v>-2.9170999999999999E-2</v>
      </c>
      <c r="AJ71" s="16">
        <v>-2.7636999999999998E-2</v>
      </c>
      <c r="AK71" s="16">
        <v>-2.6786999999999998E-2</v>
      </c>
      <c r="AL71" s="16">
        <v>-2.5791000000000001E-2</v>
      </c>
      <c r="AM71" s="13">
        <v>-1.8020000000000001E-2</v>
      </c>
    </row>
    <row r="73" spans="1:39" ht="15" customHeight="1" x14ac:dyDescent="0.25">
      <c r="A73" s="7" t="s">
        <v>603</v>
      </c>
      <c r="B73" s="11" t="s">
        <v>604</v>
      </c>
      <c r="C73" s="65">
        <v>18.058001000000001</v>
      </c>
      <c r="D73" s="65">
        <v>18.393999000000001</v>
      </c>
      <c r="E73" s="65">
        <v>18.620000999999998</v>
      </c>
      <c r="F73" s="65">
        <v>18.772276000000002</v>
      </c>
      <c r="G73" s="65">
        <v>18.881546</v>
      </c>
      <c r="H73" s="65">
        <v>18.954816999999998</v>
      </c>
      <c r="I73" s="65">
        <v>19.028085999999998</v>
      </c>
      <c r="J73" s="65">
        <v>19.028085999999998</v>
      </c>
      <c r="K73" s="65">
        <v>19.028085999999998</v>
      </c>
      <c r="L73" s="65">
        <v>19.028085999999998</v>
      </c>
      <c r="M73" s="65">
        <v>19.028085999999998</v>
      </c>
      <c r="N73" s="65">
        <v>19.028085999999998</v>
      </c>
      <c r="O73" s="65">
        <v>19.028085999999998</v>
      </c>
      <c r="P73" s="65">
        <v>19.028085999999998</v>
      </c>
      <c r="Q73" s="65">
        <v>19.028085999999998</v>
      </c>
      <c r="R73" s="65">
        <v>19.028085999999998</v>
      </c>
      <c r="S73" s="65">
        <v>19.028085999999998</v>
      </c>
      <c r="T73" s="65">
        <v>19.028085999999998</v>
      </c>
      <c r="U73" s="65">
        <v>19.028085999999998</v>
      </c>
      <c r="V73" s="65">
        <v>19.028085999999998</v>
      </c>
      <c r="W73" s="65">
        <v>19.028085999999998</v>
      </c>
      <c r="X73" s="65">
        <v>19.028085999999998</v>
      </c>
      <c r="Y73" s="65">
        <v>19.028085999999998</v>
      </c>
      <c r="Z73" s="65">
        <v>19.028085999999998</v>
      </c>
      <c r="AA73" s="65">
        <v>19.028085999999998</v>
      </c>
      <c r="AB73" s="65">
        <v>19.028085999999998</v>
      </c>
      <c r="AC73" s="65">
        <v>19.028085999999998</v>
      </c>
      <c r="AD73" s="65">
        <v>19.028085999999998</v>
      </c>
      <c r="AE73" s="65">
        <v>19.028085999999998</v>
      </c>
      <c r="AF73" s="65">
        <v>19.028085999999998</v>
      </c>
      <c r="AG73" s="65">
        <v>19.028085999999998</v>
      </c>
      <c r="AH73" s="65">
        <v>19.028085999999998</v>
      </c>
      <c r="AI73" s="65">
        <v>19.028085999999998</v>
      </c>
      <c r="AJ73" s="65">
        <v>19.028085999999998</v>
      </c>
      <c r="AK73" s="65">
        <v>19.028085999999998</v>
      </c>
      <c r="AL73" s="65">
        <v>19.028085999999998</v>
      </c>
      <c r="AM73" s="13">
        <v>9.9700000000000006E-4</v>
      </c>
    </row>
    <row r="74" spans="1:39" ht="15" customHeight="1" x14ac:dyDescent="0.25">
      <c r="A74" s="7" t="s">
        <v>605</v>
      </c>
      <c r="B74" s="11" t="s">
        <v>606</v>
      </c>
      <c r="C74" s="65">
        <v>91</v>
      </c>
      <c r="D74" s="65">
        <v>90.119003000000006</v>
      </c>
      <c r="E74" s="65">
        <v>89.772002999999998</v>
      </c>
      <c r="F74" s="65">
        <v>90.233124000000004</v>
      </c>
      <c r="G74" s="65">
        <v>90.230262999999994</v>
      </c>
      <c r="H74" s="65">
        <v>89.402946</v>
      </c>
      <c r="I74" s="65">
        <v>90.33802</v>
      </c>
      <c r="J74" s="65">
        <v>91.459579000000005</v>
      </c>
      <c r="K74" s="65">
        <v>92.224968000000004</v>
      </c>
      <c r="L74" s="65">
        <v>92.797545999999997</v>
      </c>
      <c r="M74" s="65">
        <v>92.956435999999997</v>
      </c>
      <c r="N74" s="65">
        <v>93.051056000000003</v>
      </c>
      <c r="O74" s="65">
        <v>92.568443000000002</v>
      </c>
      <c r="P74" s="65">
        <v>91.667159999999996</v>
      </c>
      <c r="Q74" s="65">
        <v>92.326317000000003</v>
      </c>
      <c r="R74" s="65">
        <v>92.970923999999997</v>
      </c>
      <c r="S74" s="65">
        <v>92.439430000000002</v>
      </c>
      <c r="T74" s="65">
        <v>92.276024000000007</v>
      </c>
      <c r="U74" s="65">
        <v>91.560181</v>
      </c>
      <c r="V74" s="65">
        <v>91.833809000000002</v>
      </c>
      <c r="W74" s="65">
        <v>92.040030999999999</v>
      </c>
      <c r="X74" s="65">
        <v>92.200607000000005</v>
      </c>
      <c r="Y74" s="65">
        <v>92.641304000000005</v>
      </c>
      <c r="Z74" s="65">
        <v>91.871978999999996</v>
      </c>
      <c r="AA74" s="65">
        <v>92.632469</v>
      </c>
      <c r="AB74" s="65">
        <v>93.181335000000004</v>
      </c>
      <c r="AC74" s="65">
        <v>92.856277000000006</v>
      </c>
      <c r="AD74" s="65">
        <v>93.246262000000002</v>
      </c>
      <c r="AE74" s="65">
        <v>92.889290000000003</v>
      </c>
      <c r="AF74" s="65">
        <v>93.160172000000003</v>
      </c>
      <c r="AG74" s="65">
        <v>93.326065</v>
      </c>
      <c r="AH74" s="65">
        <v>93.658614999999998</v>
      </c>
      <c r="AI74" s="65">
        <v>94.292725000000004</v>
      </c>
      <c r="AJ74" s="65">
        <v>94.149520999999993</v>
      </c>
      <c r="AK74" s="65">
        <v>94.118454</v>
      </c>
      <c r="AL74" s="65">
        <v>94.785720999999995</v>
      </c>
      <c r="AM74" s="13">
        <v>1.4859999999999999E-3</v>
      </c>
    </row>
    <row r="75" spans="1:39" ht="15" customHeight="1" x14ac:dyDescent="0.25">
      <c r="A75" s="7" t="s">
        <v>607</v>
      </c>
      <c r="B75" s="11" t="s">
        <v>500</v>
      </c>
      <c r="C75" s="65">
        <v>24.275682</v>
      </c>
      <c r="D75" s="65">
        <v>24.678889999999999</v>
      </c>
      <c r="E75" s="65">
        <v>23.836963999999998</v>
      </c>
      <c r="F75" s="65">
        <v>20.371255999999999</v>
      </c>
      <c r="G75" s="65">
        <v>17.380779</v>
      </c>
      <c r="H75" s="65">
        <v>15.403745000000001</v>
      </c>
      <c r="I75" s="65">
        <v>13.985721</v>
      </c>
      <c r="J75" s="65">
        <v>13.445833</v>
      </c>
      <c r="K75" s="65">
        <v>12.306269</v>
      </c>
      <c r="L75" s="65">
        <v>11.514336999999999</v>
      </c>
      <c r="M75" s="65">
        <v>10.655289</v>
      </c>
      <c r="N75" s="65">
        <v>9.7548910000000006</v>
      </c>
      <c r="O75" s="65">
        <v>9.3658909999999995</v>
      </c>
      <c r="P75" s="65">
        <v>9.0103439999999999</v>
      </c>
      <c r="Q75" s="65">
        <v>8.5950530000000001</v>
      </c>
      <c r="R75" s="65">
        <v>8.2706189999999999</v>
      </c>
      <c r="S75" s="65">
        <v>8.4732099999999999</v>
      </c>
      <c r="T75" s="65">
        <v>8.4883769999999998</v>
      </c>
      <c r="U75" s="65">
        <v>9.2125470000000007</v>
      </c>
      <c r="V75" s="65">
        <v>9.3721940000000004</v>
      </c>
      <c r="W75" s="65">
        <v>9.5561620000000005</v>
      </c>
      <c r="X75" s="65">
        <v>9.3604579999999995</v>
      </c>
      <c r="Y75" s="65">
        <v>9.3880630000000007</v>
      </c>
      <c r="Z75" s="65">
        <v>9.3000089999999993</v>
      </c>
      <c r="AA75" s="65">
        <v>9.8696079999999995</v>
      </c>
      <c r="AB75" s="65">
        <v>10.262817</v>
      </c>
      <c r="AC75" s="65">
        <v>10.624219999999999</v>
      </c>
      <c r="AD75" s="65">
        <v>11.300572000000001</v>
      </c>
      <c r="AE75" s="65">
        <v>11.770472</v>
      </c>
      <c r="AF75" s="65">
        <v>12.411517</v>
      </c>
      <c r="AG75" s="65">
        <v>13.05925</v>
      </c>
      <c r="AH75" s="65">
        <v>13.717244000000001</v>
      </c>
      <c r="AI75" s="65">
        <v>14.854811</v>
      </c>
      <c r="AJ75" s="65">
        <v>15.972592000000001</v>
      </c>
      <c r="AK75" s="65">
        <v>17.445881</v>
      </c>
      <c r="AL75" s="65">
        <v>18.419391999999998</v>
      </c>
      <c r="AM75" s="13">
        <v>-8.567E-3</v>
      </c>
    </row>
    <row r="76" spans="1:39" ht="15" customHeight="1" x14ac:dyDescent="0.25">
      <c r="B76" s="10" t="s">
        <v>501</v>
      </c>
    </row>
    <row r="77" spans="1:39" ht="15" customHeight="1" x14ac:dyDescent="0.25">
      <c r="A77" s="7" t="s">
        <v>608</v>
      </c>
      <c r="B77" s="11" t="s">
        <v>609</v>
      </c>
      <c r="C77" s="16">
        <v>130.826401</v>
      </c>
      <c r="D77" s="16">
        <v>126.785133</v>
      </c>
      <c r="E77" s="16">
        <v>145.70713799999999</v>
      </c>
      <c r="F77" s="16">
        <v>174.255844</v>
      </c>
      <c r="G77" s="16">
        <v>189.61604299999999</v>
      </c>
      <c r="H77" s="16">
        <v>195.34198000000001</v>
      </c>
      <c r="I77" s="16">
        <v>206.81369000000001</v>
      </c>
      <c r="J77" s="16">
        <v>216.72813400000001</v>
      </c>
      <c r="K77" s="16">
        <v>220.027008</v>
      </c>
      <c r="L77" s="16">
        <v>226.318558</v>
      </c>
      <c r="M77" s="16">
        <v>234.02345299999999</v>
      </c>
      <c r="N77" s="16">
        <v>238.453125</v>
      </c>
      <c r="O77" s="16">
        <v>238.055069</v>
      </c>
      <c r="P77" s="16">
        <v>234.21563699999999</v>
      </c>
      <c r="Q77" s="16">
        <v>241.66151400000001</v>
      </c>
      <c r="R77" s="16">
        <v>252.158829</v>
      </c>
      <c r="S77" s="16">
        <v>256.73596199999997</v>
      </c>
      <c r="T77" s="16">
        <v>264.87673999999998</v>
      </c>
      <c r="U77" s="16">
        <v>265.54702800000001</v>
      </c>
      <c r="V77" s="16">
        <v>273.65273999999999</v>
      </c>
      <c r="W77" s="16">
        <v>277.94537400000002</v>
      </c>
      <c r="X77" s="16">
        <v>285.88577299999997</v>
      </c>
      <c r="Y77" s="16">
        <v>288.96087599999998</v>
      </c>
      <c r="Z77" s="16">
        <v>284.19448899999998</v>
      </c>
      <c r="AA77" s="16">
        <v>295.23632800000001</v>
      </c>
      <c r="AB77" s="16">
        <v>303.18548600000003</v>
      </c>
      <c r="AC77" s="16">
        <v>302.92675800000001</v>
      </c>
      <c r="AD77" s="16">
        <v>309.29943800000001</v>
      </c>
      <c r="AE77" s="16">
        <v>308.90335099999999</v>
      </c>
      <c r="AF77" s="16">
        <v>313.80349699999999</v>
      </c>
      <c r="AG77" s="16">
        <v>318.58917200000002</v>
      </c>
      <c r="AH77" s="16">
        <v>325.73867799999999</v>
      </c>
      <c r="AI77" s="16">
        <v>333.08139</v>
      </c>
      <c r="AJ77" s="16">
        <v>336.47091699999999</v>
      </c>
      <c r="AK77" s="16">
        <v>342.177887</v>
      </c>
      <c r="AL77" s="16">
        <v>355.269318</v>
      </c>
      <c r="AM77" s="13">
        <v>3.0769000000000001E-2</v>
      </c>
    </row>
    <row r="79" spans="1:39" ht="15" customHeight="1" thickBot="1" x14ac:dyDescent="0.3"/>
    <row r="80" spans="1:39" ht="15" customHeight="1" x14ac:dyDescent="0.25">
      <c r="B80" s="364" t="s">
        <v>610</v>
      </c>
      <c r="C80" s="364"/>
      <c r="D80" s="364"/>
      <c r="E80" s="364"/>
      <c r="F80" s="364"/>
      <c r="G80" s="364"/>
      <c r="H80" s="364"/>
      <c r="I80" s="364"/>
      <c r="J80" s="364"/>
      <c r="K80" s="364"/>
      <c r="L80" s="364"/>
      <c r="M80" s="364"/>
      <c r="N80" s="364"/>
      <c r="O80" s="364"/>
      <c r="P80" s="364"/>
      <c r="Q80" s="364"/>
      <c r="R80" s="364"/>
      <c r="S80" s="364"/>
      <c r="T80" s="364"/>
      <c r="U80" s="364"/>
      <c r="V80" s="364"/>
      <c r="W80" s="364"/>
      <c r="X80" s="364"/>
      <c r="Y80" s="364"/>
      <c r="Z80" s="364"/>
      <c r="AA80" s="364"/>
      <c r="AB80" s="364"/>
      <c r="AC80" s="364"/>
      <c r="AD80" s="364"/>
      <c r="AE80" s="364"/>
      <c r="AF80" s="364"/>
      <c r="AG80" s="364"/>
      <c r="AH80" s="364"/>
      <c r="AI80" s="364"/>
      <c r="AJ80" s="364"/>
      <c r="AK80" s="364"/>
      <c r="AL80" s="364"/>
      <c r="AM80" s="364"/>
    </row>
    <row r="81" spans="2:2" ht="15" customHeight="1" x14ac:dyDescent="0.25">
      <c r="B81" s="18" t="s">
        <v>611</v>
      </c>
    </row>
    <row r="82" spans="2:2" ht="15" customHeight="1" x14ac:dyDescent="0.25">
      <c r="B82" s="18" t="s">
        <v>612</v>
      </c>
    </row>
    <row r="83" spans="2:2" ht="15" customHeight="1" x14ac:dyDescent="0.25">
      <c r="B83" s="18" t="s">
        <v>613</v>
      </c>
    </row>
    <row r="84" spans="2:2" ht="15" customHeight="1" x14ac:dyDescent="0.25">
      <c r="B84" s="18" t="s">
        <v>614</v>
      </c>
    </row>
    <row r="85" spans="2:2" ht="15" customHeight="1" x14ac:dyDescent="0.25">
      <c r="B85" s="18" t="s">
        <v>615</v>
      </c>
    </row>
    <row r="86" spans="2:2" ht="15" customHeight="1" x14ac:dyDescent="0.25">
      <c r="B86" s="18" t="s">
        <v>616</v>
      </c>
    </row>
    <row r="87" spans="2:2" ht="15" customHeight="1" x14ac:dyDescent="0.25">
      <c r="B87" s="18" t="s">
        <v>617</v>
      </c>
    </row>
    <row r="88" spans="2:2" ht="15" customHeight="1" x14ac:dyDescent="0.25">
      <c r="B88" s="18" t="s">
        <v>618</v>
      </c>
    </row>
    <row r="89" spans="2:2" ht="15" customHeight="1" x14ac:dyDescent="0.25">
      <c r="B89" s="18" t="s">
        <v>619</v>
      </c>
    </row>
    <row r="90" spans="2:2" ht="15" customHeight="1" x14ac:dyDescent="0.25">
      <c r="B90" s="18" t="s">
        <v>620</v>
      </c>
    </row>
    <row r="91" spans="2:2" ht="15" customHeight="1" x14ac:dyDescent="0.25">
      <c r="B91" s="18" t="s">
        <v>621</v>
      </c>
    </row>
    <row r="92" spans="2:2" ht="15" customHeight="1" x14ac:dyDescent="0.25">
      <c r="B92" s="18" t="s">
        <v>622</v>
      </c>
    </row>
    <row r="93" spans="2:2" ht="15" customHeight="1" x14ac:dyDescent="0.25">
      <c r="B93" s="18" t="s">
        <v>623</v>
      </c>
    </row>
    <row r="94" spans="2:2" ht="15" customHeight="1" x14ac:dyDescent="0.25">
      <c r="B94" s="18" t="s">
        <v>624</v>
      </c>
    </row>
    <row r="95" spans="2:2" ht="15" customHeight="1" x14ac:dyDescent="0.25">
      <c r="B95" s="18" t="s">
        <v>625</v>
      </c>
    </row>
    <row r="96" spans="2:2" ht="15" customHeight="1" x14ac:dyDescent="0.25">
      <c r="B96" s="18" t="s">
        <v>626</v>
      </c>
    </row>
    <row r="97" spans="2:2" ht="15" customHeight="1" x14ac:dyDescent="0.25">
      <c r="B97" s="18" t="s">
        <v>627</v>
      </c>
    </row>
    <row r="98" spans="2:2" ht="15" customHeight="1" x14ac:dyDescent="0.25">
      <c r="B98" s="18" t="s">
        <v>628</v>
      </c>
    </row>
    <row r="99" spans="2:2" ht="15" customHeight="1" x14ac:dyDescent="0.25">
      <c r="B99" s="18" t="s">
        <v>629</v>
      </c>
    </row>
    <row r="100" spans="2:2" ht="15" customHeight="1" x14ac:dyDescent="0.25">
      <c r="B100" s="18" t="s">
        <v>630</v>
      </c>
    </row>
    <row r="101" spans="2:2" ht="15" customHeight="1" x14ac:dyDescent="0.25">
      <c r="B101" s="18" t="s">
        <v>631</v>
      </c>
    </row>
    <row r="102" spans="2:2" ht="15" customHeight="1" x14ac:dyDescent="0.25">
      <c r="B102" s="18" t="s">
        <v>632</v>
      </c>
    </row>
    <row r="103" spans="2:2" ht="15" customHeight="1" x14ac:dyDescent="0.25">
      <c r="B103" s="18" t="s">
        <v>633</v>
      </c>
    </row>
    <row r="104" spans="2:2" ht="15" customHeight="1" x14ac:dyDescent="0.25">
      <c r="B104" s="18" t="s">
        <v>634</v>
      </c>
    </row>
    <row r="105" spans="2:2" ht="15" customHeight="1" x14ac:dyDescent="0.25">
      <c r="B105" s="18" t="s">
        <v>206</v>
      </c>
    </row>
    <row r="106" spans="2:2" ht="15" customHeight="1" x14ac:dyDescent="0.25">
      <c r="B106" s="18" t="s">
        <v>635</v>
      </c>
    </row>
    <row r="107" spans="2:2" ht="15" customHeight="1" x14ac:dyDescent="0.25">
      <c r="B107" s="18" t="s">
        <v>636</v>
      </c>
    </row>
    <row r="108" spans="2:2" ht="15" customHeight="1" x14ac:dyDescent="0.25">
      <c r="B108" s="18" t="s">
        <v>637</v>
      </c>
    </row>
    <row r="109" spans="2:2" ht="15" customHeight="1" x14ac:dyDescent="0.25">
      <c r="B109" s="18" t="s">
        <v>638</v>
      </c>
    </row>
    <row r="110" spans="2:2" ht="15" customHeight="1" x14ac:dyDescent="0.25">
      <c r="B110" s="18" t="s">
        <v>217</v>
      </c>
    </row>
    <row r="111" spans="2:2" ht="15" customHeight="1" x14ac:dyDescent="0.25">
      <c r="B111" s="18" t="s">
        <v>218</v>
      </c>
    </row>
  </sheetData>
  <mergeCells count="1">
    <mergeCell ref="B80:AM80"/>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79998168889431442"/>
  </sheetPr>
  <dimension ref="A1:AM93"/>
  <sheetViews>
    <sheetView topLeftCell="B9" workbookViewId="0">
      <selection activeCell="E37" sqref="E37"/>
    </sheetView>
  </sheetViews>
  <sheetFormatPr defaultRowHeight="15" x14ac:dyDescent="0.25"/>
  <cols>
    <col min="1" max="1" width="20.85546875" hidden="1" customWidth="1"/>
    <col min="2" max="2" width="45.7109375" customWidth="1"/>
  </cols>
  <sheetData>
    <row r="1" spans="1:39" ht="15" customHeight="1" thickBot="1" x14ac:dyDescent="0.3">
      <c r="B1" s="4" t="s">
        <v>15</v>
      </c>
      <c r="C1" s="5">
        <v>2015</v>
      </c>
      <c r="D1" s="5">
        <v>2016</v>
      </c>
      <c r="E1" s="5">
        <v>2017</v>
      </c>
      <c r="F1" s="5">
        <v>2018</v>
      </c>
      <c r="G1" s="5">
        <v>2019</v>
      </c>
      <c r="H1" s="5">
        <v>2020</v>
      </c>
      <c r="I1" s="5">
        <v>2021</v>
      </c>
      <c r="J1" s="5">
        <v>2022</v>
      </c>
      <c r="K1" s="5">
        <v>2023</v>
      </c>
      <c r="L1" s="5">
        <v>2024</v>
      </c>
      <c r="M1" s="5">
        <v>2025</v>
      </c>
      <c r="N1" s="5">
        <v>2026</v>
      </c>
      <c r="O1" s="5">
        <v>2027</v>
      </c>
      <c r="P1" s="5">
        <v>2028</v>
      </c>
      <c r="Q1" s="5">
        <v>2029</v>
      </c>
      <c r="R1" s="5">
        <v>2030</v>
      </c>
      <c r="S1" s="5">
        <v>2031</v>
      </c>
      <c r="T1" s="5">
        <v>2032</v>
      </c>
      <c r="U1" s="5">
        <v>2033</v>
      </c>
      <c r="V1" s="5">
        <v>2034</v>
      </c>
      <c r="W1" s="5">
        <v>2035</v>
      </c>
      <c r="X1" s="5">
        <v>2036</v>
      </c>
      <c r="Y1" s="5">
        <v>2037</v>
      </c>
      <c r="Z1" s="5">
        <v>2038</v>
      </c>
      <c r="AA1" s="5">
        <v>2039</v>
      </c>
      <c r="AB1" s="5">
        <v>2040</v>
      </c>
      <c r="AC1" s="5">
        <v>2041</v>
      </c>
      <c r="AD1" s="5">
        <v>2042</v>
      </c>
      <c r="AE1" s="5">
        <v>2043</v>
      </c>
      <c r="AF1" s="5">
        <v>2044</v>
      </c>
      <c r="AG1" s="5">
        <v>2045</v>
      </c>
      <c r="AH1" s="5">
        <v>2046</v>
      </c>
      <c r="AI1" s="5">
        <v>2047</v>
      </c>
      <c r="AJ1" s="5">
        <v>2048</v>
      </c>
      <c r="AK1" s="5">
        <v>2049</v>
      </c>
      <c r="AL1" s="5">
        <v>2050</v>
      </c>
    </row>
    <row r="2" spans="1:39" ht="15" customHeight="1" thickTop="1" x14ac:dyDescent="0.25"/>
    <row r="3" spans="1:39" ht="15" customHeight="1" x14ac:dyDescent="0.25">
      <c r="C3" s="6" t="s">
        <v>16</v>
      </c>
      <c r="D3" s="6" t="s">
        <v>17</v>
      </c>
      <c r="E3" s="6"/>
      <c r="F3" s="6"/>
      <c r="G3" s="6"/>
    </row>
    <row r="4" spans="1:39" ht="15" customHeight="1" x14ac:dyDescent="0.25">
      <c r="C4" s="6" t="s">
        <v>18</v>
      </c>
      <c r="D4" s="6" t="s">
        <v>19</v>
      </c>
      <c r="E4" s="6"/>
      <c r="F4" s="6"/>
      <c r="G4" s="6" t="s">
        <v>20</v>
      </c>
    </row>
    <row r="5" spans="1:39" ht="15" customHeight="1" x14ac:dyDescent="0.25">
      <c r="C5" s="6" t="s">
        <v>21</v>
      </c>
      <c r="D5" s="6" t="s">
        <v>22</v>
      </c>
      <c r="E5" s="6"/>
      <c r="F5" s="6"/>
      <c r="G5" s="6"/>
    </row>
    <row r="6" spans="1:39" ht="15" customHeight="1" x14ac:dyDescent="0.25">
      <c r="C6" s="6" t="s">
        <v>23</v>
      </c>
      <c r="D6" s="6"/>
      <c r="E6" s="6" t="s">
        <v>24</v>
      </c>
      <c r="F6" s="6"/>
      <c r="G6" s="6"/>
    </row>
    <row r="10" spans="1:39" ht="15" customHeight="1" x14ac:dyDescent="0.25">
      <c r="A10" s="7" t="s">
        <v>1293</v>
      </c>
      <c r="B10" s="8" t="s">
        <v>1294</v>
      </c>
    </row>
    <row r="11" spans="1:39" ht="15" customHeight="1" x14ac:dyDescent="0.25">
      <c r="B11" s="4" t="s">
        <v>1295</v>
      </c>
    </row>
    <row r="12" spans="1:39" ht="15" customHeight="1" x14ac:dyDescent="0.25">
      <c r="B12" s="4" t="s">
        <v>27</v>
      </c>
      <c r="C12" s="9" t="s">
        <v>27</v>
      </c>
      <c r="D12" s="9" t="s">
        <v>27</v>
      </c>
      <c r="E12" s="9" t="s">
        <v>27</v>
      </c>
      <c r="F12" s="9" t="s">
        <v>27</v>
      </c>
      <c r="G12" s="9" t="s">
        <v>27</v>
      </c>
      <c r="H12" s="9" t="s">
        <v>27</v>
      </c>
      <c r="I12" s="9" t="s">
        <v>27</v>
      </c>
      <c r="J12" s="9" t="s">
        <v>27</v>
      </c>
      <c r="K12" s="9" t="s">
        <v>27</v>
      </c>
      <c r="L12" s="9" t="s">
        <v>27</v>
      </c>
      <c r="M12" s="9" t="s">
        <v>27</v>
      </c>
      <c r="N12" s="9" t="s">
        <v>27</v>
      </c>
      <c r="O12" s="9" t="s">
        <v>27</v>
      </c>
      <c r="P12" s="9" t="s">
        <v>27</v>
      </c>
      <c r="Q12" s="9" t="s">
        <v>27</v>
      </c>
      <c r="R12" s="9" t="s">
        <v>27</v>
      </c>
      <c r="S12" s="9" t="s">
        <v>27</v>
      </c>
      <c r="T12" s="9" t="s">
        <v>27</v>
      </c>
      <c r="U12" s="9" t="s">
        <v>27</v>
      </c>
      <c r="V12" s="9" t="s">
        <v>27</v>
      </c>
      <c r="W12" s="9" t="s">
        <v>27</v>
      </c>
      <c r="X12" s="9" t="s">
        <v>27</v>
      </c>
      <c r="Y12" s="9" t="s">
        <v>27</v>
      </c>
      <c r="Z12" s="9" t="s">
        <v>27</v>
      </c>
      <c r="AA12" s="9" t="s">
        <v>27</v>
      </c>
      <c r="AB12" s="9" t="s">
        <v>27</v>
      </c>
      <c r="AC12" s="9" t="s">
        <v>27</v>
      </c>
      <c r="AD12" s="9" t="s">
        <v>27</v>
      </c>
      <c r="AE12" s="9" t="s">
        <v>27</v>
      </c>
      <c r="AF12" s="9" t="s">
        <v>27</v>
      </c>
      <c r="AG12" s="9" t="s">
        <v>27</v>
      </c>
      <c r="AH12" s="9" t="s">
        <v>27</v>
      </c>
      <c r="AI12" s="9" t="s">
        <v>27</v>
      </c>
      <c r="AJ12" s="9" t="s">
        <v>27</v>
      </c>
      <c r="AK12" s="9" t="s">
        <v>27</v>
      </c>
      <c r="AL12" s="9" t="s">
        <v>27</v>
      </c>
      <c r="AM12" s="9" t="s">
        <v>28</v>
      </c>
    </row>
    <row r="13" spans="1:39" ht="15" customHeight="1" thickBot="1" x14ac:dyDescent="0.3">
      <c r="B13" s="5" t="s">
        <v>1296</v>
      </c>
      <c r="C13" s="5">
        <v>2015</v>
      </c>
      <c r="D13" s="5">
        <v>2016</v>
      </c>
      <c r="E13" s="5">
        <v>2017</v>
      </c>
      <c r="F13" s="5">
        <v>2018</v>
      </c>
      <c r="G13" s="5">
        <v>2019</v>
      </c>
      <c r="H13" s="5">
        <v>2020</v>
      </c>
      <c r="I13" s="5">
        <v>2021</v>
      </c>
      <c r="J13" s="5">
        <v>2022</v>
      </c>
      <c r="K13" s="5">
        <v>2023</v>
      </c>
      <c r="L13" s="5">
        <v>2024</v>
      </c>
      <c r="M13" s="5">
        <v>2025</v>
      </c>
      <c r="N13" s="5">
        <v>2026</v>
      </c>
      <c r="O13" s="5">
        <v>2027</v>
      </c>
      <c r="P13" s="5">
        <v>2028</v>
      </c>
      <c r="Q13" s="5">
        <v>2029</v>
      </c>
      <c r="R13" s="5">
        <v>2030</v>
      </c>
      <c r="S13" s="5">
        <v>2031</v>
      </c>
      <c r="T13" s="5">
        <v>2032</v>
      </c>
      <c r="U13" s="5">
        <v>2033</v>
      </c>
      <c r="V13" s="5">
        <v>2034</v>
      </c>
      <c r="W13" s="5">
        <v>2035</v>
      </c>
      <c r="X13" s="5">
        <v>2036</v>
      </c>
      <c r="Y13" s="5">
        <v>2037</v>
      </c>
      <c r="Z13" s="5">
        <v>2038</v>
      </c>
      <c r="AA13" s="5">
        <v>2039</v>
      </c>
      <c r="AB13" s="5">
        <v>2040</v>
      </c>
      <c r="AC13" s="5">
        <v>2041</v>
      </c>
      <c r="AD13" s="5">
        <v>2042</v>
      </c>
      <c r="AE13" s="5">
        <v>2043</v>
      </c>
      <c r="AF13" s="5">
        <v>2044</v>
      </c>
      <c r="AG13" s="5">
        <v>2045</v>
      </c>
      <c r="AH13" s="5">
        <v>2046</v>
      </c>
      <c r="AI13" s="5">
        <v>2047</v>
      </c>
      <c r="AJ13" s="5">
        <v>2048</v>
      </c>
      <c r="AK13" s="5">
        <v>2049</v>
      </c>
      <c r="AL13" s="5">
        <v>2050</v>
      </c>
      <c r="AM13" s="5">
        <v>2050</v>
      </c>
    </row>
    <row r="14" spans="1:39" ht="15" customHeight="1" thickTop="1" x14ac:dyDescent="0.25"/>
    <row r="15" spans="1:39" ht="15" customHeight="1" x14ac:dyDescent="0.25">
      <c r="B15" s="10" t="s">
        <v>1297</v>
      </c>
    </row>
    <row r="16" spans="1:39" ht="15" customHeight="1" x14ac:dyDescent="0.25">
      <c r="A16" s="7" t="s">
        <v>1298</v>
      </c>
      <c r="B16" s="11" t="s">
        <v>1299</v>
      </c>
      <c r="C16" s="16">
        <v>27.032408</v>
      </c>
      <c r="D16" s="16">
        <v>26.531811000000001</v>
      </c>
      <c r="E16" s="16">
        <v>27.857693000000001</v>
      </c>
      <c r="F16" s="16">
        <v>29.149529000000001</v>
      </c>
      <c r="G16" s="16">
        <v>30.037248999999999</v>
      </c>
      <c r="H16" s="16">
        <v>30.827705000000002</v>
      </c>
      <c r="I16" s="16">
        <v>30.954079</v>
      </c>
      <c r="J16" s="16">
        <v>31.377459000000002</v>
      </c>
      <c r="K16" s="16">
        <v>31.940556999999998</v>
      </c>
      <c r="L16" s="16">
        <v>32.471752000000002</v>
      </c>
      <c r="M16" s="16">
        <v>32.967162999999999</v>
      </c>
      <c r="N16" s="16">
        <v>33.447758</v>
      </c>
      <c r="O16" s="16">
        <v>33.636581</v>
      </c>
      <c r="P16" s="16">
        <v>33.910136999999999</v>
      </c>
      <c r="Q16" s="16">
        <v>34.114662000000003</v>
      </c>
      <c r="R16" s="16">
        <v>34.250163999999998</v>
      </c>
      <c r="S16" s="16">
        <v>34.422108000000001</v>
      </c>
      <c r="T16" s="16">
        <v>34.675708999999998</v>
      </c>
      <c r="U16" s="16">
        <v>34.946781000000001</v>
      </c>
      <c r="V16" s="16">
        <v>35.315510000000003</v>
      </c>
      <c r="W16" s="16">
        <v>35.829951999999999</v>
      </c>
      <c r="X16" s="16">
        <v>36.240260999999997</v>
      </c>
      <c r="Y16" s="16">
        <v>36.597397000000001</v>
      </c>
      <c r="Z16" s="16">
        <v>36.875061000000002</v>
      </c>
      <c r="AA16" s="16">
        <v>37.218333999999999</v>
      </c>
      <c r="AB16" s="16">
        <v>37.402797999999997</v>
      </c>
      <c r="AC16" s="16">
        <v>37.586575000000003</v>
      </c>
      <c r="AD16" s="16">
        <v>37.697651</v>
      </c>
      <c r="AE16" s="16">
        <v>37.889831999999998</v>
      </c>
      <c r="AF16" s="16">
        <v>38.166415999999998</v>
      </c>
      <c r="AG16" s="16">
        <v>38.437828000000003</v>
      </c>
      <c r="AH16" s="16">
        <v>38.673653000000002</v>
      </c>
      <c r="AI16" s="16">
        <v>38.938693999999998</v>
      </c>
      <c r="AJ16" s="16">
        <v>39.158157000000003</v>
      </c>
      <c r="AK16" s="16">
        <v>39.380530999999998</v>
      </c>
      <c r="AL16" s="16">
        <v>39.660843</v>
      </c>
      <c r="AM16" s="13">
        <v>1.1894E-2</v>
      </c>
    </row>
    <row r="17" spans="1:39" ht="15" customHeight="1" x14ac:dyDescent="0.25">
      <c r="A17" s="7" t="s">
        <v>1300</v>
      </c>
      <c r="B17" s="11" t="s">
        <v>1301</v>
      </c>
      <c r="C17" s="16">
        <v>5.8624999999999997E-2</v>
      </c>
      <c r="D17" s="16">
        <v>5.4899000000000003E-2</v>
      </c>
      <c r="E17" s="16">
        <v>5.8396999999999998E-2</v>
      </c>
      <c r="F17" s="16">
        <v>6.2137999999999999E-2</v>
      </c>
      <c r="G17" s="16">
        <v>6.2137999999999999E-2</v>
      </c>
      <c r="H17" s="16">
        <v>6.2137999999999999E-2</v>
      </c>
      <c r="I17" s="16">
        <v>6.2137999999999999E-2</v>
      </c>
      <c r="J17" s="16">
        <v>6.2137999999999999E-2</v>
      </c>
      <c r="K17" s="16">
        <v>6.2137999999999999E-2</v>
      </c>
      <c r="L17" s="16">
        <v>6.2137999999999999E-2</v>
      </c>
      <c r="M17" s="16">
        <v>6.2137999999999999E-2</v>
      </c>
      <c r="N17" s="16">
        <v>6.2137999999999999E-2</v>
      </c>
      <c r="O17" s="16">
        <v>6.2137999999999999E-2</v>
      </c>
      <c r="P17" s="16">
        <v>6.2137999999999999E-2</v>
      </c>
      <c r="Q17" s="16">
        <v>6.2137999999999999E-2</v>
      </c>
      <c r="R17" s="16">
        <v>6.2137999999999999E-2</v>
      </c>
      <c r="S17" s="16">
        <v>6.2137999999999999E-2</v>
      </c>
      <c r="T17" s="16">
        <v>6.2137999999999999E-2</v>
      </c>
      <c r="U17" s="16">
        <v>6.2137999999999999E-2</v>
      </c>
      <c r="V17" s="16">
        <v>6.2137999999999999E-2</v>
      </c>
      <c r="W17" s="16">
        <v>6.2137999999999999E-2</v>
      </c>
      <c r="X17" s="16">
        <v>6.2137999999999999E-2</v>
      </c>
      <c r="Y17" s="16">
        <v>6.2137999999999999E-2</v>
      </c>
      <c r="Z17" s="16">
        <v>6.2137999999999999E-2</v>
      </c>
      <c r="AA17" s="16">
        <v>6.2137999999999999E-2</v>
      </c>
      <c r="AB17" s="16">
        <v>6.2137999999999999E-2</v>
      </c>
      <c r="AC17" s="16">
        <v>6.2137999999999999E-2</v>
      </c>
      <c r="AD17" s="16">
        <v>6.2137999999999999E-2</v>
      </c>
      <c r="AE17" s="16">
        <v>6.2137999999999999E-2</v>
      </c>
      <c r="AF17" s="16">
        <v>6.2137999999999999E-2</v>
      </c>
      <c r="AG17" s="16">
        <v>6.2137999999999999E-2</v>
      </c>
      <c r="AH17" s="16">
        <v>6.2137999999999999E-2</v>
      </c>
      <c r="AI17" s="16">
        <v>6.2137999999999999E-2</v>
      </c>
      <c r="AJ17" s="16">
        <v>6.2137999999999999E-2</v>
      </c>
      <c r="AK17" s="16">
        <v>6.2137999999999999E-2</v>
      </c>
      <c r="AL17" s="16">
        <v>6.2137999999999999E-2</v>
      </c>
      <c r="AM17" s="13">
        <v>3.65E-3</v>
      </c>
    </row>
    <row r="19" spans="1:39" ht="15" customHeight="1" x14ac:dyDescent="0.25">
      <c r="A19" s="7" t="s">
        <v>1302</v>
      </c>
      <c r="B19" s="10" t="s">
        <v>1303</v>
      </c>
      <c r="C19" s="17">
        <v>0.93483400000000005</v>
      </c>
      <c r="D19" s="17">
        <v>0.93196199999999996</v>
      </c>
      <c r="E19" s="17">
        <v>0.290883</v>
      </c>
      <c r="F19" s="17">
        <v>-0.77198999999999995</v>
      </c>
      <c r="G19" s="17">
        <v>-2.0648300000000002</v>
      </c>
      <c r="H19" s="17">
        <v>-3.3650709999999999</v>
      </c>
      <c r="I19" s="17">
        <v>-3.6424319999999999</v>
      </c>
      <c r="J19" s="17">
        <v>-4.0081519999999999</v>
      </c>
      <c r="K19" s="17">
        <v>-4.3418850000000004</v>
      </c>
      <c r="L19" s="17">
        <v>-4.6451529999999996</v>
      </c>
      <c r="M19" s="17">
        <v>-4.7715050000000003</v>
      </c>
      <c r="N19" s="17">
        <v>-4.9581299999999997</v>
      </c>
      <c r="O19" s="17">
        <v>-5.1004670000000001</v>
      </c>
      <c r="P19" s="17">
        <v>-5.2798049999999996</v>
      </c>
      <c r="Q19" s="17">
        <v>-5.431451</v>
      </c>
      <c r="R19" s="17">
        <v>-5.5405280000000001</v>
      </c>
      <c r="S19" s="17">
        <v>-5.6111000000000004</v>
      </c>
      <c r="T19" s="17">
        <v>-5.6708850000000002</v>
      </c>
      <c r="U19" s="17">
        <v>-5.7560630000000002</v>
      </c>
      <c r="V19" s="17">
        <v>-5.7776370000000004</v>
      </c>
      <c r="W19" s="17">
        <v>-5.865424</v>
      </c>
      <c r="X19" s="17">
        <v>-5.9568250000000003</v>
      </c>
      <c r="Y19" s="17">
        <v>-6.0320220000000004</v>
      </c>
      <c r="Z19" s="17">
        <v>-6.0166399999999998</v>
      </c>
      <c r="AA19" s="17">
        <v>-5.9913780000000001</v>
      </c>
      <c r="AB19" s="17">
        <v>-5.9688290000000004</v>
      </c>
      <c r="AC19" s="17">
        <v>-5.9421080000000002</v>
      </c>
      <c r="AD19" s="17">
        <v>-5.9111890000000002</v>
      </c>
      <c r="AE19" s="17">
        <v>-5.8974270000000004</v>
      </c>
      <c r="AF19" s="17">
        <v>-5.8742599999999996</v>
      </c>
      <c r="AG19" s="17">
        <v>-5.8498939999999999</v>
      </c>
      <c r="AH19" s="17">
        <v>-5.8326979999999997</v>
      </c>
      <c r="AI19" s="17">
        <v>-5.8230880000000003</v>
      </c>
      <c r="AJ19" s="17">
        <v>-5.835242</v>
      </c>
      <c r="AK19" s="17">
        <v>-5.8454040000000003</v>
      </c>
      <c r="AL19" s="17">
        <v>-5.8331910000000002</v>
      </c>
      <c r="AM19" s="15" t="s">
        <v>13</v>
      </c>
    </row>
    <row r="20" spans="1:39" ht="15" customHeight="1" x14ac:dyDescent="0.25">
      <c r="A20" s="7" t="s">
        <v>1304</v>
      </c>
      <c r="B20" s="11" t="s">
        <v>1305</v>
      </c>
      <c r="C20" s="16">
        <v>0.87190500000000004</v>
      </c>
      <c r="D20" s="16">
        <v>1.0234239999999999</v>
      </c>
      <c r="E20" s="16">
        <v>0.75078299999999998</v>
      </c>
      <c r="F20" s="16">
        <v>0.17241000000000001</v>
      </c>
      <c r="G20" s="16">
        <v>-0.25523099999999999</v>
      </c>
      <c r="H20" s="16">
        <v>-0.50657099999999999</v>
      </c>
      <c r="I20" s="16">
        <v>-0.66093199999999996</v>
      </c>
      <c r="J20" s="16">
        <v>-0.82665200000000005</v>
      </c>
      <c r="K20" s="16">
        <v>-0.96038500000000004</v>
      </c>
      <c r="L20" s="16">
        <v>-0.99698600000000004</v>
      </c>
      <c r="M20" s="16">
        <v>-1.0566720000000001</v>
      </c>
      <c r="N20" s="16">
        <v>-1.109963</v>
      </c>
      <c r="O20" s="16">
        <v>-1.1856340000000001</v>
      </c>
      <c r="P20" s="16">
        <v>-1.231638</v>
      </c>
      <c r="Q20" s="16">
        <v>-1.3166169999999999</v>
      </c>
      <c r="R20" s="16">
        <v>-1.3590279999999999</v>
      </c>
      <c r="S20" s="16">
        <v>-1.362932</v>
      </c>
      <c r="T20" s="16">
        <v>-1.3560509999999999</v>
      </c>
      <c r="U20" s="16">
        <v>-1.374563</v>
      </c>
      <c r="V20" s="16">
        <v>-1.3961380000000001</v>
      </c>
      <c r="W20" s="16">
        <v>-1.417257</v>
      </c>
      <c r="X20" s="16">
        <v>-1.4419919999999999</v>
      </c>
      <c r="Y20" s="16">
        <v>-1.4505209999999999</v>
      </c>
      <c r="Z20" s="16">
        <v>-1.4351400000000001</v>
      </c>
      <c r="AA20" s="16">
        <v>-1.409878</v>
      </c>
      <c r="AB20" s="16">
        <v>-1.387329</v>
      </c>
      <c r="AC20" s="16">
        <v>-1.360608</v>
      </c>
      <c r="AD20" s="16">
        <v>-1.329688</v>
      </c>
      <c r="AE20" s="16">
        <v>-1.3159259999999999</v>
      </c>
      <c r="AF20" s="16">
        <v>-1.2927599999999999</v>
      </c>
      <c r="AG20" s="16">
        <v>-1.268394</v>
      </c>
      <c r="AH20" s="16">
        <v>-1.251198</v>
      </c>
      <c r="AI20" s="16">
        <v>-1.2415879999999999</v>
      </c>
      <c r="AJ20" s="16">
        <v>-1.2537419999999999</v>
      </c>
      <c r="AK20" s="16">
        <v>-1.2639039999999999</v>
      </c>
      <c r="AL20" s="16">
        <v>-1.2516910000000001</v>
      </c>
      <c r="AM20" s="13" t="s">
        <v>13</v>
      </c>
    </row>
    <row r="21" spans="1:39" ht="15" customHeight="1" x14ac:dyDescent="0.25">
      <c r="A21" s="7" t="s">
        <v>1306</v>
      </c>
      <c r="B21" s="11" t="s">
        <v>1307</v>
      </c>
      <c r="C21" s="16">
        <v>6.2928999999999999E-2</v>
      </c>
      <c r="D21" s="16">
        <v>-9.1462000000000002E-2</v>
      </c>
      <c r="E21" s="16">
        <v>-0.45989999999999998</v>
      </c>
      <c r="F21" s="16">
        <v>-0.94440000000000002</v>
      </c>
      <c r="G21" s="16">
        <v>-1.8096000000000001</v>
      </c>
      <c r="H21" s="16">
        <v>-2.8584999999999998</v>
      </c>
      <c r="I21" s="16">
        <v>-2.9815</v>
      </c>
      <c r="J21" s="16">
        <v>-3.1815000000000002</v>
      </c>
      <c r="K21" s="16">
        <v>-3.3815</v>
      </c>
      <c r="L21" s="16">
        <v>-3.6481669999999999</v>
      </c>
      <c r="M21" s="16">
        <v>-3.7148330000000001</v>
      </c>
      <c r="N21" s="16">
        <v>-3.8481670000000001</v>
      </c>
      <c r="O21" s="16">
        <v>-3.9148339999999999</v>
      </c>
      <c r="P21" s="16">
        <v>-4.0481670000000003</v>
      </c>
      <c r="Q21" s="16">
        <v>-4.114833</v>
      </c>
      <c r="R21" s="16">
        <v>-4.1814999999999998</v>
      </c>
      <c r="S21" s="16">
        <v>-4.2481669999999996</v>
      </c>
      <c r="T21" s="16">
        <v>-4.3148340000000003</v>
      </c>
      <c r="U21" s="16">
        <v>-4.3815</v>
      </c>
      <c r="V21" s="16">
        <v>-4.3815</v>
      </c>
      <c r="W21" s="16">
        <v>-4.4481669999999998</v>
      </c>
      <c r="X21" s="16">
        <v>-4.5148339999999996</v>
      </c>
      <c r="Y21" s="16">
        <v>-4.5815000000000001</v>
      </c>
      <c r="Z21" s="16">
        <v>-4.5815000000000001</v>
      </c>
      <c r="AA21" s="16">
        <v>-4.5815000000000001</v>
      </c>
      <c r="AB21" s="16">
        <v>-4.5815000000000001</v>
      </c>
      <c r="AC21" s="16">
        <v>-4.5815000000000001</v>
      </c>
      <c r="AD21" s="16">
        <v>-4.5815000000000001</v>
      </c>
      <c r="AE21" s="16">
        <v>-4.5815000000000001</v>
      </c>
      <c r="AF21" s="16">
        <v>-4.5815000000000001</v>
      </c>
      <c r="AG21" s="16">
        <v>-4.5815000000000001</v>
      </c>
      <c r="AH21" s="16">
        <v>-4.5815000000000001</v>
      </c>
      <c r="AI21" s="16">
        <v>-4.5815000000000001</v>
      </c>
      <c r="AJ21" s="16">
        <v>-4.5815000000000001</v>
      </c>
      <c r="AK21" s="16">
        <v>-4.5815000000000001</v>
      </c>
      <c r="AL21" s="16">
        <v>-4.5815000000000001</v>
      </c>
      <c r="AM21" s="13">
        <v>0.122001</v>
      </c>
    </row>
    <row r="23" spans="1:39" ht="15" customHeight="1" x14ac:dyDescent="0.25">
      <c r="A23" s="7" t="s">
        <v>1308</v>
      </c>
      <c r="B23" s="10" t="s">
        <v>1309</v>
      </c>
      <c r="C23" s="17">
        <v>28.025866000000001</v>
      </c>
      <c r="D23" s="17">
        <v>27.518673</v>
      </c>
      <c r="E23" s="17">
        <v>28.206973999999999</v>
      </c>
      <c r="F23" s="17">
        <v>28.439675999999999</v>
      </c>
      <c r="G23" s="17">
        <v>28.034555000000001</v>
      </c>
      <c r="H23" s="17">
        <v>27.524773</v>
      </c>
      <c r="I23" s="17">
        <v>27.373783</v>
      </c>
      <c r="J23" s="17">
        <v>27.431443999999999</v>
      </c>
      <c r="K23" s="17">
        <v>27.660812</v>
      </c>
      <c r="L23" s="17">
        <v>27.888736999999999</v>
      </c>
      <c r="M23" s="17">
        <v>28.257795000000002</v>
      </c>
      <c r="N23" s="17">
        <v>28.551765</v>
      </c>
      <c r="O23" s="17">
        <v>28.598251000000001</v>
      </c>
      <c r="P23" s="17">
        <v>28.692471000000001</v>
      </c>
      <c r="Q23" s="17">
        <v>28.745349999999998</v>
      </c>
      <c r="R23" s="17">
        <v>28.771774000000001</v>
      </c>
      <c r="S23" s="17">
        <v>28.873145999999998</v>
      </c>
      <c r="T23" s="17">
        <v>29.066960999999999</v>
      </c>
      <c r="U23" s="17">
        <v>29.252855</v>
      </c>
      <c r="V23" s="17">
        <v>29.600010000000001</v>
      </c>
      <c r="W23" s="17">
        <v>30.026667</v>
      </c>
      <c r="X23" s="17">
        <v>30.345573000000002</v>
      </c>
      <c r="Y23" s="17">
        <v>30.627511999999999</v>
      </c>
      <c r="Z23" s="17">
        <v>30.920559000000001</v>
      </c>
      <c r="AA23" s="17">
        <v>31.289093000000001</v>
      </c>
      <c r="AB23" s="17">
        <v>31.496106999999999</v>
      </c>
      <c r="AC23" s="17">
        <v>31.706603999999999</v>
      </c>
      <c r="AD23" s="17">
        <v>31.848600000000001</v>
      </c>
      <c r="AE23" s="17">
        <v>32.054543000000002</v>
      </c>
      <c r="AF23" s="17">
        <v>32.354294000000003</v>
      </c>
      <c r="AG23" s="17">
        <v>32.650069999999999</v>
      </c>
      <c r="AH23" s="17">
        <v>32.903091000000003</v>
      </c>
      <c r="AI23" s="17">
        <v>33.177742000000002</v>
      </c>
      <c r="AJ23" s="17">
        <v>33.385052000000002</v>
      </c>
      <c r="AK23" s="17">
        <v>33.597267000000002</v>
      </c>
      <c r="AL23" s="17">
        <v>33.889789999999998</v>
      </c>
      <c r="AM23" s="15">
        <v>6.1440000000000002E-3</v>
      </c>
    </row>
    <row r="25" spans="1:39" ht="15" customHeight="1" x14ac:dyDescent="0.25">
      <c r="B25" s="10" t="s">
        <v>1310</v>
      </c>
    </row>
    <row r="26" spans="1:39" ht="15" customHeight="1" x14ac:dyDescent="0.25">
      <c r="A26" s="7" t="s">
        <v>1311</v>
      </c>
      <c r="B26" s="11" t="s">
        <v>1312</v>
      </c>
      <c r="C26" s="16">
        <v>4.6096640000000004</v>
      </c>
      <c r="D26" s="16">
        <v>4.4223920000000003</v>
      </c>
      <c r="E26" s="16">
        <v>4.6181179999999999</v>
      </c>
      <c r="F26" s="16">
        <v>4.6642089999999996</v>
      </c>
      <c r="G26" s="16">
        <v>4.65449</v>
      </c>
      <c r="H26" s="16">
        <v>4.647608</v>
      </c>
      <c r="I26" s="16">
        <v>4.6440000000000001</v>
      </c>
      <c r="J26" s="16">
        <v>4.642684</v>
      </c>
      <c r="K26" s="16">
        <v>4.6434499999999996</v>
      </c>
      <c r="L26" s="16">
        <v>4.6471349999999996</v>
      </c>
      <c r="M26" s="16">
        <v>4.6499649999999999</v>
      </c>
      <c r="N26" s="16">
        <v>4.6482919999999996</v>
      </c>
      <c r="O26" s="16">
        <v>4.6427519999999998</v>
      </c>
      <c r="P26" s="16">
        <v>4.6357419999999996</v>
      </c>
      <c r="Q26" s="16">
        <v>4.6291739999999999</v>
      </c>
      <c r="R26" s="16">
        <v>4.6239150000000002</v>
      </c>
      <c r="S26" s="16">
        <v>4.6178900000000001</v>
      </c>
      <c r="T26" s="16">
        <v>4.6100779999999997</v>
      </c>
      <c r="U26" s="16">
        <v>4.6024589999999996</v>
      </c>
      <c r="V26" s="16">
        <v>4.5955680000000001</v>
      </c>
      <c r="W26" s="16">
        <v>4.5858160000000003</v>
      </c>
      <c r="X26" s="16">
        <v>4.5743280000000004</v>
      </c>
      <c r="Y26" s="16">
        <v>4.5636299999999999</v>
      </c>
      <c r="Z26" s="16">
        <v>4.556235</v>
      </c>
      <c r="AA26" s="16">
        <v>4.5503099999999996</v>
      </c>
      <c r="AB26" s="16">
        <v>4.5476450000000002</v>
      </c>
      <c r="AC26" s="16">
        <v>4.5476210000000004</v>
      </c>
      <c r="AD26" s="16">
        <v>4.547231</v>
      </c>
      <c r="AE26" s="16">
        <v>4.5469989999999996</v>
      </c>
      <c r="AF26" s="16">
        <v>4.5474620000000003</v>
      </c>
      <c r="AG26" s="16">
        <v>4.5485300000000004</v>
      </c>
      <c r="AH26" s="16">
        <v>4.5502260000000003</v>
      </c>
      <c r="AI26" s="16">
        <v>4.5524659999999999</v>
      </c>
      <c r="AJ26" s="16">
        <v>4.5542639999999999</v>
      </c>
      <c r="AK26" s="16">
        <v>4.5551680000000001</v>
      </c>
      <c r="AL26" s="16">
        <v>4.5565740000000003</v>
      </c>
      <c r="AM26" s="13">
        <v>8.8000000000000003E-4</v>
      </c>
    </row>
    <row r="27" spans="1:39" ht="15" customHeight="1" x14ac:dyDescent="0.25">
      <c r="A27" s="7" t="s">
        <v>1313</v>
      </c>
      <c r="B27" s="11" t="s">
        <v>1314</v>
      </c>
      <c r="C27" s="16">
        <v>3.1987909999999999</v>
      </c>
      <c r="D27" s="16">
        <v>3.1266970000000001</v>
      </c>
      <c r="E27" s="16">
        <v>3.2230789999999998</v>
      </c>
      <c r="F27" s="16">
        <v>3.2158329999999999</v>
      </c>
      <c r="G27" s="16">
        <v>3.173054</v>
      </c>
      <c r="H27" s="16">
        <v>3.1330640000000001</v>
      </c>
      <c r="I27" s="16">
        <v>3.1148600000000002</v>
      </c>
      <c r="J27" s="16">
        <v>3.1163850000000002</v>
      </c>
      <c r="K27" s="16">
        <v>3.122207</v>
      </c>
      <c r="L27" s="16">
        <v>3.13028</v>
      </c>
      <c r="M27" s="16">
        <v>3.1408309999999999</v>
      </c>
      <c r="N27" s="16">
        <v>3.1495160000000002</v>
      </c>
      <c r="O27" s="16">
        <v>3.155672</v>
      </c>
      <c r="P27" s="16">
        <v>3.1630889999999998</v>
      </c>
      <c r="Q27" s="16">
        <v>3.1730149999999999</v>
      </c>
      <c r="R27" s="16">
        <v>3.1855479999999998</v>
      </c>
      <c r="S27" s="16">
        <v>3.1994940000000001</v>
      </c>
      <c r="T27" s="16">
        <v>3.2159430000000002</v>
      </c>
      <c r="U27" s="16">
        <v>3.2350059999999998</v>
      </c>
      <c r="V27" s="16">
        <v>3.255131</v>
      </c>
      <c r="W27" s="16">
        <v>3.2728169999999999</v>
      </c>
      <c r="X27" s="16">
        <v>3.2895430000000001</v>
      </c>
      <c r="Y27" s="16">
        <v>3.3073969999999999</v>
      </c>
      <c r="Z27" s="16">
        <v>3.3290139999999999</v>
      </c>
      <c r="AA27" s="16">
        <v>3.3518140000000001</v>
      </c>
      <c r="AB27" s="16">
        <v>3.3776660000000001</v>
      </c>
      <c r="AC27" s="16">
        <v>3.4061870000000001</v>
      </c>
      <c r="AD27" s="16">
        <v>3.4342890000000001</v>
      </c>
      <c r="AE27" s="16">
        <v>3.462628</v>
      </c>
      <c r="AF27" s="16">
        <v>3.4927839999999999</v>
      </c>
      <c r="AG27" s="16">
        <v>3.522602</v>
      </c>
      <c r="AH27" s="16">
        <v>3.552619</v>
      </c>
      <c r="AI27" s="16">
        <v>3.5836929999999998</v>
      </c>
      <c r="AJ27" s="16">
        <v>3.6147499999999999</v>
      </c>
      <c r="AK27" s="16">
        <v>3.6451910000000001</v>
      </c>
      <c r="AL27" s="16">
        <v>3.6760660000000001</v>
      </c>
      <c r="AM27" s="13">
        <v>4.7720000000000002E-3</v>
      </c>
    </row>
    <row r="28" spans="1:39" ht="15" customHeight="1" x14ac:dyDescent="0.25">
      <c r="A28" s="7" t="s">
        <v>1315</v>
      </c>
      <c r="B28" s="11" t="s">
        <v>1316</v>
      </c>
      <c r="C28" s="16">
        <v>7.5345940000000002</v>
      </c>
      <c r="D28" s="16">
        <v>7.7022389999999996</v>
      </c>
      <c r="E28" s="16">
        <v>7.7860680000000002</v>
      </c>
      <c r="F28" s="16">
        <v>8.0345099999999992</v>
      </c>
      <c r="G28" s="16">
        <v>8.2492160000000005</v>
      </c>
      <c r="H28" s="16">
        <v>8.3257390000000004</v>
      </c>
      <c r="I28" s="16">
        <v>8.4727259999999998</v>
      </c>
      <c r="J28" s="16">
        <v>8.6356169999999999</v>
      </c>
      <c r="K28" s="16">
        <v>8.7627400000000009</v>
      </c>
      <c r="L28" s="16">
        <v>8.842784</v>
      </c>
      <c r="M28" s="16">
        <v>8.9000540000000008</v>
      </c>
      <c r="N28" s="16">
        <v>8.9125619999999994</v>
      </c>
      <c r="O28" s="16">
        <v>8.852646</v>
      </c>
      <c r="P28" s="16">
        <v>8.8638159999999999</v>
      </c>
      <c r="Q28" s="16">
        <v>8.8833219999999997</v>
      </c>
      <c r="R28" s="16">
        <v>8.8964669999999995</v>
      </c>
      <c r="S28" s="16">
        <v>8.9188390000000002</v>
      </c>
      <c r="T28" s="16">
        <v>8.9684720000000002</v>
      </c>
      <c r="U28" s="16">
        <v>9.0090260000000004</v>
      </c>
      <c r="V28" s="16">
        <v>9.0827489999999997</v>
      </c>
      <c r="W28" s="16">
        <v>9.1429569999999991</v>
      </c>
      <c r="X28" s="16">
        <v>9.2258759999999995</v>
      </c>
      <c r="Y28" s="16">
        <v>9.2878919999999994</v>
      </c>
      <c r="Z28" s="16">
        <v>9.3517349999999997</v>
      </c>
      <c r="AA28" s="16">
        <v>9.4344640000000002</v>
      </c>
      <c r="AB28" s="16">
        <v>9.5046739999999996</v>
      </c>
      <c r="AC28" s="16">
        <v>9.5531570000000006</v>
      </c>
      <c r="AD28" s="16">
        <v>9.5905489999999993</v>
      </c>
      <c r="AE28" s="16">
        <v>9.6346489999999996</v>
      </c>
      <c r="AF28" s="16">
        <v>9.6976639999999996</v>
      </c>
      <c r="AG28" s="16">
        <v>9.7697000000000003</v>
      </c>
      <c r="AH28" s="16">
        <v>9.8364740000000008</v>
      </c>
      <c r="AI28" s="16">
        <v>9.9006319999999999</v>
      </c>
      <c r="AJ28" s="16">
        <v>9.9598239999999993</v>
      </c>
      <c r="AK28" s="16">
        <v>10.044325000000001</v>
      </c>
      <c r="AL28" s="16">
        <v>10.133386</v>
      </c>
      <c r="AM28" s="13">
        <v>8.1010000000000006E-3</v>
      </c>
    </row>
    <row r="29" spans="1:39" ht="15" customHeight="1" x14ac:dyDescent="0.25">
      <c r="A29" s="7" t="s">
        <v>1317</v>
      </c>
      <c r="B29" s="11" t="s">
        <v>1318</v>
      </c>
      <c r="C29" s="16">
        <v>0</v>
      </c>
      <c r="D29" s="16">
        <v>0</v>
      </c>
      <c r="E29" s="16">
        <v>0</v>
      </c>
      <c r="F29" s="16">
        <v>0</v>
      </c>
      <c r="G29" s="16">
        <v>0</v>
      </c>
      <c r="H29" s="16">
        <v>0</v>
      </c>
      <c r="I29" s="16">
        <v>0</v>
      </c>
      <c r="J29" s="16">
        <v>0</v>
      </c>
      <c r="K29" s="16">
        <v>0</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v>0</v>
      </c>
      <c r="AM29" s="13" t="s">
        <v>13</v>
      </c>
    </row>
    <row r="30" spans="1:39" ht="15" customHeight="1" x14ac:dyDescent="0.25">
      <c r="A30" s="7" t="s">
        <v>1319</v>
      </c>
      <c r="B30" s="11" t="s">
        <v>1320</v>
      </c>
      <c r="C30" s="16">
        <v>0</v>
      </c>
      <c r="D30" s="16">
        <v>0</v>
      </c>
      <c r="E30" s="16">
        <v>0</v>
      </c>
      <c r="F30" s="16">
        <v>0</v>
      </c>
      <c r="G30" s="16">
        <v>0</v>
      </c>
      <c r="H30" s="16">
        <v>0</v>
      </c>
      <c r="I30" s="16">
        <v>0</v>
      </c>
      <c r="J30" s="16">
        <v>0</v>
      </c>
      <c r="K30" s="16">
        <v>0</v>
      </c>
      <c r="L30" s="16">
        <v>0</v>
      </c>
      <c r="M30" s="16">
        <v>0</v>
      </c>
      <c r="N30" s="16">
        <v>0</v>
      </c>
      <c r="O30" s="16">
        <v>0</v>
      </c>
      <c r="P30" s="16">
        <v>0</v>
      </c>
      <c r="Q30" s="16">
        <v>0</v>
      </c>
      <c r="R30" s="16">
        <v>0</v>
      </c>
      <c r="S30" s="16">
        <v>0</v>
      </c>
      <c r="T30" s="16">
        <v>0</v>
      </c>
      <c r="U30" s="16">
        <v>0</v>
      </c>
      <c r="V30" s="16">
        <v>0</v>
      </c>
      <c r="W30" s="16">
        <v>0</v>
      </c>
      <c r="X30" s="16">
        <v>0</v>
      </c>
      <c r="Y30" s="16">
        <v>0</v>
      </c>
      <c r="Z30" s="16">
        <v>0</v>
      </c>
      <c r="AA30" s="16">
        <v>0</v>
      </c>
      <c r="AB30" s="16">
        <v>0</v>
      </c>
      <c r="AC30" s="16">
        <v>0</v>
      </c>
      <c r="AD30" s="16">
        <v>0</v>
      </c>
      <c r="AE30" s="16">
        <v>0</v>
      </c>
      <c r="AF30" s="16">
        <v>0</v>
      </c>
      <c r="AG30" s="16">
        <v>0</v>
      </c>
      <c r="AH30" s="16">
        <v>0</v>
      </c>
      <c r="AI30" s="16">
        <v>0</v>
      </c>
      <c r="AJ30" s="16">
        <v>0</v>
      </c>
      <c r="AK30" s="16">
        <v>0</v>
      </c>
      <c r="AL30" s="16">
        <v>0</v>
      </c>
      <c r="AM30" s="13" t="s">
        <v>13</v>
      </c>
    </row>
    <row r="31" spans="1:39" ht="15" customHeight="1" x14ac:dyDescent="0.25">
      <c r="A31" s="7" t="s">
        <v>1321</v>
      </c>
      <c r="B31" s="11" t="s">
        <v>1322</v>
      </c>
      <c r="C31" s="16">
        <v>9.6323779999999992</v>
      </c>
      <c r="D31" s="16">
        <v>10.104773</v>
      </c>
      <c r="E31" s="16">
        <v>9.8159399999999994</v>
      </c>
      <c r="F31" s="16">
        <v>9.7240230000000007</v>
      </c>
      <c r="G31" s="16">
        <v>9.1307030000000005</v>
      </c>
      <c r="H31" s="16">
        <v>8.5450529999999993</v>
      </c>
      <c r="I31" s="16">
        <v>8.2457189999999994</v>
      </c>
      <c r="J31" s="16">
        <v>8.0902589999999996</v>
      </c>
      <c r="K31" s="16">
        <v>8.1291250000000002</v>
      </c>
      <c r="L31" s="16">
        <v>8.2007019999999997</v>
      </c>
      <c r="M31" s="16">
        <v>8.4548319999999997</v>
      </c>
      <c r="N31" s="16">
        <v>8.6723110000000005</v>
      </c>
      <c r="O31" s="16">
        <v>8.7605350000000008</v>
      </c>
      <c r="P31" s="16">
        <v>8.801418</v>
      </c>
      <c r="Q31" s="16">
        <v>8.8011350000000004</v>
      </c>
      <c r="R31" s="16">
        <v>8.7820970000000003</v>
      </c>
      <c r="S31" s="16">
        <v>8.8285909999999994</v>
      </c>
      <c r="T31" s="16">
        <v>8.9354130000000005</v>
      </c>
      <c r="U31" s="16">
        <v>9.0401249999999997</v>
      </c>
      <c r="V31" s="16">
        <v>9.2694799999999997</v>
      </c>
      <c r="W31" s="16">
        <v>9.5728469999999994</v>
      </c>
      <c r="X31" s="16">
        <v>9.7551959999999998</v>
      </c>
      <c r="Y31" s="16">
        <v>9.9254809999999996</v>
      </c>
      <c r="Z31" s="16">
        <v>10.104293</v>
      </c>
      <c r="AA31" s="16">
        <v>10.341341</v>
      </c>
      <c r="AB31" s="16">
        <v>10.423484999999999</v>
      </c>
      <c r="AC31" s="16">
        <v>10.528316</v>
      </c>
      <c r="AD31" s="16">
        <v>10.594137999999999</v>
      </c>
      <c r="AE31" s="16">
        <v>10.703951</v>
      </c>
      <c r="AF31" s="16">
        <v>10.873905000000001</v>
      </c>
      <c r="AG31" s="16">
        <v>11.040891999999999</v>
      </c>
      <c r="AH31" s="16">
        <v>11.167007</v>
      </c>
      <c r="AI31" s="16">
        <v>11.304354</v>
      </c>
      <c r="AJ31" s="16">
        <v>11.390215</v>
      </c>
      <c r="AK31" s="16">
        <v>11.457424</v>
      </c>
      <c r="AL31" s="16">
        <v>11.595865999999999</v>
      </c>
      <c r="AM31" s="13">
        <v>4.0559999999999997E-3</v>
      </c>
    </row>
    <row r="32" spans="1:39" ht="15" customHeight="1" x14ac:dyDescent="0.25">
      <c r="A32" s="7" t="s">
        <v>1323</v>
      </c>
      <c r="B32" s="11" t="s">
        <v>1324</v>
      </c>
      <c r="C32" s="16">
        <v>6.2218000000000002E-2</v>
      </c>
      <c r="D32" s="16">
        <v>7.0803000000000005E-2</v>
      </c>
      <c r="E32" s="16">
        <v>8.1534999999999996E-2</v>
      </c>
      <c r="F32" s="16">
        <v>9.0548000000000003E-2</v>
      </c>
      <c r="G32" s="16">
        <v>0.100134</v>
      </c>
      <c r="H32" s="16">
        <v>0.11081199999999999</v>
      </c>
      <c r="I32" s="16">
        <v>0.119089</v>
      </c>
      <c r="J32" s="16">
        <v>0.12746399999999999</v>
      </c>
      <c r="K32" s="16">
        <v>0.13647400000000001</v>
      </c>
      <c r="L32" s="16">
        <v>0.14694299999999999</v>
      </c>
      <c r="M32" s="16">
        <v>0.159025</v>
      </c>
      <c r="N32" s="16">
        <v>0.171739</v>
      </c>
      <c r="O32" s="16">
        <v>0.186274</v>
      </c>
      <c r="P32" s="16">
        <v>0.201874</v>
      </c>
      <c r="Q32" s="16">
        <v>0.21704100000000001</v>
      </c>
      <c r="R32" s="16">
        <v>0.23208500000000001</v>
      </c>
      <c r="S32" s="16">
        <v>0.24617</v>
      </c>
      <c r="T32" s="16">
        <v>0.25939400000000001</v>
      </c>
      <c r="U32" s="16">
        <v>0.27300600000000003</v>
      </c>
      <c r="V32" s="16">
        <v>0.28661599999999998</v>
      </c>
      <c r="W32" s="16">
        <v>0.300423</v>
      </c>
      <c r="X32" s="16">
        <v>0.313863</v>
      </c>
      <c r="Y32" s="16">
        <v>0.32717299999999999</v>
      </c>
      <c r="Z32" s="16">
        <v>0.34057199999999999</v>
      </c>
      <c r="AA32" s="16">
        <v>0.35524600000000001</v>
      </c>
      <c r="AB32" s="16">
        <v>0.36822700000000003</v>
      </c>
      <c r="AC32" s="16">
        <v>0.38237700000000002</v>
      </c>
      <c r="AD32" s="16">
        <v>0.39668799999999999</v>
      </c>
      <c r="AE32" s="16">
        <v>0.41151100000000002</v>
      </c>
      <c r="AF32" s="16">
        <v>0.42663000000000001</v>
      </c>
      <c r="AG32" s="16">
        <v>0.441577</v>
      </c>
      <c r="AH32" s="16">
        <v>0.45694400000000002</v>
      </c>
      <c r="AI32" s="16">
        <v>0.47271000000000002</v>
      </c>
      <c r="AJ32" s="16">
        <v>0.48887900000000001</v>
      </c>
      <c r="AK32" s="16">
        <v>0.50585999999999998</v>
      </c>
      <c r="AL32" s="16">
        <v>0.52427500000000005</v>
      </c>
      <c r="AM32" s="13">
        <v>6.0654E-2</v>
      </c>
    </row>
    <row r="33" spans="1:39" ht="15" customHeight="1" x14ac:dyDescent="0.25">
      <c r="A33" s="7" t="s">
        <v>1325</v>
      </c>
      <c r="B33" s="11" t="s">
        <v>1326</v>
      </c>
      <c r="C33" s="16">
        <v>0.669624</v>
      </c>
      <c r="D33" s="16">
        <v>0.66715899999999995</v>
      </c>
      <c r="E33" s="16">
        <v>0.63359299999999996</v>
      </c>
      <c r="F33" s="16">
        <v>0.65154199999999995</v>
      </c>
      <c r="G33" s="16">
        <v>0.65688500000000005</v>
      </c>
      <c r="H33" s="16">
        <v>0.66481500000000004</v>
      </c>
      <c r="I33" s="16">
        <v>0.65884500000000001</v>
      </c>
      <c r="J33" s="16">
        <v>0.661995</v>
      </c>
      <c r="K33" s="16">
        <v>0.66875300000000004</v>
      </c>
      <c r="L33" s="16">
        <v>0.67528699999999997</v>
      </c>
      <c r="M33" s="16">
        <v>0.68098700000000001</v>
      </c>
      <c r="N33" s="16">
        <v>0.68488599999999999</v>
      </c>
      <c r="O33" s="16">
        <v>0.68448500000000001</v>
      </c>
      <c r="P33" s="16">
        <v>0.68718699999999999</v>
      </c>
      <c r="Q33" s="16">
        <v>0.68869899999999995</v>
      </c>
      <c r="R33" s="16">
        <v>0.68878200000000001</v>
      </c>
      <c r="S33" s="16">
        <v>0.68943200000000004</v>
      </c>
      <c r="T33" s="16">
        <v>0.69224399999999997</v>
      </c>
      <c r="U33" s="16">
        <v>0.69595899999999999</v>
      </c>
      <c r="V33" s="16">
        <v>0.70165200000000005</v>
      </c>
      <c r="W33" s="16">
        <v>0.70987599999999995</v>
      </c>
      <c r="X33" s="16">
        <v>0.71667000000000003</v>
      </c>
      <c r="Y33" s="16">
        <v>0.72279000000000004</v>
      </c>
      <c r="Z33" s="16">
        <v>0.72831699999999999</v>
      </c>
      <c r="AA33" s="16">
        <v>0.73565999999999998</v>
      </c>
      <c r="AB33" s="16">
        <v>0.73959799999999998</v>
      </c>
      <c r="AC33" s="16">
        <v>0.74434500000000003</v>
      </c>
      <c r="AD33" s="16">
        <v>0.74694400000000005</v>
      </c>
      <c r="AE33" s="16">
        <v>0.75099099999999996</v>
      </c>
      <c r="AF33" s="16">
        <v>0.75684700000000005</v>
      </c>
      <c r="AG33" s="16">
        <v>0.76277700000000004</v>
      </c>
      <c r="AH33" s="16">
        <v>0.76738899999999999</v>
      </c>
      <c r="AI33" s="16">
        <v>0.77236199999999999</v>
      </c>
      <c r="AJ33" s="16">
        <v>0.776397</v>
      </c>
      <c r="AK33" s="16">
        <v>0.78007099999999996</v>
      </c>
      <c r="AL33" s="16">
        <v>0.78523299999999996</v>
      </c>
      <c r="AM33" s="13">
        <v>4.8040000000000001E-3</v>
      </c>
    </row>
    <row r="34" spans="1:39" ht="15" customHeight="1" x14ac:dyDescent="0.25">
      <c r="A34" s="7" t="s">
        <v>1327</v>
      </c>
      <c r="B34" s="11" t="s">
        <v>1328</v>
      </c>
      <c r="C34" s="16">
        <v>1.578805</v>
      </c>
      <c r="D34" s="16">
        <v>1.5651740000000001</v>
      </c>
      <c r="E34" s="16">
        <v>1.634482</v>
      </c>
      <c r="F34" s="16">
        <v>1.6543030000000001</v>
      </c>
      <c r="G34" s="16">
        <v>1.648393</v>
      </c>
      <c r="H34" s="16">
        <v>1.6403669999999999</v>
      </c>
      <c r="I34" s="16">
        <v>1.6489910000000001</v>
      </c>
      <c r="J34" s="16">
        <v>1.6676139999999999</v>
      </c>
      <c r="K34" s="16">
        <v>1.6887449999999999</v>
      </c>
      <c r="L34" s="16">
        <v>1.709641</v>
      </c>
      <c r="M34" s="16">
        <v>1.728942</v>
      </c>
      <c r="N34" s="16">
        <v>1.7559119999999999</v>
      </c>
      <c r="O34" s="16">
        <v>1.7531559999999999</v>
      </c>
      <c r="P34" s="16">
        <v>1.7631889999999999</v>
      </c>
      <c r="Q34" s="16">
        <v>1.770178</v>
      </c>
      <c r="R34" s="16">
        <v>1.773819</v>
      </c>
      <c r="S34" s="16">
        <v>1.776586</v>
      </c>
      <c r="T34" s="16">
        <v>1.7827500000000001</v>
      </c>
      <c r="U34" s="16">
        <v>1.787957</v>
      </c>
      <c r="V34" s="16">
        <v>1.801572</v>
      </c>
      <c r="W34" s="16">
        <v>1.826171</v>
      </c>
      <c r="X34" s="16">
        <v>1.847896</v>
      </c>
      <c r="Y34" s="16">
        <v>1.864061</v>
      </c>
      <c r="Z34" s="16">
        <v>1.877345</v>
      </c>
      <c r="AA34" s="16">
        <v>1.8912880000000001</v>
      </c>
      <c r="AB34" s="16">
        <v>1.90358</v>
      </c>
      <c r="AC34" s="16">
        <v>1.9130659999999999</v>
      </c>
      <c r="AD34" s="16">
        <v>1.915176</v>
      </c>
      <c r="AE34" s="16">
        <v>1.920126</v>
      </c>
      <c r="AF34" s="16">
        <v>1.9293530000000001</v>
      </c>
      <c r="AG34" s="16">
        <v>1.937117</v>
      </c>
      <c r="AH34" s="16">
        <v>1.9505189999999999</v>
      </c>
      <c r="AI34" s="16">
        <v>1.962526</v>
      </c>
      <c r="AJ34" s="16">
        <v>1.9734100000000001</v>
      </c>
      <c r="AK34" s="16">
        <v>1.982674</v>
      </c>
      <c r="AL34" s="16">
        <v>1.992613</v>
      </c>
      <c r="AM34" s="13">
        <v>7.1269999999999997E-3</v>
      </c>
    </row>
    <row r="35" spans="1:39" ht="15" customHeight="1" x14ac:dyDescent="0.25">
      <c r="A35" s="7" t="s">
        <v>1329</v>
      </c>
      <c r="B35" s="11" t="s">
        <v>1330</v>
      </c>
      <c r="C35" s="16">
        <v>0</v>
      </c>
      <c r="D35" s="16">
        <v>1.5872000000000001E-2</v>
      </c>
      <c r="E35" s="16">
        <v>5.3289999999999997E-2</v>
      </c>
      <c r="F35" s="16">
        <v>0.10174</v>
      </c>
      <c r="G35" s="16">
        <v>0.18736</v>
      </c>
      <c r="H35" s="16">
        <v>0.29135</v>
      </c>
      <c r="I35" s="16">
        <v>0.30364999999999998</v>
      </c>
      <c r="J35" s="16">
        <v>0.32364999999999999</v>
      </c>
      <c r="K35" s="16">
        <v>0.34365000000000001</v>
      </c>
      <c r="L35" s="16">
        <v>0.37031700000000001</v>
      </c>
      <c r="M35" s="16">
        <v>0.37698300000000001</v>
      </c>
      <c r="N35" s="16">
        <v>0.39031700000000003</v>
      </c>
      <c r="O35" s="16">
        <v>0.39698299999999997</v>
      </c>
      <c r="P35" s="16">
        <v>0.41031699999999999</v>
      </c>
      <c r="Q35" s="16">
        <v>0.41698299999999999</v>
      </c>
      <c r="R35" s="16">
        <v>0.42365000000000003</v>
      </c>
      <c r="S35" s="16">
        <v>0.43031700000000001</v>
      </c>
      <c r="T35" s="16">
        <v>0.43698300000000001</v>
      </c>
      <c r="U35" s="16">
        <v>0.44364999999999999</v>
      </c>
      <c r="V35" s="16">
        <v>0.44364999999999999</v>
      </c>
      <c r="W35" s="16">
        <v>0.45031700000000002</v>
      </c>
      <c r="X35" s="16">
        <v>0.45698299999999997</v>
      </c>
      <c r="Y35" s="16">
        <v>0.46365000000000001</v>
      </c>
      <c r="Z35" s="16">
        <v>0.46365000000000001</v>
      </c>
      <c r="AA35" s="16">
        <v>0.46365000000000001</v>
      </c>
      <c r="AB35" s="16">
        <v>0.46365000000000001</v>
      </c>
      <c r="AC35" s="16">
        <v>0.46365000000000001</v>
      </c>
      <c r="AD35" s="16">
        <v>0.46365000000000001</v>
      </c>
      <c r="AE35" s="16">
        <v>0.46365000000000001</v>
      </c>
      <c r="AF35" s="16">
        <v>0.46365000000000001</v>
      </c>
      <c r="AG35" s="16">
        <v>0.46365000000000001</v>
      </c>
      <c r="AH35" s="16">
        <v>0.46365000000000001</v>
      </c>
      <c r="AI35" s="16">
        <v>0.46365000000000001</v>
      </c>
      <c r="AJ35" s="16">
        <v>0.46365000000000001</v>
      </c>
      <c r="AK35" s="16">
        <v>0.46365000000000001</v>
      </c>
      <c r="AL35" s="16">
        <v>0.46365000000000001</v>
      </c>
      <c r="AM35" s="13">
        <v>0.10434499999999999</v>
      </c>
    </row>
    <row r="36" spans="1:39" ht="15" customHeight="1" x14ac:dyDescent="0.25">
      <c r="A36" s="7" t="s">
        <v>1331</v>
      </c>
      <c r="B36" s="10" t="s">
        <v>35</v>
      </c>
      <c r="C36" s="17">
        <v>27.286073999999999</v>
      </c>
      <c r="D36" s="17">
        <v>27.675106</v>
      </c>
      <c r="E36" s="17">
        <v>27.846105999999999</v>
      </c>
      <c r="F36" s="17">
        <v>28.136709</v>
      </c>
      <c r="G36" s="17">
        <v>27.800236000000002</v>
      </c>
      <c r="H36" s="17">
        <v>27.358809000000001</v>
      </c>
      <c r="I36" s="17">
        <v>27.207882000000001</v>
      </c>
      <c r="J36" s="17">
        <v>27.265671000000001</v>
      </c>
      <c r="K36" s="17">
        <v>27.495144</v>
      </c>
      <c r="L36" s="17">
        <v>27.723087</v>
      </c>
      <c r="M36" s="17">
        <v>28.091619000000001</v>
      </c>
      <c r="N36" s="17">
        <v>28.385532000000001</v>
      </c>
      <c r="O36" s="17">
        <v>28.432504999999999</v>
      </c>
      <c r="P36" s="17">
        <v>28.526631999999999</v>
      </c>
      <c r="Q36" s="17">
        <v>28.579547999999999</v>
      </c>
      <c r="R36" s="17">
        <v>28.606361</v>
      </c>
      <c r="S36" s="17">
        <v>28.707317</v>
      </c>
      <c r="T36" s="17">
        <v>28.901278000000001</v>
      </c>
      <c r="U36" s="17">
        <v>29.087187</v>
      </c>
      <c r="V36" s="17">
        <v>29.436419000000001</v>
      </c>
      <c r="W36" s="17">
        <v>29.861222999999999</v>
      </c>
      <c r="X36" s="17">
        <v>30.180358999999999</v>
      </c>
      <c r="Y36" s="17">
        <v>30.462074000000001</v>
      </c>
      <c r="Z36" s="17">
        <v>30.751162000000001</v>
      </c>
      <c r="AA36" s="17">
        <v>31.123774000000001</v>
      </c>
      <c r="AB36" s="17">
        <v>31.328524000000002</v>
      </c>
      <c r="AC36" s="17">
        <v>31.538719</v>
      </c>
      <c r="AD36" s="17">
        <v>31.688669000000001</v>
      </c>
      <c r="AE36" s="17">
        <v>31.894503</v>
      </c>
      <c r="AF36" s="17">
        <v>32.188296999999999</v>
      </c>
      <c r="AG36" s="17">
        <v>32.486843</v>
      </c>
      <c r="AH36" s="17">
        <v>32.744830999999998</v>
      </c>
      <c r="AI36" s="17">
        <v>33.012390000000003</v>
      </c>
      <c r="AJ36" s="17">
        <v>33.22139</v>
      </c>
      <c r="AK36" s="17">
        <v>33.434361000000003</v>
      </c>
      <c r="AL36" s="17">
        <v>33.727665000000002</v>
      </c>
      <c r="AM36" s="15">
        <v>5.8339999999999998E-3</v>
      </c>
    </row>
    <row r="38" spans="1:39" ht="15" customHeight="1" x14ac:dyDescent="0.25">
      <c r="A38" s="7" t="s">
        <v>1332</v>
      </c>
      <c r="B38" s="10" t="s">
        <v>1333</v>
      </c>
      <c r="C38" s="17">
        <v>0.73979200000000001</v>
      </c>
      <c r="D38" s="17">
        <v>-0.15643299999999999</v>
      </c>
      <c r="E38" s="17">
        <v>0.36086800000000002</v>
      </c>
      <c r="F38" s="17">
        <v>0.30296699999999999</v>
      </c>
      <c r="G38" s="17">
        <v>0.23432</v>
      </c>
      <c r="H38" s="17">
        <v>0.165964</v>
      </c>
      <c r="I38" s="17">
        <v>0.16590099999999999</v>
      </c>
      <c r="J38" s="17">
        <v>0.165773</v>
      </c>
      <c r="K38" s="17">
        <v>0.16566800000000001</v>
      </c>
      <c r="L38" s="17">
        <v>0.16564899999999999</v>
      </c>
      <c r="M38" s="17">
        <v>0.16617599999999999</v>
      </c>
      <c r="N38" s="17">
        <v>0.16623299999999999</v>
      </c>
      <c r="O38" s="17">
        <v>0.16574700000000001</v>
      </c>
      <c r="P38" s="17">
        <v>0.16583800000000001</v>
      </c>
      <c r="Q38" s="17">
        <v>0.165802</v>
      </c>
      <c r="R38" s="17">
        <v>0.165413</v>
      </c>
      <c r="S38" s="17">
        <v>0.165829</v>
      </c>
      <c r="T38" s="17">
        <v>0.165684</v>
      </c>
      <c r="U38" s="17">
        <v>0.16566800000000001</v>
      </c>
      <c r="V38" s="17">
        <v>0.16359099999999999</v>
      </c>
      <c r="W38" s="17">
        <v>0.16544300000000001</v>
      </c>
      <c r="X38" s="17">
        <v>0.165215</v>
      </c>
      <c r="Y38" s="17">
        <v>0.165438</v>
      </c>
      <c r="Z38" s="17">
        <v>0.16939699999999999</v>
      </c>
      <c r="AA38" s="17">
        <v>0.16531899999999999</v>
      </c>
      <c r="AB38" s="17">
        <v>0.16758300000000001</v>
      </c>
      <c r="AC38" s="17">
        <v>0.16788500000000001</v>
      </c>
      <c r="AD38" s="17">
        <v>0.15993099999999999</v>
      </c>
      <c r="AE38" s="17">
        <v>0.16003999999999999</v>
      </c>
      <c r="AF38" s="17">
        <v>0.16599700000000001</v>
      </c>
      <c r="AG38" s="17">
        <v>0.16322700000000001</v>
      </c>
      <c r="AH38" s="17">
        <v>0.15826000000000001</v>
      </c>
      <c r="AI38" s="17">
        <v>0.165352</v>
      </c>
      <c r="AJ38" s="17">
        <v>0.163662</v>
      </c>
      <c r="AK38" s="17">
        <v>0.162907</v>
      </c>
      <c r="AL38" s="17">
        <v>0.16212499999999999</v>
      </c>
      <c r="AM38" s="15" t="s">
        <v>13</v>
      </c>
    </row>
    <row r="40" spans="1:39" ht="15" customHeight="1" x14ac:dyDescent="0.25">
      <c r="B40" s="10" t="s">
        <v>1334</v>
      </c>
    </row>
    <row r="42" spans="1:39" ht="15" customHeight="1" x14ac:dyDescent="0.25">
      <c r="B42" s="10" t="s">
        <v>1335</v>
      </c>
    </row>
    <row r="43" spans="1:39" ht="15" customHeight="1" x14ac:dyDescent="0.25">
      <c r="A43" s="7" t="s">
        <v>1336</v>
      </c>
      <c r="B43" s="10" t="s">
        <v>36</v>
      </c>
      <c r="C43" s="17">
        <v>2.6571400000000001</v>
      </c>
      <c r="D43" s="17">
        <v>2.492848</v>
      </c>
      <c r="E43" s="17">
        <v>2.9896150000000001</v>
      </c>
      <c r="F43" s="17">
        <v>3.4054030000000002</v>
      </c>
      <c r="G43" s="17">
        <v>3.9177149999999998</v>
      </c>
      <c r="H43" s="17">
        <v>4.4777560000000003</v>
      </c>
      <c r="I43" s="17">
        <v>4.4252070000000003</v>
      </c>
      <c r="J43" s="17">
        <v>4.3730549999999999</v>
      </c>
      <c r="K43" s="17">
        <v>4.3979270000000001</v>
      </c>
      <c r="L43" s="17">
        <v>4.4847780000000004</v>
      </c>
      <c r="M43" s="17">
        <v>4.5080439999999999</v>
      </c>
      <c r="N43" s="17">
        <v>4.5788380000000002</v>
      </c>
      <c r="O43" s="17">
        <v>4.6092360000000001</v>
      </c>
      <c r="P43" s="17">
        <v>4.7185079999999999</v>
      </c>
      <c r="Q43" s="17">
        <v>4.8107689999999996</v>
      </c>
      <c r="R43" s="17">
        <v>4.8624590000000003</v>
      </c>
      <c r="S43" s="17">
        <v>5.0045849999999996</v>
      </c>
      <c r="T43" s="17">
        <v>5.0195030000000003</v>
      </c>
      <c r="U43" s="17">
        <v>4.9769449999999997</v>
      </c>
      <c r="V43" s="17">
        <v>4.9091779999999998</v>
      </c>
      <c r="W43" s="17">
        <v>4.9470090000000004</v>
      </c>
      <c r="X43" s="17">
        <v>4.9750399999999999</v>
      </c>
      <c r="Y43" s="17">
        <v>5.0066829999999998</v>
      </c>
      <c r="Z43" s="17">
        <v>4.9702529999999996</v>
      </c>
      <c r="AA43" s="17">
        <v>5.009188</v>
      </c>
      <c r="AB43" s="17">
        <v>5.0078240000000003</v>
      </c>
      <c r="AC43" s="17">
        <v>4.9890509999999999</v>
      </c>
      <c r="AD43" s="17">
        <v>5.1411790000000002</v>
      </c>
      <c r="AE43" s="17">
        <v>5.2134349999999996</v>
      </c>
      <c r="AF43" s="17">
        <v>5.2510450000000004</v>
      </c>
      <c r="AG43" s="17">
        <v>5.3081800000000001</v>
      </c>
      <c r="AH43" s="17">
        <v>5.3793290000000002</v>
      </c>
      <c r="AI43" s="17">
        <v>5.4545960000000004</v>
      </c>
      <c r="AJ43" s="17">
        <v>5.5158009999999997</v>
      </c>
      <c r="AK43" s="17">
        <v>5.6403449999999999</v>
      </c>
      <c r="AL43" s="17">
        <v>5.648828</v>
      </c>
      <c r="AM43" s="15">
        <v>2.4351000000000001E-2</v>
      </c>
    </row>
    <row r="45" spans="1:39" ht="15" customHeight="1" x14ac:dyDescent="0.25">
      <c r="B45" s="10" t="s">
        <v>1337</v>
      </c>
    </row>
    <row r="46" spans="1:39" ht="15" customHeight="1" x14ac:dyDescent="0.25">
      <c r="B46" s="10" t="s">
        <v>1338</v>
      </c>
    </row>
    <row r="47" spans="1:39" ht="15" customHeight="1" x14ac:dyDescent="0.25">
      <c r="A47" s="7" t="s">
        <v>1339</v>
      </c>
      <c r="B47" s="11" t="s">
        <v>1340</v>
      </c>
      <c r="C47" s="16">
        <v>10.581491</v>
      </c>
      <c r="D47" s="16">
        <v>10.220672</v>
      </c>
      <c r="E47" s="16">
        <v>10.904411</v>
      </c>
      <c r="F47" s="16">
        <v>10.928343999999999</v>
      </c>
      <c r="G47" s="16">
        <v>11.032862</v>
      </c>
      <c r="H47" s="16">
        <v>11.189026999999999</v>
      </c>
      <c r="I47" s="16">
        <v>11.307295</v>
      </c>
      <c r="J47" s="16">
        <v>11.446501</v>
      </c>
      <c r="K47" s="16">
        <v>11.559327</v>
      </c>
      <c r="L47" s="16">
        <v>11.658516000000001</v>
      </c>
      <c r="M47" s="16">
        <v>11.751776</v>
      </c>
      <c r="N47" s="16">
        <v>11.979101999999999</v>
      </c>
      <c r="O47" s="16">
        <v>12.240067</v>
      </c>
      <c r="P47" s="16">
        <v>12.374205999999999</v>
      </c>
      <c r="Q47" s="16">
        <v>12.507025000000001</v>
      </c>
      <c r="R47" s="16">
        <v>12.623189999999999</v>
      </c>
      <c r="S47" s="16">
        <v>12.722769</v>
      </c>
      <c r="T47" s="16">
        <v>12.771445</v>
      </c>
      <c r="U47" s="16">
        <v>12.820436000000001</v>
      </c>
      <c r="V47" s="16">
        <v>12.8887</v>
      </c>
      <c r="W47" s="16">
        <v>13.046633999999999</v>
      </c>
      <c r="X47" s="16">
        <v>13.197781000000001</v>
      </c>
      <c r="Y47" s="16">
        <v>13.322558000000001</v>
      </c>
      <c r="Z47" s="16">
        <v>13.383357</v>
      </c>
      <c r="AA47" s="16">
        <v>13.487816</v>
      </c>
      <c r="AB47" s="16">
        <v>13.520701000000001</v>
      </c>
      <c r="AC47" s="16">
        <v>13.563055</v>
      </c>
      <c r="AD47" s="16">
        <v>13.673425999999999</v>
      </c>
      <c r="AE47" s="16">
        <v>13.779234000000001</v>
      </c>
      <c r="AF47" s="16">
        <v>13.89611</v>
      </c>
      <c r="AG47" s="16">
        <v>14.022038</v>
      </c>
      <c r="AH47" s="16">
        <v>14.127003</v>
      </c>
      <c r="AI47" s="16">
        <v>14.230115</v>
      </c>
      <c r="AJ47" s="16">
        <v>14.329127</v>
      </c>
      <c r="AK47" s="16">
        <v>14.461411</v>
      </c>
      <c r="AL47" s="16">
        <v>14.557017999999999</v>
      </c>
      <c r="AM47" s="13">
        <v>1.0456E-2</v>
      </c>
    </row>
    <row r="48" spans="1:39" ht="15" customHeight="1" x14ac:dyDescent="0.25">
      <c r="A48" s="7" t="s">
        <v>1341</v>
      </c>
      <c r="B48" s="11" t="s">
        <v>1342</v>
      </c>
      <c r="C48" s="16">
        <v>8.2843669999999996</v>
      </c>
      <c r="D48" s="16">
        <v>7.4161830000000002</v>
      </c>
      <c r="E48" s="16">
        <v>8.1286660000000008</v>
      </c>
      <c r="F48" s="16">
        <v>8.6974940000000007</v>
      </c>
      <c r="G48" s="16">
        <v>9.2988820000000008</v>
      </c>
      <c r="H48" s="16">
        <v>9.9476390000000006</v>
      </c>
      <c r="I48" s="16">
        <v>10.072869000000001</v>
      </c>
      <c r="J48" s="16">
        <v>10.191984</v>
      </c>
      <c r="K48" s="16">
        <v>10.287423</v>
      </c>
      <c r="L48" s="16">
        <v>10.365273</v>
      </c>
      <c r="M48" s="16">
        <v>10.433384999999999</v>
      </c>
      <c r="N48" s="16">
        <v>10.610464</v>
      </c>
      <c r="O48" s="16">
        <v>10.81626</v>
      </c>
      <c r="P48" s="16">
        <v>10.922644999999999</v>
      </c>
      <c r="Q48" s="16">
        <v>11.028211000000001</v>
      </c>
      <c r="R48" s="16">
        <v>11.116413</v>
      </c>
      <c r="S48" s="16">
        <v>11.191637</v>
      </c>
      <c r="T48" s="16">
        <v>11.221572999999999</v>
      </c>
      <c r="U48" s="16">
        <v>11.248569</v>
      </c>
      <c r="V48" s="16">
        <v>11.285807999999999</v>
      </c>
      <c r="W48" s="16">
        <v>11.406976999999999</v>
      </c>
      <c r="X48" s="16">
        <v>11.520999</v>
      </c>
      <c r="Y48" s="16">
        <v>11.613136000000001</v>
      </c>
      <c r="Z48" s="16">
        <v>11.646822</v>
      </c>
      <c r="AA48" s="16">
        <v>11.722258</v>
      </c>
      <c r="AB48" s="16">
        <v>11.726663</v>
      </c>
      <c r="AC48" s="16">
        <v>11.736480999999999</v>
      </c>
      <c r="AD48" s="16">
        <v>11.811481000000001</v>
      </c>
      <c r="AE48" s="16">
        <v>11.886884999999999</v>
      </c>
      <c r="AF48" s="16">
        <v>11.973371999999999</v>
      </c>
      <c r="AG48" s="16">
        <v>12.068007</v>
      </c>
      <c r="AH48" s="16">
        <v>12.143478</v>
      </c>
      <c r="AI48" s="16">
        <v>12.209451</v>
      </c>
      <c r="AJ48" s="16">
        <v>12.275119999999999</v>
      </c>
      <c r="AK48" s="16">
        <v>12.367853999999999</v>
      </c>
      <c r="AL48" s="16">
        <v>12.426121999999999</v>
      </c>
      <c r="AM48" s="13">
        <v>1.5296000000000001E-2</v>
      </c>
    </row>
    <row r="49" spans="1:39" ht="15" customHeight="1" x14ac:dyDescent="0.25">
      <c r="A49" s="7" t="s">
        <v>1343</v>
      </c>
      <c r="B49" s="11" t="s">
        <v>1344</v>
      </c>
      <c r="C49" s="16">
        <v>3.8533580000000001</v>
      </c>
      <c r="D49" s="16">
        <v>3.6093899999999999</v>
      </c>
      <c r="E49" s="16">
        <v>4.2062910000000002</v>
      </c>
      <c r="F49" s="16">
        <v>4.6099389999999998</v>
      </c>
      <c r="G49" s="16">
        <v>5.0101570000000004</v>
      </c>
      <c r="H49" s="16">
        <v>5.4654389999999999</v>
      </c>
      <c r="I49" s="16">
        <v>5.5015559999999999</v>
      </c>
      <c r="J49" s="16">
        <v>5.5188050000000004</v>
      </c>
      <c r="K49" s="16">
        <v>5.5515270000000001</v>
      </c>
      <c r="L49" s="16">
        <v>5.6049870000000004</v>
      </c>
      <c r="M49" s="16">
        <v>5.6560589999999999</v>
      </c>
      <c r="N49" s="16">
        <v>5.7005080000000001</v>
      </c>
      <c r="O49" s="16">
        <v>5.7316000000000003</v>
      </c>
      <c r="P49" s="16">
        <v>5.8156879999999997</v>
      </c>
      <c r="Q49" s="16">
        <v>5.8919240000000004</v>
      </c>
      <c r="R49" s="16">
        <v>5.918183</v>
      </c>
      <c r="S49" s="16">
        <v>5.9836859999999996</v>
      </c>
      <c r="T49" s="16">
        <v>5.9798439999999999</v>
      </c>
      <c r="U49" s="16">
        <v>5.9516270000000002</v>
      </c>
      <c r="V49" s="16">
        <v>5.9209370000000003</v>
      </c>
      <c r="W49" s="16">
        <v>5.9766279999999998</v>
      </c>
      <c r="X49" s="16">
        <v>6.0261699999999996</v>
      </c>
      <c r="Y49" s="16">
        <v>6.0634230000000002</v>
      </c>
      <c r="Z49" s="16">
        <v>6.0471199999999996</v>
      </c>
      <c r="AA49" s="16">
        <v>6.0817509999999997</v>
      </c>
      <c r="AB49" s="16">
        <v>6.0577480000000001</v>
      </c>
      <c r="AC49" s="16">
        <v>6.0268269999999999</v>
      </c>
      <c r="AD49" s="16">
        <v>6.1135960000000003</v>
      </c>
      <c r="AE49" s="16">
        <v>6.1769249999999998</v>
      </c>
      <c r="AF49" s="16">
        <v>6.2267580000000002</v>
      </c>
      <c r="AG49" s="16">
        <v>6.2937450000000004</v>
      </c>
      <c r="AH49" s="16">
        <v>6.3490289999999998</v>
      </c>
      <c r="AI49" s="16">
        <v>6.4189939999999996</v>
      </c>
      <c r="AJ49" s="16">
        <v>6.4700290000000003</v>
      </c>
      <c r="AK49" s="16">
        <v>6.5626129999999998</v>
      </c>
      <c r="AL49" s="16">
        <v>6.5912230000000003</v>
      </c>
      <c r="AM49" s="13">
        <v>1.787E-2</v>
      </c>
    </row>
    <row r="50" spans="1:39" ht="15" customHeight="1" x14ac:dyDescent="0.25">
      <c r="A50" s="7" t="s">
        <v>1345</v>
      </c>
      <c r="B50" s="11" t="s">
        <v>1346</v>
      </c>
      <c r="C50" s="16">
        <v>3.4015469999999999</v>
      </c>
      <c r="D50" s="16">
        <v>3.1166489999999998</v>
      </c>
      <c r="E50" s="16">
        <v>3.6471019999999998</v>
      </c>
      <c r="F50" s="16">
        <v>3.9450419999999999</v>
      </c>
      <c r="G50" s="16">
        <v>4.2917949999999996</v>
      </c>
      <c r="H50" s="16">
        <v>4.6761910000000002</v>
      </c>
      <c r="I50" s="16">
        <v>4.7427299999999999</v>
      </c>
      <c r="J50" s="16">
        <v>4.7843679999999997</v>
      </c>
      <c r="K50" s="16">
        <v>4.8369910000000003</v>
      </c>
      <c r="L50" s="16">
        <v>4.8973440000000004</v>
      </c>
      <c r="M50" s="16">
        <v>4.9517309999999997</v>
      </c>
      <c r="N50" s="16">
        <v>5.0071130000000004</v>
      </c>
      <c r="O50" s="16">
        <v>5.0495950000000001</v>
      </c>
      <c r="P50" s="16">
        <v>5.1342270000000001</v>
      </c>
      <c r="Q50" s="16">
        <v>5.2094389999999997</v>
      </c>
      <c r="R50" s="16">
        <v>5.2507929999999998</v>
      </c>
      <c r="S50" s="16">
        <v>5.3229680000000004</v>
      </c>
      <c r="T50" s="16">
        <v>5.3413789999999999</v>
      </c>
      <c r="U50" s="16">
        <v>5.3266799999999996</v>
      </c>
      <c r="V50" s="16">
        <v>5.3088629999999997</v>
      </c>
      <c r="W50" s="16">
        <v>5.3692529999999996</v>
      </c>
      <c r="X50" s="16">
        <v>5.4303660000000002</v>
      </c>
      <c r="Y50" s="16">
        <v>5.4907820000000003</v>
      </c>
      <c r="Z50" s="16">
        <v>5.4936119999999997</v>
      </c>
      <c r="AA50" s="16">
        <v>5.5433570000000003</v>
      </c>
      <c r="AB50" s="16">
        <v>5.5338409999999998</v>
      </c>
      <c r="AC50" s="16">
        <v>5.5167760000000001</v>
      </c>
      <c r="AD50" s="16">
        <v>5.5939579999999998</v>
      </c>
      <c r="AE50" s="16">
        <v>5.6564230000000002</v>
      </c>
      <c r="AF50" s="16">
        <v>5.7232029999999998</v>
      </c>
      <c r="AG50" s="16">
        <v>5.801113</v>
      </c>
      <c r="AH50" s="16">
        <v>5.8649709999999997</v>
      </c>
      <c r="AI50" s="16">
        <v>5.9331959999999997</v>
      </c>
      <c r="AJ50" s="16">
        <v>5.9837499999999997</v>
      </c>
      <c r="AK50" s="16">
        <v>6.0705920000000004</v>
      </c>
      <c r="AL50" s="16">
        <v>6.1145339999999999</v>
      </c>
      <c r="AM50" s="13">
        <v>2.0018999999999999E-2</v>
      </c>
    </row>
    <row r="51" spans="1:39" ht="15" customHeight="1" x14ac:dyDescent="0.25">
      <c r="A51" s="7" t="s">
        <v>1347</v>
      </c>
      <c r="B51" s="11" t="s">
        <v>1348</v>
      </c>
      <c r="C51" s="16">
        <v>16.952873</v>
      </c>
      <c r="D51" s="16">
        <v>16.970129</v>
      </c>
      <c r="E51" s="16">
        <v>17.307932000000001</v>
      </c>
      <c r="F51" s="16">
        <v>17.520689000000001</v>
      </c>
      <c r="G51" s="16">
        <v>17.685981999999999</v>
      </c>
      <c r="H51" s="16">
        <v>17.827491999999999</v>
      </c>
      <c r="I51" s="16">
        <v>17.701353000000001</v>
      </c>
      <c r="J51" s="16">
        <v>17.557865</v>
      </c>
      <c r="K51" s="16">
        <v>17.385556999999999</v>
      </c>
      <c r="L51" s="16">
        <v>17.173463999999999</v>
      </c>
      <c r="M51" s="16">
        <v>16.948312999999999</v>
      </c>
      <c r="N51" s="16">
        <v>16.875996000000001</v>
      </c>
      <c r="O51" s="16">
        <v>16.785222999999998</v>
      </c>
      <c r="P51" s="16">
        <v>16.5562</v>
      </c>
      <c r="Q51" s="16">
        <v>16.363323000000001</v>
      </c>
      <c r="R51" s="16">
        <v>16.218482999999999</v>
      </c>
      <c r="S51" s="16">
        <v>16.080964999999999</v>
      </c>
      <c r="T51" s="16">
        <v>15.932565</v>
      </c>
      <c r="U51" s="16">
        <v>15.781129</v>
      </c>
      <c r="V51" s="16">
        <v>15.665005000000001</v>
      </c>
      <c r="W51" s="16">
        <v>15.637729</v>
      </c>
      <c r="X51" s="16">
        <v>15.631959</v>
      </c>
      <c r="Y51" s="16">
        <v>15.620224</v>
      </c>
      <c r="Z51" s="16">
        <v>15.563326999999999</v>
      </c>
      <c r="AA51" s="16">
        <v>15.551450000000001</v>
      </c>
      <c r="AB51" s="16">
        <v>15.50417</v>
      </c>
      <c r="AC51" s="16">
        <v>15.446856</v>
      </c>
      <c r="AD51" s="16">
        <v>15.488329</v>
      </c>
      <c r="AE51" s="16">
        <v>15.524245000000001</v>
      </c>
      <c r="AF51" s="16">
        <v>15.568904</v>
      </c>
      <c r="AG51" s="16">
        <v>15.625512000000001</v>
      </c>
      <c r="AH51" s="16">
        <v>15.671801</v>
      </c>
      <c r="AI51" s="16">
        <v>15.726569</v>
      </c>
      <c r="AJ51" s="16">
        <v>15.776073</v>
      </c>
      <c r="AK51" s="16">
        <v>15.867462</v>
      </c>
      <c r="AL51" s="16">
        <v>15.928850000000001</v>
      </c>
      <c r="AM51" s="13">
        <v>-1.861E-3</v>
      </c>
    </row>
    <row r="52" spans="1:39" ht="15" customHeight="1" x14ac:dyDescent="0.25">
      <c r="A52" s="7" t="s">
        <v>1349</v>
      </c>
      <c r="B52" s="10" t="s">
        <v>1350</v>
      </c>
      <c r="C52" s="17">
        <v>5.5160819999999999</v>
      </c>
      <c r="D52" s="17">
        <v>5.0678190000000001</v>
      </c>
      <c r="E52" s="17">
        <v>5.7394040000000004</v>
      </c>
      <c r="F52" s="17">
        <v>6.0596040000000002</v>
      </c>
      <c r="G52" s="17">
        <v>6.4460150000000001</v>
      </c>
      <c r="H52" s="17">
        <v>6.8895359999999997</v>
      </c>
      <c r="I52" s="17">
        <v>6.9812729999999998</v>
      </c>
      <c r="J52" s="17">
        <v>7.0496970000000001</v>
      </c>
      <c r="K52" s="17">
        <v>7.1040260000000002</v>
      </c>
      <c r="L52" s="17">
        <v>7.1642679999999999</v>
      </c>
      <c r="M52" s="17">
        <v>7.2047840000000001</v>
      </c>
      <c r="N52" s="17">
        <v>7.2873729999999997</v>
      </c>
      <c r="O52" s="17">
        <v>7.3857249999999999</v>
      </c>
      <c r="P52" s="17">
        <v>7.4802460000000002</v>
      </c>
      <c r="Q52" s="17">
        <v>7.5718759999999996</v>
      </c>
      <c r="R52" s="17">
        <v>7.6323049999999997</v>
      </c>
      <c r="S52" s="17">
        <v>7.7050679999999998</v>
      </c>
      <c r="T52" s="17">
        <v>7.7127699999999999</v>
      </c>
      <c r="U52" s="17">
        <v>7.701492</v>
      </c>
      <c r="V52" s="17">
        <v>7.6798799999999998</v>
      </c>
      <c r="W52" s="17">
        <v>7.7354700000000003</v>
      </c>
      <c r="X52" s="17">
        <v>7.7960419999999999</v>
      </c>
      <c r="Y52" s="17">
        <v>7.8476379999999999</v>
      </c>
      <c r="Z52" s="17">
        <v>7.8423499999999997</v>
      </c>
      <c r="AA52" s="17">
        <v>7.8788850000000004</v>
      </c>
      <c r="AB52" s="17">
        <v>7.8677330000000003</v>
      </c>
      <c r="AC52" s="17">
        <v>7.8541429999999997</v>
      </c>
      <c r="AD52" s="17">
        <v>7.9388139999999998</v>
      </c>
      <c r="AE52" s="17">
        <v>8.0054639999999999</v>
      </c>
      <c r="AF52" s="17">
        <v>8.0667270000000002</v>
      </c>
      <c r="AG52" s="17">
        <v>8.140212</v>
      </c>
      <c r="AH52" s="17">
        <v>8.2026909999999997</v>
      </c>
      <c r="AI52" s="17">
        <v>8.2700259999999997</v>
      </c>
      <c r="AJ52" s="17">
        <v>8.3279890000000005</v>
      </c>
      <c r="AK52" s="17">
        <v>8.4222979999999996</v>
      </c>
      <c r="AL52" s="17">
        <v>8.4635090000000002</v>
      </c>
      <c r="AM52" s="15">
        <v>1.5198E-2</v>
      </c>
    </row>
    <row r="53" spans="1:39" ht="15" customHeight="1" x14ac:dyDescent="0.25">
      <c r="B53" s="10" t="s">
        <v>1335</v>
      </c>
    </row>
    <row r="54" spans="1:39" ht="15" customHeight="1" x14ac:dyDescent="0.25">
      <c r="A54" s="7" t="s">
        <v>1351</v>
      </c>
      <c r="B54" s="10" t="s">
        <v>59</v>
      </c>
      <c r="C54" s="17">
        <v>2.62</v>
      </c>
      <c r="D54" s="17">
        <v>2.492848</v>
      </c>
      <c r="E54" s="17">
        <v>3.0540590000000001</v>
      </c>
      <c r="F54" s="17">
        <v>3.5473370000000002</v>
      </c>
      <c r="G54" s="17">
        <v>4.1667079999999999</v>
      </c>
      <c r="H54" s="17">
        <v>4.8675610000000002</v>
      </c>
      <c r="I54" s="17">
        <v>4.9147939999999997</v>
      </c>
      <c r="J54" s="17">
        <v>4.9589090000000002</v>
      </c>
      <c r="K54" s="17">
        <v>5.0889119999999997</v>
      </c>
      <c r="L54" s="17">
        <v>5.2970309999999996</v>
      </c>
      <c r="M54" s="17">
        <v>5.4404459999999997</v>
      </c>
      <c r="N54" s="17">
        <v>5.6488079999999998</v>
      </c>
      <c r="O54" s="17">
        <v>5.81663</v>
      </c>
      <c r="P54" s="17">
        <v>6.0898529999999997</v>
      </c>
      <c r="Q54" s="17">
        <v>6.350549</v>
      </c>
      <c r="R54" s="17">
        <v>6.5648739999999997</v>
      </c>
      <c r="S54" s="17">
        <v>6.9087889999999996</v>
      </c>
      <c r="T54" s="17">
        <v>7.0795130000000004</v>
      </c>
      <c r="U54" s="17">
        <v>7.1655220000000002</v>
      </c>
      <c r="V54" s="17">
        <v>7.2084159999999997</v>
      </c>
      <c r="W54" s="17">
        <v>7.4028549999999997</v>
      </c>
      <c r="X54" s="17">
        <v>7.5856310000000002</v>
      </c>
      <c r="Y54" s="17">
        <v>7.7765510000000004</v>
      </c>
      <c r="Z54" s="17">
        <v>7.865367</v>
      </c>
      <c r="AA54" s="17">
        <v>8.0795390000000005</v>
      </c>
      <c r="AB54" s="17">
        <v>8.2357940000000003</v>
      </c>
      <c r="AC54" s="17">
        <v>8.3710749999999994</v>
      </c>
      <c r="AD54" s="17">
        <v>8.8039459999999998</v>
      </c>
      <c r="AE54" s="17">
        <v>9.1141810000000003</v>
      </c>
      <c r="AF54" s="17">
        <v>9.3753390000000003</v>
      </c>
      <c r="AG54" s="17">
        <v>9.6820679999999992</v>
      </c>
      <c r="AH54" s="17">
        <v>10.026431000000001</v>
      </c>
      <c r="AI54" s="17">
        <v>10.390385</v>
      </c>
      <c r="AJ54" s="17">
        <v>10.735328000000001</v>
      </c>
      <c r="AK54" s="17">
        <v>11.215591</v>
      </c>
      <c r="AL54" s="17">
        <v>11.472528000000001</v>
      </c>
      <c r="AM54" s="15">
        <v>4.5920999999999997E-2</v>
      </c>
    </row>
    <row r="56" spans="1:39" ht="15" customHeight="1" x14ac:dyDescent="0.25">
      <c r="B56" s="10" t="s">
        <v>1337</v>
      </c>
    </row>
    <row r="57" spans="1:39" ht="15" customHeight="1" x14ac:dyDescent="0.25">
      <c r="B57" s="10" t="s">
        <v>1352</v>
      </c>
    </row>
    <row r="58" spans="1:39" ht="15" customHeight="1" x14ac:dyDescent="0.25">
      <c r="A58" s="7" t="s">
        <v>1353</v>
      </c>
      <c r="B58" s="11" t="s">
        <v>1340</v>
      </c>
      <c r="C58" s="16">
        <v>10.433586</v>
      </c>
      <c r="D58" s="16">
        <v>10.220672</v>
      </c>
      <c r="E58" s="16">
        <v>11.139466000000001</v>
      </c>
      <c r="F58" s="16">
        <v>11.383827999999999</v>
      </c>
      <c r="G58" s="16">
        <v>11.734064</v>
      </c>
      <c r="H58" s="16">
        <v>12.163073000000001</v>
      </c>
      <c r="I58" s="16">
        <v>12.55829</v>
      </c>
      <c r="J58" s="16">
        <v>12.979977999999999</v>
      </c>
      <c r="K58" s="16">
        <v>13.375484</v>
      </c>
      <c r="L58" s="16">
        <v>13.770028</v>
      </c>
      <c r="M58" s="16">
        <v>14.182406</v>
      </c>
      <c r="N58" s="16">
        <v>14.778345</v>
      </c>
      <c r="O58" s="16">
        <v>15.446363</v>
      </c>
      <c r="P58" s="16">
        <v>15.970535</v>
      </c>
      <c r="Q58" s="16">
        <v>16.510141000000001</v>
      </c>
      <c r="R58" s="16">
        <v>17.042746999999999</v>
      </c>
      <c r="S58" s="16">
        <v>17.563679</v>
      </c>
      <c r="T58" s="16">
        <v>18.012862999999999</v>
      </c>
      <c r="U58" s="16">
        <v>18.458134000000001</v>
      </c>
      <c r="V58" s="16">
        <v>18.925186</v>
      </c>
      <c r="W58" s="16">
        <v>19.52338</v>
      </c>
      <c r="X58" s="16">
        <v>20.123154</v>
      </c>
      <c r="Y58" s="16">
        <v>20.693052000000002</v>
      </c>
      <c r="Z58" s="16">
        <v>21.179003000000002</v>
      </c>
      <c r="AA58" s="16">
        <v>21.755089000000002</v>
      </c>
      <c r="AB58" s="16">
        <v>22.235946999999999</v>
      </c>
      <c r="AC58" s="16">
        <v>22.757303</v>
      </c>
      <c r="AD58" s="16">
        <v>23.414885999999999</v>
      </c>
      <c r="AE58" s="16">
        <v>24.088999000000001</v>
      </c>
      <c r="AF58" s="16">
        <v>24.810435999999999</v>
      </c>
      <c r="AG58" s="16">
        <v>25.576056999999999</v>
      </c>
      <c r="AH58" s="16">
        <v>26.331060000000001</v>
      </c>
      <c r="AI58" s="16">
        <v>27.106749000000001</v>
      </c>
      <c r="AJ58" s="16">
        <v>27.888582</v>
      </c>
      <c r="AK58" s="16">
        <v>28.755917</v>
      </c>
      <c r="AL58" s="16">
        <v>29.564685999999998</v>
      </c>
      <c r="AM58" s="13">
        <v>3.1732999999999997E-2</v>
      </c>
    </row>
    <row r="59" spans="1:39" ht="15" customHeight="1" x14ac:dyDescent="0.25">
      <c r="A59" s="7" t="s">
        <v>1354</v>
      </c>
      <c r="B59" s="11" t="s">
        <v>1342</v>
      </c>
      <c r="C59" s="16">
        <v>8.168571</v>
      </c>
      <c r="D59" s="16">
        <v>7.4161830000000002</v>
      </c>
      <c r="E59" s="16">
        <v>8.3038869999999996</v>
      </c>
      <c r="F59" s="16">
        <v>9.0599989999999995</v>
      </c>
      <c r="G59" s="16">
        <v>9.8898799999999998</v>
      </c>
      <c r="H59" s="16">
        <v>10.813617000000001</v>
      </c>
      <c r="I59" s="16">
        <v>11.187291999999999</v>
      </c>
      <c r="J59" s="16">
        <v>11.557395</v>
      </c>
      <c r="K59" s="16">
        <v>11.903743</v>
      </c>
      <c r="L59" s="16">
        <v>12.242562</v>
      </c>
      <c r="M59" s="16">
        <v>12.591331</v>
      </c>
      <c r="N59" s="16">
        <v>13.089886999999999</v>
      </c>
      <c r="O59" s="16">
        <v>13.649589000000001</v>
      </c>
      <c r="P59" s="16">
        <v>14.097106</v>
      </c>
      <c r="Q59" s="16">
        <v>14.558002999999999</v>
      </c>
      <c r="R59" s="16">
        <v>15.008426999999999</v>
      </c>
      <c r="S59" s="16">
        <v>15.449965000000001</v>
      </c>
      <c r="T59" s="16">
        <v>15.826921</v>
      </c>
      <c r="U59" s="16">
        <v>16.195049000000001</v>
      </c>
      <c r="V59" s="16">
        <v>16.571573000000001</v>
      </c>
      <c r="W59" s="16">
        <v>17.069748000000001</v>
      </c>
      <c r="X59" s="16">
        <v>17.566502</v>
      </c>
      <c r="Y59" s="16">
        <v>18.03792</v>
      </c>
      <c r="Z59" s="16">
        <v>18.430958</v>
      </c>
      <c r="AA59" s="16">
        <v>18.907343000000001</v>
      </c>
      <c r="AB59" s="16">
        <v>19.285498</v>
      </c>
      <c r="AC59" s="16">
        <v>19.692513999999999</v>
      </c>
      <c r="AD59" s="16">
        <v>20.226420999999998</v>
      </c>
      <c r="AE59" s="16">
        <v>20.780774999999998</v>
      </c>
      <c r="AF59" s="16">
        <v>21.377535000000002</v>
      </c>
      <c r="AG59" s="16">
        <v>22.011925000000002</v>
      </c>
      <c r="AH59" s="16">
        <v>22.634004999999998</v>
      </c>
      <c r="AI59" s="16">
        <v>23.257614</v>
      </c>
      <c r="AJ59" s="16">
        <v>23.890893999999999</v>
      </c>
      <c r="AK59" s="16">
        <v>24.592963999999998</v>
      </c>
      <c r="AL59" s="16">
        <v>25.236924999999999</v>
      </c>
      <c r="AM59" s="13">
        <v>3.6674999999999999E-2</v>
      </c>
    </row>
    <row r="60" spans="1:39" ht="15" customHeight="1" x14ac:dyDescent="0.25">
      <c r="A60" s="7" t="s">
        <v>1355</v>
      </c>
      <c r="B60" s="11" t="s">
        <v>1344</v>
      </c>
      <c r="C60" s="16">
        <v>3.799496</v>
      </c>
      <c r="D60" s="16">
        <v>3.6093899999999999</v>
      </c>
      <c r="E60" s="16">
        <v>4.2969609999999996</v>
      </c>
      <c r="F60" s="16">
        <v>4.8020769999999997</v>
      </c>
      <c r="G60" s="16">
        <v>5.3285809999999998</v>
      </c>
      <c r="H60" s="16">
        <v>5.9412260000000003</v>
      </c>
      <c r="I60" s="16">
        <v>6.1102259999999999</v>
      </c>
      <c r="J60" s="16">
        <v>6.2581540000000002</v>
      </c>
      <c r="K60" s="16">
        <v>6.4237609999999998</v>
      </c>
      <c r="L60" s="16">
        <v>6.6201249999999998</v>
      </c>
      <c r="M60" s="16">
        <v>6.8259069999999999</v>
      </c>
      <c r="N60" s="16">
        <v>7.0325860000000002</v>
      </c>
      <c r="O60" s="16">
        <v>7.2329970000000001</v>
      </c>
      <c r="P60" s="16">
        <v>7.5059079999999998</v>
      </c>
      <c r="Q60" s="16">
        <v>7.777749</v>
      </c>
      <c r="R60" s="16">
        <v>7.9902220000000002</v>
      </c>
      <c r="S60" s="16">
        <v>8.2604299999999995</v>
      </c>
      <c r="T60" s="16">
        <v>8.43398</v>
      </c>
      <c r="U60" s="16">
        <v>8.5688130000000005</v>
      </c>
      <c r="V60" s="16">
        <v>8.6940369999999998</v>
      </c>
      <c r="W60" s="16">
        <v>8.9436079999999993</v>
      </c>
      <c r="X60" s="16">
        <v>9.1883280000000003</v>
      </c>
      <c r="Y60" s="16">
        <v>9.4179150000000007</v>
      </c>
      <c r="Z60" s="16">
        <v>9.5694949999999999</v>
      </c>
      <c r="AA60" s="16">
        <v>9.8095239999999997</v>
      </c>
      <c r="AB60" s="16">
        <v>9.9624830000000006</v>
      </c>
      <c r="AC60" s="16">
        <v>10.112349</v>
      </c>
      <c r="AD60" s="16">
        <v>10.469151</v>
      </c>
      <c r="AE60" s="16">
        <v>10.798564000000001</v>
      </c>
      <c r="AF60" s="16">
        <v>11.117399000000001</v>
      </c>
      <c r="AG60" s="16">
        <v>11.479728</v>
      </c>
      <c r="AH60" s="16">
        <v>11.833838</v>
      </c>
      <c r="AI60" s="16">
        <v>12.227454</v>
      </c>
      <c r="AJ60" s="16">
        <v>12.592528</v>
      </c>
      <c r="AK60" s="16">
        <v>13.049481999999999</v>
      </c>
      <c r="AL60" s="16">
        <v>13.386494000000001</v>
      </c>
      <c r="AM60" s="13">
        <v>3.9302999999999998E-2</v>
      </c>
    </row>
    <row r="61" spans="1:39" ht="15" customHeight="1" x14ac:dyDescent="0.25">
      <c r="A61" s="7" t="s">
        <v>1356</v>
      </c>
      <c r="B61" s="11" t="s">
        <v>1346</v>
      </c>
      <c r="C61" s="16">
        <v>3.3540009999999998</v>
      </c>
      <c r="D61" s="16">
        <v>3.1166489999999998</v>
      </c>
      <c r="E61" s="16">
        <v>3.7257180000000001</v>
      </c>
      <c r="F61" s="16">
        <v>4.1094679999999997</v>
      </c>
      <c r="G61" s="16">
        <v>4.5645629999999997</v>
      </c>
      <c r="H61" s="16">
        <v>5.0832709999999999</v>
      </c>
      <c r="I61" s="16">
        <v>5.2674469999999998</v>
      </c>
      <c r="J61" s="16">
        <v>5.425325</v>
      </c>
      <c r="K61" s="16">
        <v>5.5969600000000002</v>
      </c>
      <c r="L61" s="16">
        <v>5.7843179999999998</v>
      </c>
      <c r="M61" s="16">
        <v>5.9759019999999996</v>
      </c>
      <c r="N61" s="16">
        <v>6.1771599999999998</v>
      </c>
      <c r="O61" s="16">
        <v>6.3723409999999996</v>
      </c>
      <c r="P61" s="16">
        <v>6.6263930000000002</v>
      </c>
      <c r="Q61" s="16">
        <v>6.8768209999999996</v>
      </c>
      <c r="R61" s="16">
        <v>7.0891700000000002</v>
      </c>
      <c r="S61" s="16">
        <v>7.3483130000000001</v>
      </c>
      <c r="T61" s="16">
        <v>7.5334880000000002</v>
      </c>
      <c r="U61" s="16">
        <v>7.6690500000000004</v>
      </c>
      <c r="V61" s="16">
        <v>7.7952950000000003</v>
      </c>
      <c r="W61" s="16">
        <v>8.0347139999999992</v>
      </c>
      <c r="X61" s="16">
        <v>8.2798829999999999</v>
      </c>
      <c r="Y61" s="16">
        <v>8.5284709999999997</v>
      </c>
      <c r="Z61" s="16">
        <v>8.6935760000000002</v>
      </c>
      <c r="AA61" s="16">
        <v>8.9411240000000003</v>
      </c>
      <c r="AB61" s="16">
        <v>9.100873</v>
      </c>
      <c r="AC61" s="16">
        <v>9.2565380000000008</v>
      </c>
      <c r="AD61" s="16">
        <v>9.5793040000000005</v>
      </c>
      <c r="AE61" s="16">
        <v>9.888617</v>
      </c>
      <c r="AF61" s="16">
        <v>10.21834</v>
      </c>
      <c r="AG61" s="16">
        <v>10.581172</v>
      </c>
      <c r="AH61" s="16">
        <v>10.931611</v>
      </c>
      <c r="AI61" s="16">
        <v>11.302063</v>
      </c>
      <c r="AJ61" s="16">
        <v>11.646089999999999</v>
      </c>
      <c r="AK61" s="16">
        <v>12.071121</v>
      </c>
      <c r="AL61" s="16">
        <v>12.418359000000001</v>
      </c>
      <c r="AM61" s="13">
        <v>4.1496999999999999E-2</v>
      </c>
    </row>
    <row r="62" spans="1:39" ht="15" customHeight="1" x14ac:dyDescent="0.25">
      <c r="A62" s="7" t="s">
        <v>1357</v>
      </c>
      <c r="B62" s="11" t="s">
        <v>1348</v>
      </c>
      <c r="C62" s="16">
        <v>16.715910000000001</v>
      </c>
      <c r="D62" s="16">
        <v>16.970129</v>
      </c>
      <c r="E62" s="16">
        <v>17.681021000000001</v>
      </c>
      <c r="F62" s="16">
        <v>18.250937</v>
      </c>
      <c r="G62" s="16">
        <v>18.810027999999999</v>
      </c>
      <c r="H62" s="16">
        <v>19.379439999999999</v>
      </c>
      <c r="I62" s="16">
        <v>19.659761</v>
      </c>
      <c r="J62" s="16">
        <v>19.910077999999999</v>
      </c>
      <c r="K62" s="16">
        <v>20.117108999999999</v>
      </c>
      <c r="L62" s="16">
        <v>20.283808000000001</v>
      </c>
      <c r="M62" s="16">
        <v>20.453747</v>
      </c>
      <c r="N62" s="16">
        <v>20.81953</v>
      </c>
      <c r="O62" s="16">
        <v>21.182127000000001</v>
      </c>
      <c r="P62" s="16">
        <v>21.367948999999999</v>
      </c>
      <c r="Q62" s="16">
        <v>21.600721</v>
      </c>
      <c r="R62" s="16">
        <v>21.896802999999998</v>
      </c>
      <c r="S62" s="16">
        <v>22.199639999999999</v>
      </c>
      <c r="T62" s="16">
        <v>22.471312000000001</v>
      </c>
      <c r="U62" s="16">
        <v>22.720770000000002</v>
      </c>
      <c r="V62" s="16">
        <v>23.001787</v>
      </c>
      <c r="W62" s="16">
        <v>23.400773999999998</v>
      </c>
      <c r="X62" s="16">
        <v>23.834637000000001</v>
      </c>
      <c r="Y62" s="16">
        <v>24.261863999999999</v>
      </c>
      <c r="Z62" s="16">
        <v>24.628778000000001</v>
      </c>
      <c r="AA62" s="16">
        <v>25.083614000000001</v>
      </c>
      <c r="AB62" s="16">
        <v>25.497931000000001</v>
      </c>
      <c r="AC62" s="16">
        <v>25.918109999999999</v>
      </c>
      <c r="AD62" s="16">
        <v>26.522794999999999</v>
      </c>
      <c r="AE62" s="16">
        <v>27.139647</v>
      </c>
      <c r="AF62" s="16">
        <v>27.797080999999999</v>
      </c>
      <c r="AG62" s="16">
        <v>28.500778</v>
      </c>
      <c r="AH62" s="16">
        <v>29.210381000000002</v>
      </c>
      <c r="AI62" s="16">
        <v>29.957322999999999</v>
      </c>
      <c r="AJ62" s="16">
        <v>30.704751999999999</v>
      </c>
      <c r="AK62" s="16">
        <v>31.551787999999998</v>
      </c>
      <c r="AL62" s="16">
        <v>32.350819000000001</v>
      </c>
      <c r="AM62" s="13">
        <v>1.9157E-2</v>
      </c>
    </row>
    <row r="63" spans="1:39" ht="15" customHeight="1" x14ac:dyDescent="0.25">
      <c r="A63" s="7" t="s">
        <v>1358</v>
      </c>
      <c r="B63" s="10" t="s">
        <v>1350</v>
      </c>
      <c r="C63" s="17">
        <v>5.4389810000000001</v>
      </c>
      <c r="D63" s="17">
        <v>5.0678190000000001</v>
      </c>
      <c r="E63" s="17">
        <v>5.8631219999999997</v>
      </c>
      <c r="F63" s="17">
        <v>6.312163</v>
      </c>
      <c r="G63" s="17">
        <v>6.8556970000000002</v>
      </c>
      <c r="H63" s="17">
        <v>7.4892960000000004</v>
      </c>
      <c r="I63" s="17">
        <v>7.753654</v>
      </c>
      <c r="J63" s="17">
        <v>7.9941389999999997</v>
      </c>
      <c r="K63" s="17">
        <v>8.2201830000000005</v>
      </c>
      <c r="L63" s="17">
        <v>8.4618120000000001</v>
      </c>
      <c r="M63" s="17">
        <v>8.6949559999999995</v>
      </c>
      <c r="N63" s="17">
        <v>8.9902650000000008</v>
      </c>
      <c r="O63" s="17">
        <v>9.3204229999999999</v>
      </c>
      <c r="P63" s="17">
        <v>9.6542390000000005</v>
      </c>
      <c r="Q63" s="17">
        <v>9.9954009999999993</v>
      </c>
      <c r="R63" s="17">
        <v>10.304482</v>
      </c>
      <c r="S63" s="17">
        <v>10.636784</v>
      </c>
      <c r="T63" s="17">
        <v>10.878100999999999</v>
      </c>
      <c r="U63" s="17">
        <v>11.08817</v>
      </c>
      <c r="V63" s="17">
        <v>11.276790999999999</v>
      </c>
      <c r="W63" s="17">
        <v>11.575593</v>
      </c>
      <c r="X63" s="17">
        <v>11.886918</v>
      </c>
      <c r="Y63" s="17">
        <v>12.189219</v>
      </c>
      <c r="Z63" s="17">
        <v>12.410425999999999</v>
      </c>
      <c r="AA63" s="17">
        <v>12.7082</v>
      </c>
      <c r="AB63" s="17">
        <v>12.939158000000001</v>
      </c>
      <c r="AC63" s="17">
        <v>13.178381</v>
      </c>
      <c r="AD63" s="17">
        <v>13.594721</v>
      </c>
      <c r="AE63" s="17">
        <v>13.995234999999999</v>
      </c>
      <c r="AF63" s="17">
        <v>14.402521</v>
      </c>
      <c r="AG63" s="17">
        <v>14.847664999999999</v>
      </c>
      <c r="AH63" s="17">
        <v>15.288845</v>
      </c>
      <c r="AI63" s="17">
        <v>15.753458999999999</v>
      </c>
      <c r="AJ63" s="17">
        <v>16.208649000000001</v>
      </c>
      <c r="AK63" s="17">
        <v>16.747391</v>
      </c>
      <c r="AL63" s="17">
        <v>17.189025999999998</v>
      </c>
      <c r="AM63" s="15">
        <v>3.6575000000000003E-2</v>
      </c>
    </row>
    <row r="64" spans="1:39" ht="15" customHeight="1" thickBot="1" x14ac:dyDescent="0.3"/>
    <row r="65" spans="2:39" ht="15" customHeight="1" x14ac:dyDescent="0.25">
      <c r="B65" s="364" t="s">
        <v>1359</v>
      </c>
      <c r="C65" s="364"/>
      <c r="D65" s="364"/>
      <c r="E65" s="364"/>
      <c r="F65" s="364"/>
      <c r="G65" s="364"/>
      <c r="H65" s="364"/>
      <c r="I65" s="364"/>
      <c r="J65" s="364"/>
      <c r="K65" s="364"/>
      <c r="L65" s="364"/>
      <c r="M65" s="364"/>
      <c r="N65" s="364"/>
      <c r="O65" s="364"/>
      <c r="P65" s="364"/>
      <c r="Q65" s="364"/>
      <c r="R65" s="364"/>
      <c r="S65" s="364"/>
      <c r="T65" s="364"/>
      <c r="U65" s="364"/>
      <c r="V65" s="364"/>
      <c r="W65" s="364"/>
      <c r="X65" s="364"/>
      <c r="Y65" s="364"/>
      <c r="Z65" s="364"/>
      <c r="AA65" s="364"/>
      <c r="AB65" s="364"/>
      <c r="AC65" s="364"/>
      <c r="AD65" s="364"/>
      <c r="AE65" s="364"/>
      <c r="AF65" s="364"/>
      <c r="AG65" s="364"/>
      <c r="AH65" s="364"/>
      <c r="AI65" s="364"/>
      <c r="AJ65" s="364"/>
      <c r="AK65" s="364"/>
      <c r="AL65" s="364"/>
      <c r="AM65" s="364"/>
    </row>
    <row r="66" spans="2:39" ht="15" customHeight="1" x14ac:dyDescent="0.25">
      <c r="B66" s="18" t="s">
        <v>1360</v>
      </c>
    </row>
    <row r="67" spans="2:39" ht="15" customHeight="1" x14ac:dyDescent="0.25">
      <c r="B67" s="18" t="s">
        <v>1361</v>
      </c>
    </row>
    <row r="68" spans="2:39" ht="15" customHeight="1" x14ac:dyDescent="0.25">
      <c r="B68" s="18" t="s">
        <v>1362</v>
      </c>
    </row>
    <row r="69" spans="2:39" ht="15" customHeight="1" x14ac:dyDescent="0.25">
      <c r="B69" s="18" t="s">
        <v>1363</v>
      </c>
    </row>
    <row r="70" spans="2:39" ht="15" customHeight="1" x14ac:dyDescent="0.25">
      <c r="B70" s="18" t="s">
        <v>1364</v>
      </c>
    </row>
    <row r="71" spans="2:39" ht="15" customHeight="1" x14ac:dyDescent="0.25">
      <c r="B71" s="18" t="s">
        <v>1365</v>
      </c>
    </row>
    <row r="72" spans="2:39" ht="15" customHeight="1" x14ac:dyDescent="0.25">
      <c r="B72" s="18" t="s">
        <v>1366</v>
      </c>
    </row>
    <row r="73" spans="2:39" ht="15" customHeight="1" x14ac:dyDescent="0.25">
      <c r="B73" s="18" t="s">
        <v>1367</v>
      </c>
    </row>
    <row r="74" spans="2:39" ht="15" customHeight="1" x14ac:dyDescent="0.25">
      <c r="B74" s="18" t="s">
        <v>1368</v>
      </c>
    </row>
    <row r="75" spans="2:39" ht="15" customHeight="1" x14ac:dyDescent="0.25">
      <c r="B75" s="18" t="s">
        <v>1369</v>
      </c>
    </row>
    <row r="76" spans="2:39" ht="15" customHeight="1" x14ac:dyDescent="0.25">
      <c r="B76" s="18" t="s">
        <v>1370</v>
      </c>
    </row>
    <row r="77" spans="2:39" ht="15" customHeight="1" x14ac:dyDescent="0.25">
      <c r="B77" s="18" t="s">
        <v>1371</v>
      </c>
    </row>
    <row r="78" spans="2:39" ht="15" customHeight="1" x14ac:dyDescent="0.25">
      <c r="B78" s="18" t="s">
        <v>1372</v>
      </c>
    </row>
    <row r="79" spans="2:39" ht="15" customHeight="1" x14ac:dyDescent="0.25">
      <c r="B79" s="18" t="s">
        <v>1373</v>
      </c>
    </row>
    <row r="80" spans="2:39" ht="15" customHeight="1" x14ac:dyDescent="0.25">
      <c r="B80" s="18" t="s">
        <v>1374</v>
      </c>
    </row>
    <row r="81" spans="2:2" ht="15" customHeight="1" x14ac:dyDescent="0.25">
      <c r="B81" s="18" t="s">
        <v>1375</v>
      </c>
    </row>
    <row r="82" spans="2:2" ht="15" customHeight="1" x14ac:dyDescent="0.25">
      <c r="B82" s="18" t="s">
        <v>1369</v>
      </c>
    </row>
    <row r="83" spans="2:2" ht="15" customHeight="1" x14ac:dyDescent="0.25">
      <c r="B83" s="18" t="s">
        <v>1376</v>
      </c>
    </row>
    <row r="84" spans="2:2" ht="15" customHeight="1" x14ac:dyDescent="0.25">
      <c r="B84" s="18" t="s">
        <v>206</v>
      </c>
    </row>
    <row r="85" spans="2:2" ht="15" customHeight="1" x14ac:dyDescent="0.25">
      <c r="B85" s="18" t="s">
        <v>635</v>
      </c>
    </row>
    <row r="86" spans="2:2" ht="15" customHeight="1" x14ac:dyDescent="0.25">
      <c r="B86" s="18" t="s">
        <v>636</v>
      </c>
    </row>
    <row r="87" spans="2:2" ht="15" customHeight="1" x14ac:dyDescent="0.25">
      <c r="B87" s="18" t="s">
        <v>1377</v>
      </c>
    </row>
    <row r="88" spans="2:2" ht="15" customHeight="1" x14ac:dyDescent="0.25">
      <c r="B88" s="18" t="s">
        <v>1378</v>
      </c>
    </row>
    <row r="89" spans="2:2" ht="15" customHeight="1" x14ac:dyDescent="0.25">
      <c r="B89" s="18" t="s">
        <v>1379</v>
      </c>
    </row>
    <row r="90" spans="2:2" ht="15" customHeight="1" x14ac:dyDescent="0.25">
      <c r="B90" s="18" t="s">
        <v>1380</v>
      </c>
    </row>
    <row r="91" spans="2:2" ht="15" customHeight="1" x14ac:dyDescent="0.25">
      <c r="B91" s="18" t="s">
        <v>1381</v>
      </c>
    </row>
    <row r="92" spans="2:2" ht="15" customHeight="1" x14ac:dyDescent="0.25">
      <c r="B92" s="18" t="s">
        <v>1382</v>
      </c>
    </row>
    <row r="93" spans="2:2" ht="15" customHeight="1" x14ac:dyDescent="0.25">
      <c r="B93" s="18" t="s">
        <v>1383</v>
      </c>
    </row>
  </sheetData>
  <mergeCells count="1">
    <mergeCell ref="B65:AM6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5" tint="0.79998168889431442"/>
  </sheetPr>
  <dimension ref="A1:AP58"/>
  <sheetViews>
    <sheetView workbookViewId="0">
      <selection activeCell="B38" sqref="B38"/>
    </sheetView>
  </sheetViews>
  <sheetFormatPr defaultRowHeight="15" x14ac:dyDescent="0.25"/>
  <cols>
    <col min="1" max="1" width="54.28515625" customWidth="1"/>
  </cols>
  <sheetData>
    <row r="1" spans="1:41" x14ac:dyDescent="0.25">
      <c r="A1" t="s">
        <v>295</v>
      </c>
    </row>
    <row r="2" spans="1:41" x14ac:dyDescent="0.25">
      <c r="A2" t="s">
        <v>296</v>
      </c>
    </row>
    <row r="3" spans="1:41" x14ac:dyDescent="0.25">
      <c r="A3" t="s">
        <v>297</v>
      </c>
    </row>
    <row r="4" spans="1:41" x14ac:dyDescent="0.25">
      <c r="A4" t="s">
        <v>9</v>
      </c>
    </row>
    <row r="5" spans="1:41" x14ac:dyDescent="0.25">
      <c r="B5" t="s">
        <v>0</v>
      </c>
      <c r="C5" t="s">
        <v>1</v>
      </c>
      <c r="D5" t="s">
        <v>2</v>
      </c>
      <c r="E5">
        <v>2015</v>
      </c>
      <c r="F5">
        <v>2016</v>
      </c>
      <c r="G5">
        <v>2017</v>
      </c>
      <c r="H5">
        <v>2018</v>
      </c>
      <c r="I5">
        <v>2019</v>
      </c>
      <c r="J5">
        <v>2020</v>
      </c>
      <c r="K5">
        <v>2021</v>
      </c>
      <c r="L5">
        <v>2022</v>
      </c>
      <c r="M5">
        <v>2023</v>
      </c>
      <c r="N5">
        <v>2024</v>
      </c>
      <c r="O5">
        <v>2025</v>
      </c>
      <c r="P5">
        <v>2026</v>
      </c>
      <c r="Q5">
        <v>2027</v>
      </c>
      <c r="R5">
        <v>2028</v>
      </c>
      <c r="S5">
        <v>2029</v>
      </c>
      <c r="T5">
        <v>2030</v>
      </c>
      <c r="U5">
        <v>2031</v>
      </c>
      <c r="V5">
        <v>2032</v>
      </c>
      <c r="W5">
        <v>2033</v>
      </c>
      <c r="X5">
        <v>2034</v>
      </c>
      <c r="Y5">
        <v>2035</v>
      </c>
      <c r="Z5">
        <v>2036</v>
      </c>
      <c r="AA5">
        <v>2037</v>
      </c>
      <c r="AB5">
        <v>2038</v>
      </c>
      <c r="AC5">
        <v>2039</v>
      </c>
      <c r="AD5">
        <v>2040</v>
      </c>
      <c r="AE5">
        <v>2041</v>
      </c>
      <c r="AF5">
        <v>2042</v>
      </c>
      <c r="AG5">
        <v>2043</v>
      </c>
      <c r="AH5">
        <v>2044</v>
      </c>
      <c r="AI5">
        <v>2045</v>
      </c>
      <c r="AJ5">
        <v>2046</v>
      </c>
      <c r="AK5">
        <v>2047</v>
      </c>
      <c r="AL5">
        <v>2048</v>
      </c>
      <c r="AM5">
        <v>2049</v>
      </c>
      <c r="AN5">
        <v>2050</v>
      </c>
      <c r="AO5" t="s">
        <v>298</v>
      </c>
    </row>
    <row r="6" spans="1:41" x14ac:dyDescent="0.25">
      <c r="A6" t="s">
        <v>299</v>
      </c>
      <c r="B6" t="s">
        <v>300</v>
      </c>
      <c r="C6" t="s">
        <v>301</v>
      </c>
      <c r="D6" t="s">
        <v>302</v>
      </c>
      <c r="E6">
        <v>120.05716700000001</v>
      </c>
      <c r="F6">
        <v>117.928513</v>
      </c>
      <c r="G6">
        <v>124.46616400000001</v>
      </c>
      <c r="H6">
        <v>84.697036999999995</v>
      </c>
      <c r="I6">
        <v>89.464737</v>
      </c>
      <c r="J6">
        <v>105.36237300000001</v>
      </c>
      <c r="K6">
        <v>102.656616</v>
      </c>
      <c r="L6">
        <v>112.35309599999999</v>
      </c>
      <c r="M6">
        <v>108.32016</v>
      </c>
      <c r="N6">
        <v>107.60897799999999</v>
      </c>
      <c r="O6">
        <v>106.956856</v>
      </c>
      <c r="P6">
        <v>106.48672500000001</v>
      </c>
      <c r="Q6">
        <v>108.359116</v>
      </c>
      <c r="R6">
        <v>106.425438</v>
      </c>
      <c r="S6">
        <v>101.750862</v>
      </c>
      <c r="T6">
        <v>99.430107000000007</v>
      </c>
      <c r="U6">
        <v>99.767302999999998</v>
      </c>
      <c r="V6">
        <v>102.457596</v>
      </c>
      <c r="W6">
        <v>100.945206</v>
      </c>
      <c r="X6">
        <v>97.385802999999996</v>
      </c>
      <c r="Y6">
        <v>99.063689999999994</v>
      </c>
      <c r="Z6">
        <v>102.940758</v>
      </c>
      <c r="AA6">
        <v>104.876312</v>
      </c>
      <c r="AB6">
        <v>106.066833</v>
      </c>
      <c r="AC6">
        <v>106.741013</v>
      </c>
      <c r="AD6">
        <v>107.791061</v>
      </c>
      <c r="AE6">
        <v>103.985741</v>
      </c>
      <c r="AF6">
        <v>103.426033</v>
      </c>
      <c r="AG6">
        <v>100.538391</v>
      </c>
      <c r="AH6">
        <v>97.406302999999994</v>
      </c>
      <c r="AI6">
        <v>96.979752000000005</v>
      </c>
      <c r="AJ6">
        <v>98.532546999999994</v>
      </c>
      <c r="AK6">
        <v>98.565665999999993</v>
      </c>
      <c r="AL6">
        <v>97.253235000000004</v>
      </c>
      <c r="AM6">
        <v>97.084969000000001</v>
      </c>
      <c r="AN6">
        <v>95.558563000000007</v>
      </c>
      <c r="AO6" s="1">
        <v>-6.0000000000000001E-3</v>
      </c>
    </row>
    <row r="7" spans="1:41" x14ac:dyDescent="0.25">
      <c r="A7" t="s">
        <v>303</v>
      </c>
      <c r="B7" t="s">
        <v>304</v>
      </c>
      <c r="C7" t="s">
        <v>305</v>
      </c>
      <c r="D7" t="s">
        <v>302</v>
      </c>
      <c r="E7">
        <v>14.652744</v>
      </c>
      <c r="F7">
        <v>12.882145</v>
      </c>
      <c r="G7">
        <v>11.649734</v>
      </c>
      <c r="H7">
        <v>11.835823</v>
      </c>
      <c r="I7">
        <v>12.059649</v>
      </c>
      <c r="J7">
        <v>12.380803</v>
      </c>
      <c r="K7">
        <v>12.755677</v>
      </c>
      <c r="L7">
        <v>13.081243000000001</v>
      </c>
      <c r="M7">
        <v>13.403129</v>
      </c>
      <c r="N7">
        <v>13.730112</v>
      </c>
      <c r="O7">
        <v>14.054104000000001</v>
      </c>
      <c r="P7">
        <v>14.385004</v>
      </c>
      <c r="Q7">
        <v>14.774516</v>
      </c>
      <c r="R7">
        <v>15.190255000000001</v>
      </c>
      <c r="S7">
        <v>15.657555</v>
      </c>
      <c r="T7">
        <v>16.135719000000002</v>
      </c>
      <c r="U7">
        <v>16.628771</v>
      </c>
      <c r="V7">
        <v>17.159579999999998</v>
      </c>
      <c r="W7">
        <v>17.744040999999999</v>
      </c>
      <c r="X7">
        <v>16.715515</v>
      </c>
      <c r="Y7">
        <v>17.299097</v>
      </c>
      <c r="Z7">
        <v>17.901852000000002</v>
      </c>
      <c r="AA7">
        <v>18.556661999999999</v>
      </c>
      <c r="AB7">
        <v>19.239242999999998</v>
      </c>
      <c r="AC7">
        <v>19.955345000000001</v>
      </c>
      <c r="AD7">
        <v>20.703835000000002</v>
      </c>
      <c r="AE7">
        <v>21.446073999999999</v>
      </c>
      <c r="AF7">
        <v>21.426590000000001</v>
      </c>
      <c r="AG7">
        <v>21.407404</v>
      </c>
      <c r="AH7">
        <v>21.394112</v>
      </c>
      <c r="AI7">
        <v>21.382709999999999</v>
      </c>
      <c r="AJ7">
        <v>21.374205</v>
      </c>
      <c r="AK7">
        <v>21.358049000000001</v>
      </c>
      <c r="AL7">
        <v>21.344656000000001</v>
      </c>
      <c r="AM7">
        <v>21.333715000000002</v>
      </c>
      <c r="AN7">
        <v>21.322893000000001</v>
      </c>
      <c r="AO7" s="1">
        <v>1.4999999999999999E-2</v>
      </c>
    </row>
    <row r="8" spans="1:41" x14ac:dyDescent="0.25">
      <c r="A8" t="s">
        <v>306</v>
      </c>
      <c r="B8" t="s">
        <v>307</v>
      </c>
      <c r="C8" t="s">
        <v>308</v>
      </c>
      <c r="D8" t="s">
        <v>302</v>
      </c>
      <c r="E8">
        <v>6.5633819999999998</v>
      </c>
      <c r="F8">
        <v>8.9916429999999998</v>
      </c>
      <c r="G8">
        <v>8.7781909999999996</v>
      </c>
      <c r="H8">
        <v>6.437214</v>
      </c>
      <c r="I8">
        <v>7.7248549999999998</v>
      </c>
      <c r="J8">
        <v>7.2750969999999997</v>
      </c>
      <c r="K8">
        <v>7.0411089999999996</v>
      </c>
      <c r="L8">
        <v>8.3228170000000006</v>
      </c>
      <c r="M8">
        <v>8.3169339999999998</v>
      </c>
      <c r="N8">
        <v>8.1113909999999994</v>
      </c>
      <c r="O8">
        <v>8.2710369999999998</v>
      </c>
      <c r="P8">
        <v>7.7861229999999999</v>
      </c>
      <c r="Q8">
        <v>14.821557</v>
      </c>
      <c r="R8">
        <v>15.854264000000001</v>
      </c>
      <c r="S8">
        <v>15.345772999999999</v>
      </c>
      <c r="T8">
        <v>14.967077</v>
      </c>
      <c r="U8">
        <v>14.723879999999999</v>
      </c>
      <c r="V8">
        <v>14.604661999999999</v>
      </c>
      <c r="W8">
        <v>14.554867</v>
      </c>
      <c r="X8">
        <v>14.503520999999999</v>
      </c>
      <c r="Y8">
        <v>14.476319999999999</v>
      </c>
      <c r="Z8">
        <v>14.493039</v>
      </c>
      <c r="AA8">
        <v>14.538444999999999</v>
      </c>
      <c r="AB8">
        <v>14.637532</v>
      </c>
      <c r="AC8">
        <v>14.719025999999999</v>
      </c>
      <c r="AD8">
        <v>14.686358999999999</v>
      </c>
      <c r="AE8">
        <v>14.035769</v>
      </c>
      <c r="AF8">
        <v>13.676773000000001</v>
      </c>
      <c r="AG8">
        <v>13.313235000000001</v>
      </c>
      <c r="AH8">
        <v>12.919834</v>
      </c>
      <c r="AI8">
        <v>12.286633</v>
      </c>
      <c r="AJ8">
        <v>11.931497999999999</v>
      </c>
      <c r="AK8">
        <v>12.749205999999999</v>
      </c>
      <c r="AL8">
        <v>12.927434999999999</v>
      </c>
      <c r="AM8">
        <v>12.958205</v>
      </c>
      <c r="AN8">
        <v>12.823705</v>
      </c>
      <c r="AO8" s="1">
        <v>0.01</v>
      </c>
    </row>
    <row r="9" spans="1:41" x14ac:dyDescent="0.25">
      <c r="A9" t="s">
        <v>309</v>
      </c>
      <c r="B9" t="s">
        <v>310</v>
      </c>
      <c r="C9" t="s">
        <v>311</v>
      </c>
      <c r="D9" t="s">
        <v>302</v>
      </c>
      <c r="E9">
        <v>98.841042000000002</v>
      </c>
      <c r="F9">
        <v>96.054726000000002</v>
      </c>
      <c r="G9">
        <v>104.038239</v>
      </c>
      <c r="H9">
        <v>66.424003999999996</v>
      </c>
      <c r="I9">
        <v>69.680228999999997</v>
      </c>
      <c r="J9">
        <v>85.706474</v>
      </c>
      <c r="K9">
        <v>82.859832999999995</v>
      </c>
      <c r="L9">
        <v>90.949036000000007</v>
      </c>
      <c r="M9">
        <v>86.600098000000003</v>
      </c>
      <c r="N9">
        <v>85.767471</v>
      </c>
      <c r="O9">
        <v>84.631714000000002</v>
      </c>
      <c r="P9">
        <v>84.315597999999994</v>
      </c>
      <c r="Q9">
        <v>78.763046000000003</v>
      </c>
      <c r="R9">
        <v>75.380920000000003</v>
      </c>
      <c r="S9">
        <v>70.747535999999997</v>
      </c>
      <c r="T9">
        <v>68.327309</v>
      </c>
      <c r="U9">
        <v>68.414649999999995</v>
      </c>
      <c r="V9">
        <v>70.693352000000004</v>
      </c>
      <c r="W9">
        <v>68.646300999999994</v>
      </c>
      <c r="X9">
        <v>66.166770999999997</v>
      </c>
      <c r="Y9">
        <v>67.288276999999994</v>
      </c>
      <c r="Z9">
        <v>70.545867999999999</v>
      </c>
      <c r="AA9">
        <v>71.781204000000002</v>
      </c>
      <c r="AB9">
        <v>72.190062999999995</v>
      </c>
      <c r="AC9">
        <v>72.066642999999999</v>
      </c>
      <c r="AD9">
        <v>72.400870999999995</v>
      </c>
      <c r="AE9">
        <v>68.503899000000004</v>
      </c>
      <c r="AF9">
        <v>68.322670000000002</v>
      </c>
      <c r="AG9">
        <v>65.817749000000006</v>
      </c>
      <c r="AH9">
        <v>63.092357999999997</v>
      </c>
      <c r="AI9">
        <v>63.310409999999997</v>
      </c>
      <c r="AJ9">
        <v>65.226844999999997</v>
      </c>
      <c r="AK9">
        <v>64.458411999999996</v>
      </c>
      <c r="AL9">
        <v>62.981147999999997</v>
      </c>
      <c r="AM9">
        <v>62.793049000000003</v>
      </c>
      <c r="AN9">
        <v>61.411968000000002</v>
      </c>
      <c r="AO9" s="1">
        <v>-1.2999999999999999E-2</v>
      </c>
    </row>
    <row r="10" spans="1:41" x14ac:dyDescent="0.25">
      <c r="A10" t="s">
        <v>312</v>
      </c>
      <c r="B10" t="s">
        <v>313</v>
      </c>
      <c r="C10" t="s">
        <v>314</v>
      </c>
      <c r="D10" t="s">
        <v>302</v>
      </c>
      <c r="E10">
        <v>69.497580999999997</v>
      </c>
      <c r="F10">
        <v>57.792427000000004</v>
      </c>
      <c r="G10">
        <v>52.449375000000003</v>
      </c>
      <c r="H10">
        <v>58.740966999999998</v>
      </c>
      <c r="I10">
        <v>63.555579999999999</v>
      </c>
      <c r="J10">
        <v>69.328147999999999</v>
      </c>
      <c r="K10">
        <v>69.396736000000004</v>
      </c>
      <c r="L10">
        <v>70.639053000000004</v>
      </c>
      <c r="M10">
        <v>68.044112999999996</v>
      </c>
      <c r="N10">
        <v>64.524756999999994</v>
      </c>
      <c r="O10">
        <v>61.991683999999999</v>
      </c>
      <c r="P10">
        <v>58.449345000000001</v>
      </c>
      <c r="Q10">
        <v>54.253261999999999</v>
      </c>
      <c r="R10">
        <v>49.825828999999999</v>
      </c>
      <c r="S10">
        <v>45.986919</v>
      </c>
      <c r="T10">
        <v>44.126655999999997</v>
      </c>
      <c r="U10">
        <v>43.640861999999998</v>
      </c>
      <c r="V10">
        <v>44.667183000000001</v>
      </c>
      <c r="W10">
        <v>46.067763999999997</v>
      </c>
      <c r="X10">
        <v>44.696198000000003</v>
      </c>
      <c r="Y10">
        <v>43.312018999999999</v>
      </c>
      <c r="Z10">
        <v>41.642986000000001</v>
      </c>
      <c r="AA10">
        <v>38.971420000000002</v>
      </c>
      <c r="AB10">
        <v>37.568390000000001</v>
      </c>
      <c r="AC10">
        <v>37.314667</v>
      </c>
      <c r="AD10">
        <v>37.921326000000001</v>
      </c>
      <c r="AE10">
        <v>40.064864999999998</v>
      </c>
      <c r="AF10">
        <v>41.741982</v>
      </c>
      <c r="AG10">
        <v>42.435699</v>
      </c>
      <c r="AH10">
        <v>43.380867000000002</v>
      </c>
      <c r="AI10">
        <v>42.495258</v>
      </c>
      <c r="AJ10">
        <v>40.121895000000002</v>
      </c>
      <c r="AK10">
        <v>39.069504000000002</v>
      </c>
      <c r="AL10">
        <v>37.153210000000001</v>
      </c>
      <c r="AM10">
        <v>36.597836000000001</v>
      </c>
      <c r="AN10">
        <v>35.180649000000003</v>
      </c>
      <c r="AO10" s="1">
        <v>-1.4E-2</v>
      </c>
    </row>
    <row r="11" spans="1:41" x14ac:dyDescent="0.25">
      <c r="A11" t="s">
        <v>303</v>
      </c>
      <c r="B11" t="s">
        <v>315</v>
      </c>
      <c r="C11" t="s">
        <v>316</v>
      </c>
      <c r="D11" t="s">
        <v>302</v>
      </c>
      <c r="E11">
        <v>42.426532999999999</v>
      </c>
      <c r="F11">
        <v>36.404784999999997</v>
      </c>
      <c r="G11">
        <v>34.713894000000003</v>
      </c>
      <c r="H11">
        <v>34.740470999999999</v>
      </c>
      <c r="I11">
        <v>35.296337000000001</v>
      </c>
      <c r="J11">
        <v>36.344841000000002</v>
      </c>
      <c r="K11">
        <v>37.657001000000001</v>
      </c>
      <c r="L11">
        <v>38.657764</v>
      </c>
      <c r="M11">
        <v>37.888474000000002</v>
      </c>
      <c r="N11">
        <v>35.303649999999998</v>
      </c>
      <c r="O11">
        <v>30.860417999999999</v>
      </c>
      <c r="P11">
        <v>29.347950000000001</v>
      </c>
      <c r="Q11">
        <v>27.909609</v>
      </c>
      <c r="R11">
        <v>26.541758999999999</v>
      </c>
      <c r="S11">
        <v>25.240950000000002</v>
      </c>
      <c r="T11">
        <v>24.003893000000001</v>
      </c>
      <c r="U11">
        <v>23.526215000000001</v>
      </c>
      <c r="V11">
        <v>24.471874</v>
      </c>
      <c r="W11">
        <v>24.469427</v>
      </c>
      <c r="X11">
        <v>23.270181999999998</v>
      </c>
      <c r="Y11">
        <v>21.323021000000001</v>
      </c>
      <c r="Z11">
        <v>19.549575999999998</v>
      </c>
      <c r="AA11">
        <v>16.699992999999999</v>
      </c>
      <c r="AB11">
        <v>14.598172</v>
      </c>
      <c r="AC11">
        <v>13.897803</v>
      </c>
      <c r="AD11">
        <v>14.218021</v>
      </c>
      <c r="AE11">
        <v>16.105982000000001</v>
      </c>
      <c r="AF11">
        <v>18.044461999999999</v>
      </c>
      <c r="AG11">
        <v>18.984489</v>
      </c>
      <c r="AH11">
        <v>20.140644000000002</v>
      </c>
      <c r="AI11">
        <v>19.066604999999999</v>
      </c>
      <c r="AJ11">
        <v>16.835279</v>
      </c>
      <c r="AK11">
        <v>16.010183000000001</v>
      </c>
      <c r="AL11">
        <v>15.534093</v>
      </c>
      <c r="AM11">
        <v>15.561107</v>
      </c>
      <c r="AN11">
        <v>14.798458</v>
      </c>
      <c r="AO11" s="1">
        <v>-2.5999999999999999E-2</v>
      </c>
    </row>
    <row r="12" spans="1:41" x14ac:dyDescent="0.25">
      <c r="A12" t="s">
        <v>317</v>
      </c>
      <c r="B12" t="s">
        <v>318</v>
      </c>
      <c r="C12" t="s">
        <v>319</v>
      </c>
      <c r="D12" t="s">
        <v>302</v>
      </c>
      <c r="E12">
        <v>8.172606</v>
      </c>
      <c r="F12">
        <v>8.0764890000000005</v>
      </c>
      <c r="G12">
        <v>5.0461580000000001</v>
      </c>
      <c r="H12">
        <v>7.1679589999999997</v>
      </c>
      <c r="I12">
        <v>7.0853900000000003</v>
      </c>
      <c r="J12">
        <v>5.6806520000000003</v>
      </c>
      <c r="K12">
        <v>4.89025</v>
      </c>
      <c r="L12">
        <v>4.7217460000000004</v>
      </c>
      <c r="M12">
        <v>3.698153</v>
      </c>
      <c r="N12">
        <v>3.2569349999999999</v>
      </c>
      <c r="O12">
        <v>3.058996</v>
      </c>
      <c r="P12">
        <v>2.6844260000000002</v>
      </c>
      <c r="Q12">
        <v>2.6488510000000001</v>
      </c>
      <c r="R12">
        <v>2.61435</v>
      </c>
      <c r="S12">
        <v>2.579672</v>
      </c>
      <c r="T12">
        <v>2.5482809999999998</v>
      </c>
      <c r="U12">
        <v>2.5060180000000001</v>
      </c>
      <c r="V12">
        <v>2.4803030000000001</v>
      </c>
      <c r="W12">
        <v>2.4681129999999998</v>
      </c>
      <c r="X12">
        <v>2.4588709999999998</v>
      </c>
      <c r="Y12">
        <v>2.452531</v>
      </c>
      <c r="Z12">
        <v>2.4421499999999998</v>
      </c>
      <c r="AA12">
        <v>2.4432290000000001</v>
      </c>
      <c r="AB12">
        <v>2.4460549999999999</v>
      </c>
      <c r="AC12">
        <v>2.4413580000000001</v>
      </c>
      <c r="AD12">
        <v>2.439829</v>
      </c>
      <c r="AE12">
        <v>2.4402460000000001</v>
      </c>
      <c r="AF12">
        <v>2.4282620000000001</v>
      </c>
      <c r="AG12">
        <v>2.4191820000000002</v>
      </c>
      <c r="AH12">
        <v>2.4150070000000001</v>
      </c>
      <c r="AI12">
        <v>2.4098440000000001</v>
      </c>
      <c r="AJ12">
        <v>2.4057040000000001</v>
      </c>
      <c r="AK12">
        <v>2.395591</v>
      </c>
      <c r="AL12">
        <v>2.3879320000000002</v>
      </c>
      <c r="AM12">
        <v>2.384995</v>
      </c>
      <c r="AN12">
        <v>2.383896</v>
      </c>
      <c r="AO12" s="1">
        <v>-3.5000000000000003E-2</v>
      </c>
    </row>
    <row r="13" spans="1:41" x14ac:dyDescent="0.25">
      <c r="A13" t="s">
        <v>306</v>
      </c>
      <c r="B13" t="s">
        <v>320</v>
      </c>
      <c r="C13" t="s">
        <v>321</v>
      </c>
      <c r="D13" t="s">
        <v>302</v>
      </c>
      <c r="E13">
        <v>18.898440999999998</v>
      </c>
      <c r="F13">
        <v>13.311152</v>
      </c>
      <c r="G13">
        <v>12.689323999999999</v>
      </c>
      <c r="H13">
        <v>16.832539000000001</v>
      </c>
      <c r="I13">
        <v>21.173853000000001</v>
      </c>
      <c r="J13">
        <v>27.302654</v>
      </c>
      <c r="K13">
        <v>26.849481999999998</v>
      </c>
      <c r="L13">
        <v>27.259540999999999</v>
      </c>
      <c r="M13">
        <v>26.457487</v>
      </c>
      <c r="N13">
        <v>25.964172000000001</v>
      </c>
      <c r="O13">
        <v>28.072268999999999</v>
      </c>
      <c r="P13">
        <v>26.416969000000002</v>
      </c>
      <c r="Q13">
        <v>23.694800999999998</v>
      </c>
      <c r="R13">
        <v>20.669720000000002</v>
      </c>
      <c r="S13">
        <v>18.166298000000001</v>
      </c>
      <c r="T13">
        <v>17.574482</v>
      </c>
      <c r="U13">
        <v>17.608626999999998</v>
      </c>
      <c r="V13">
        <v>17.715005999999999</v>
      </c>
      <c r="W13">
        <v>19.130223999999998</v>
      </c>
      <c r="X13">
        <v>18.967146</v>
      </c>
      <c r="Y13">
        <v>19.536466999999998</v>
      </c>
      <c r="Z13">
        <v>19.651260000000001</v>
      </c>
      <c r="AA13">
        <v>19.828199000000001</v>
      </c>
      <c r="AB13">
        <v>20.524162</v>
      </c>
      <c r="AC13">
        <v>20.975508000000001</v>
      </c>
      <c r="AD13">
        <v>21.263477000000002</v>
      </c>
      <c r="AE13">
        <v>21.518639</v>
      </c>
      <c r="AF13">
        <v>21.269255000000001</v>
      </c>
      <c r="AG13">
        <v>21.032028</v>
      </c>
      <c r="AH13">
        <v>20.825218</v>
      </c>
      <c r="AI13">
        <v>21.018809999999998</v>
      </c>
      <c r="AJ13">
        <v>20.880911000000001</v>
      </c>
      <c r="AK13">
        <v>20.663727000000002</v>
      </c>
      <c r="AL13">
        <v>19.231183999999999</v>
      </c>
      <c r="AM13">
        <v>18.651733</v>
      </c>
      <c r="AN13">
        <v>17.998297000000001</v>
      </c>
      <c r="AO13" s="1">
        <v>8.9999999999999993E-3</v>
      </c>
    </row>
    <row r="14" spans="1:41" x14ac:dyDescent="0.25">
      <c r="A14" t="s">
        <v>322</v>
      </c>
      <c r="B14" t="s">
        <v>323</v>
      </c>
      <c r="C14" t="s">
        <v>324</v>
      </c>
      <c r="D14" t="s">
        <v>302</v>
      </c>
      <c r="E14">
        <v>9.5328090000000003</v>
      </c>
      <c r="F14">
        <v>8.3309219999999993</v>
      </c>
      <c r="G14">
        <v>7.5423309999999999</v>
      </c>
      <c r="H14">
        <v>7.8308429999999998</v>
      </c>
      <c r="I14">
        <v>8.5678059999999991</v>
      </c>
      <c r="J14">
        <v>8.9109370000000006</v>
      </c>
      <c r="K14">
        <v>9.2666609999999991</v>
      </c>
      <c r="L14">
        <v>9.6583050000000004</v>
      </c>
      <c r="M14">
        <v>10.026373</v>
      </c>
      <c r="N14">
        <v>10.418226000000001</v>
      </c>
      <c r="O14">
        <v>10.813345999999999</v>
      </c>
      <c r="P14">
        <v>11.219271000000001</v>
      </c>
      <c r="Q14">
        <v>11.663398000000001</v>
      </c>
      <c r="R14">
        <v>12.126284</v>
      </c>
      <c r="S14">
        <v>12.517586</v>
      </c>
      <c r="T14">
        <v>12.850527</v>
      </c>
      <c r="U14">
        <v>13.37785</v>
      </c>
      <c r="V14">
        <v>13.962408999999999</v>
      </c>
      <c r="W14">
        <v>14.583627999999999</v>
      </c>
      <c r="X14">
        <v>13.956322</v>
      </c>
      <c r="Y14">
        <v>14.572863</v>
      </c>
      <c r="Z14">
        <v>15.348271</v>
      </c>
      <c r="AA14">
        <v>16.049278000000001</v>
      </c>
      <c r="AB14">
        <v>16.631741999999999</v>
      </c>
      <c r="AC14">
        <v>15.446691</v>
      </c>
      <c r="AD14">
        <v>13.109517</v>
      </c>
      <c r="AE14">
        <v>12.521939</v>
      </c>
      <c r="AF14">
        <v>13.072020999999999</v>
      </c>
      <c r="AG14">
        <v>14.721527</v>
      </c>
      <c r="AH14">
        <v>15.650145999999999</v>
      </c>
      <c r="AI14">
        <v>14.723331</v>
      </c>
      <c r="AJ14">
        <v>13.996327000000001</v>
      </c>
      <c r="AK14">
        <v>13.318436</v>
      </c>
      <c r="AL14">
        <v>12.878451999999999</v>
      </c>
      <c r="AM14">
        <v>12.340911999999999</v>
      </c>
      <c r="AN14">
        <v>11.757419000000001</v>
      </c>
      <c r="AO14" s="1">
        <v>0.01</v>
      </c>
    </row>
    <row r="15" spans="1:41" x14ac:dyDescent="0.25">
      <c r="A15" t="s">
        <v>325</v>
      </c>
      <c r="B15" t="s">
        <v>326</v>
      </c>
      <c r="C15" t="s">
        <v>327</v>
      </c>
      <c r="D15" t="s">
        <v>302</v>
      </c>
      <c r="E15">
        <v>8.2909849999999992</v>
      </c>
      <c r="F15">
        <v>7.1131010000000003</v>
      </c>
      <c r="G15">
        <v>6.345002</v>
      </c>
      <c r="H15">
        <v>6.6229209999999998</v>
      </c>
      <c r="I15">
        <v>6.9317250000000001</v>
      </c>
      <c r="J15">
        <v>7.2743929999999999</v>
      </c>
      <c r="K15">
        <v>7.643891</v>
      </c>
      <c r="L15">
        <v>8.0156639999999992</v>
      </c>
      <c r="M15">
        <v>8.3994890000000009</v>
      </c>
      <c r="N15">
        <v>8.7978269999999998</v>
      </c>
      <c r="O15">
        <v>9.2079620000000002</v>
      </c>
      <c r="P15">
        <v>9.6322989999999997</v>
      </c>
      <c r="Q15">
        <v>10.075588</v>
      </c>
      <c r="R15">
        <v>10.538558</v>
      </c>
      <c r="S15">
        <v>11.025131</v>
      </c>
      <c r="T15">
        <v>11.552057</v>
      </c>
      <c r="U15">
        <v>12.095428999999999</v>
      </c>
      <c r="V15">
        <v>12.678423</v>
      </c>
      <c r="W15">
        <v>13.298582</v>
      </c>
      <c r="X15">
        <v>12.68646</v>
      </c>
      <c r="Y15">
        <v>13.304335</v>
      </c>
      <c r="Z15">
        <v>13.945582999999999</v>
      </c>
      <c r="AA15">
        <v>14.630985000000001</v>
      </c>
      <c r="AB15">
        <v>14.807252</v>
      </c>
      <c r="AC15">
        <v>13.539851000000001</v>
      </c>
      <c r="AD15">
        <v>11.19434</v>
      </c>
      <c r="AE15">
        <v>10.645705</v>
      </c>
      <c r="AF15">
        <v>11.210334</v>
      </c>
      <c r="AG15">
        <v>12.944497</v>
      </c>
      <c r="AH15">
        <v>13.979328000000001</v>
      </c>
      <c r="AI15">
        <v>13.101514</v>
      </c>
      <c r="AJ15">
        <v>12.459409000000001</v>
      </c>
      <c r="AK15">
        <v>11.848774000000001</v>
      </c>
      <c r="AL15">
        <v>11.268065999999999</v>
      </c>
      <c r="AM15">
        <v>10.715819</v>
      </c>
      <c r="AN15">
        <v>10.190638</v>
      </c>
      <c r="AO15" s="1">
        <v>1.0999999999999999E-2</v>
      </c>
    </row>
    <row r="16" spans="1:41" x14ac:dyDescent="0.25">
      <c r="A16" t="s">
        <v>317</v>
      </c>
      <c r="B16" t="s">
        <v>328</v>
      </c>
      <c r="C16" t="s">
        <v>329</v>
      </c>
      <c r="D16" t="s">
        <v>302</v>
      </c>
      <c r="E16">
        <v>0.18393200000000001</v>
      </c>
      <c r="F16">
        <v>0.195359</v>
      </c>
      <c r="G16">
        <v>0.17633499999999999</v>
      </c>
      <c r="H16">
        <v>0.17629600000000001</v>
      </c>
      <c r="I16">
        <v>0.57733999999999996</v>
      </c>
      <c r="J16">
        <v>0.56023699999999999</v>
      </c>
      <c r="K16">
        <v>0.51752500000000001</v>
      </c>
      <c r="L16">
        <v>0.50643400000000005</v>
      </c>
      <c r="M16">
        <v>0.47029700000000002</v>
      </c>
      <c r="N16">
        <v>0.45776699999999998</v>
      </c>
      <c r="O16">
        <v>0.44457999999999998</v>
      </c>
      <c r="P16">
        <v>0.43144700000000002</v>
      </c>
      <c r="Q16">
        <v>0.43542700000000001</v>
      </c>
      <c r="R16">
        <v>0.449353</v>
      </c>
      <c r="S16">
        <v>0.36993300000000001</v>
      </c>
      <c r="T16">
        <v>0.187942</v>
      </c>
      <c r="U16">
        <v>0.18485799999999999</v>
      </c>
      <c r="V16">
        <v>0.191886</v>
      </c>
      <c r="W16">
        <v>0.19597300000000001</v>
      </c>
      <c r="X16">
        <v>0.182369</v>
      </c>
      <c r="Y16">
        <v>0.18217700000000001</v>
      </c>
      <c r="Z16">
        <v>0.31943300000000002</v>
      </c>
      <c r="AA16">
        <v>0.33238800000000002</v>
      </c>
      <c r="AB16">
        <v>0.346773</v>
      </c>
      <c r="AC16">
        <v>0.33867199999999997</v>
      </c>
      <c r="AD16">
        <v>0.33132699999999998</v>
      </c>
      <c r="AE16">
        <v>0.32453700000000002</v>
      </c>
      <c r="AF16">
        <v>0.340868</v>
      </c>
      <c r="AG16">
        <v>0.33119199999999999</v>
      </c>
      <c r="AH16">
        <v>0.32361899999999999</v>
      </c>
      <c r="AI16">
        <v>0.340644</v>
      </c>
      <c r="AJ16">
        <v>0.31853500000000001</v>
      </c>
      <c r="AK16">
        <v>0.31099100000000002</v>
      </c>
      <c r="AL16">
        <v>0.32217899999999999</v>
      </c>
      <c r="AM16">
        <v>0.324133</v>
      </c>
      <c r="AN16">
        <v>0.31708399999999998</v>
      </c>
      <c r="AO16" s="1">
        <v>1.4E-2</v>
      </c>
    </row>
    <row r="17" spans="1:42" x14ac:dyDescent="0.25">
      <c r="A17" t="s">
        <v>306</v>
      </c>
      <c r="B17" t="s">
        <v>330</v>
      </c>
      <c r="C17" t="s">
        <v>331</v>
      </c>
      <c r="D17" t="s">
        <v>302</v>
      </c>
      <c r="E17">
        <v>1.0578920000000001</v>
      </c>
      <c r="F17">
        <v>1.022462</v>
      </c>
      <c r="G17">
        <v>1.020994</v>
      </c>
      <c r="H17">
        <v>1.0316259999999999</v>
      </c>
      <c r="I17">
        <v>1.0587409999999999</v>
      </c>
      <c r="J17">
        <v>1.0763069999999999</v>
      </c>
      <c r="K17">
        <v>1.105245</v>
      </c>
      <c r="L17">
        <v>1.1362080000000001</v>
      </c>
      <c r="M17">
        <v>1.1565859999999999</v>
      </c>
      <c r="N17">
        <v>1.162633</v>
      </c>
      <c r="O17">
        <v>1.1608039999999999</v>
      </c>
      <c r="P17">
        <v>1.155524</v>
      </c>
      <c r="Q17">
        <v>1.152382</v>
      </c>
      <c r="R17">
        <v>1.1383719999999999</v>
      </c>
      <c r="S17">
        <v>1.122522</v>
      </c>
      <c r="T17">
        <v>1.110528</v>
      </c>
      <c r="U17">
        <v>1.0975630000000001</v>
      </c>
      <c r="V17">
        <v>1.0920989999999999</v>
      </c>
      <c r="W17">
        <v>1.0890740000000001</v>
      </c>
      <c r="X17">
        <v>1.087493</v>
      </c>
      <c r="Y17">
        <v>1.0863499999999999</v>
      </c>
      <c r="Z17">
        <v>1.0832550000000001</v>
      </c>
      <c r="AA17">
        <v>1.085904</v>
      </c>
      <c r="AB17">
        <v>1.4777169999999999</v>
      </c>
      <c r="AC17">
        <v>1.568168</v>
      </c>
      <c r="AD17">
        <v>1.58385</v>
      </c>
      <c r="AE17">
        <v>1.5516970000000001</v>
      </c>
      <c r="AF17">
        <v>1.5208189999999999</v>
      </c>
      <c r="AG17">
        <v>1.445838</v>
      </c>
      <c r="AH17">
        <v>1.3472</v>
      </c>
      <c r="AI17">
        <v>1.281174</v>
      </c>
      <c r="AJ17">
        <v>1.218383</v>
      </c>
      <c r="AK17">
        <v>1.158671</v>
      </c>
      <c r="AL17">
        <v>1.2882070000000001</v>
      </c>
      <c r="AM17">
        <v>1.300959</v>
      </c>
      <c r="AN17">
        <v>1.2496959999999999</v>
      </c>
      <c r="AO17" s="1">
        <v>6.0000000000000001E-3</v>
      </c>
    </row>
    <row r="18" spans="1:42" x14ac:dyDescent="0.25">
      <c r="A18" t="s">
        <v>332</v>
      </c>
      <c r="B18" t="s">
        <v>333</v>
      </c>
      <c r="C18" t="s">
        <v>334</v>
      </c>
      <c r="D18" t="s">
        <v>302</v>
      </c>
      <c r="E18">
        <v>109.247055</v>
      </c>
      <c r="F18">
        <v>118.59161400000001</v>
      </c>
      <c r="G18">
        <v>111.79798099999999</v>
      </c>
      <c r="H18">
        <v>141.460205</v>
      </c>
      <c r="I18">
        <v>148.316147</v>
      </c>
      <c r="J18">
        <v>148.97370900000001</v>
      </c>
      <c r="K18">
        <v>146.58279400000001</v>
      </c>
      <c r="L18">
        <v>150.42323300000001</v>
      </c>
      <c r="M18">
        <v>157.053391</v>
      </c>
      <c r="N18">
        <v>159.33845500000001</v>
      </c>
      <c r="O18">
        <v>158.87661700000001</v>
      </c>
      <c r="P18">
        <v>159.16493199999999</v>
      </c>
      <c r="Q18">
        <v>160.094086</v>
      </c>
      <c r="R18">
        <v>160.44075000000001</v>
      </c>
      <c r="S18">
        <v>161.03985599999999</v>
      </c>
      <c r="T18">
        <v>163.121216</v>
      </c>
      <c r="U18">
        <v>163.82832300000001</v>
      </c>
      <c r="V18">
        <v>162.056107</v>
      </c>
      <c r="W18">
        <v>164.22676100000001</v>
      </c>
      <c r="X18">
        <v>166.00198399999999</v>
      </c>
      <c r="Y18">
        <v>167.244415</v>
      </c>
      <c r="Z18">
        <v>171.40739400000001</v>
      </c>
      <c r="AA18">
        <v>176.27371199999999</v>
      </c>
      <c r="AB18">
        <v>182.11151100000001</v>
      </c>
      <c r="AC18">
        <v>186.16825900000001</v>
      </c>
      <c r="AD18">
        <v>191.085724</v>
      </c>
      <c r="AE18">
        <v>192.90585300000001</v>
      </c>
      <c r="AF18">
        <v>193.447891</v>
      </c>
      <c r="AG18">
        <v>195.450943</v>
      </c>
      <c r="AH18">
        <v>198.91232299999999</v>
      </c>
      <c r="AI18">
        <v>204.171097</v>
      </c>
      <c r="AJ18">
        <v>205.85301200000001</v>
      </c>
      <c r="AK18">
        <v>210.16841099999999</v>
      </c>
      <c r="AL18">
        <v>213.68168600000001</v>
      </c>
      <c r="AM18">
        <v>213.804993</v>
      </c>
      <c r="AN18">
        <v>216.67834500000001</v>
      </c>
      <c r="AO18" s="1">
        <v>1.7999999999999999E-2</v>
      </c>
    </row>
    <row r="19" spans="1:42" x14ac:dyDescent="0.25">
      <c r="A19" t="s">
        <v>306</v>
      </c>
      <c r="B19" t="s">
        <v>335</v>
      </c>
      <c r="C19" t="s">
        <v>336</v>
      </c>
      <c r="D19" t="s">
        <v>302</v>
      </c>
      <c r="E19">
        <v>0.82894400000000001</v>
      </c>
      <c r="F19">
        <v>3.981309</v>
      </c>
      <c r="G19">
        <v>4.2968840000000004</v>
      </c>
      <c r="H19">
        <v>5.1327819999999997</v>
      </c>
      <c r="I19">
        <v>6.091208</v>
      </c>
      <c r="J19">
        <v>6.1709139999999998</v>
      </c>
      <c r="K19">
        <v>5.9735829999999996</v>
      </c>
      <c r="L19">
        <v>6.1922249999999996</v>
      </c>
      <c r="M19">
        <v>6.3449629999999999</v>
      </c>
      <c r="N19">
        <v>6.4287599999999996</v>
      </c>
      <c r="O19">
        <v>6.3329610000000001</v>
      </c>
      <c r="P19">
        <v>6.5350890000000001</v>
      </c>
      <c r="Q19">
        <v>6.8201840000000002</v>
      </c>
      <c r="R19">
        <v>7.1164129999999997</v>
      </c>
      <c r="S19">
        <v>6.8065689999999996</v>
      </c>
      <c r="T19">
        <v>6.8590369999999998</v>
      </c>
      <c r="U19">
        <v>6.760351</v>
      </c>
      <c r="V19">
        <v>6.8472390000000001</v>
      </c>
      <c r="W19">
        <v>6.945703</v>
      </c>
      <c r="X19">
        <v>7.1120369999999999</v>
      </c>
      <c r="Y19">
        <v>7.2446599999999997</v>
      </c>
      <c r="Z19">
        <v>7.1107170000000002</v>
      </c>
      <c r="AA19">
        <v>7.2433149999999999</v>
      </c>
      <c r="AB19">
        <v>7.3784739999999998</v>
      </c>
      <c r="AC19">
        <v>7.5703360000000002</v>
      </c>
      <c r="AD19">
        <v>7.7118599999999997</v>
      </c>
      <c r="AE19">
        <v>7.7673819999999996</v>
      </c>
      <c r="AF19">
        <v>7.699465</v>
      </c>
      <c r="AG19">
        <v>7.7659330000000004</v>
      </c>
      <c r="AH19">
        <v>7.90029</v>
      </c>
      <c r="AI19">
        <v>8.1058269999999997</v>
      </c>
      <c r="AJ19">
        <v>8.1553159999999991</v>
      </c>
      <c r="AK19">
        <v>8.0832639999999998</v>
      </c>
      <c r="AL19">
        <v>8.2251200000000004</v>
      </c>
      <c r="AM19">
        <v>8.2971640000000004</v>
      </c>
      <c r="AN19">
        <v>8.590306</v>
      </c>
      <c r="AO19" s="1">
        <v>2.3E-2</v>
      </c>
    </row>
    <row r="20" spans="1:42" x14ac:dyDescent="0.25">
      <c r="A20" t="s">
        <v>309</v>
      </c>
      <c r="B20" t="s">
        <v>337</v>
      </c>
      <c r="C20" t="s">
        <v>338</v>
      </c>
      <c r="D20" t="s">
        <v>302</v>
      </c>
      <c r="E20">
        <v>106.243469</v>
      </c>
      <c r="F20">
        <v>113.910721</v>
      </c>
      <c r="G20">
        <v>104.66514599999999</v>
      </c>
      <c r="H20">
        <v>132.21156300000001</v>
      </c>
      <c r="I20">
        <v>138.259613</v>
      </c>
      <c r="J20">
        <v>138.63874799999999</v>
      </c>
      <c r="K20">
        <v>136.478195</v>
      </c>
      <c r="L20">
        <v>140.437881</v>
      </c>
      <c r="M20">
        <v>147.41847200000001</v>
      </c>
      <c r="N20">
        <v>150.07342499999999</v>
      </c>
      <c r="O20">
        <v>149.74494899999999</v>
      </c>
      <c r="P20">
        <v>150.04151899999999</v>
      </c>
      <c r="Q20">
        <v>150.28144800000001</v>
      </c>
      <c r="R20">
        <v>150.22796600000001</v>
      </c>
      <c r="S20">
        <v>151.54420500000001</v>
      </c>
      <c r="T20">
        <v>153.131134</v>
      </c>
      <c r="U20">
        <v>154.226868</v>
      </c>
      <c r="V20">
        <v>152.33470199999999</v>
      </c>
      <c r="W20">
        <v>154.40696700000001</v>
      </c>
      <c r="X20">
        <v>156.01577800000001</v>
      </c>
      <c r="Y20">
        <v>157.12548799999999</v>
      </c>
      <c r="Z20">
        <v>161.42242400000001</v>
      </c>
      <c r="AA20">
        <v>166.156128</v>
      </c>
      <c r="AB20">
        <v>172.008194</v>
      </c>
      <c r="AC20">
        <v>175.46554599999999</v>
      </c>
      <c r="AD20">
        <v>180.41279599999999</v>
      </c>
      <c r="AE20">
        <v>182.21691899999999</v>
      </c>
      <c r="AF20">
        <v>182.827988</v>
      </c>
      <c r="AG20">
        <v>184.65626499999999</v>
      </c>
      <c r="AH20">
        <v>187.983307</v>
      </c>
      <c r="AI20">
        <v>193.036484</v>
      </c>
      <c r="AJ20">
        <v>194.79748499999999</v>
      </c>
      <c r="AK20">
        <v>199.213425</v>
      </c>
      <c r="AL20">
        <v>202.692001</v>
      </c>
      <c r="AM20">
        <v>202.745575</v>
      </c>
      <c r="AN20">
        <v>205.325729</v>
      </c>
      <c r="AO20" s="1">
        <v>1.7000000000000001E-2</v>
      </c>
    </row>
    <row r="21" spans="1:42" x14ac:dyDescent="0.25">
      <c r="A21" t="s">
        <v>339</v>
      </c>
      <c r="B21" t="s">
        <v>340</v>
      </c>
      <c r="C21" t="s">
        <v>341</v>
      </c>
      <c r="D21" t="s">
        <v>302</v>
      </c>
      <c r="E21">
        <v>2.174639</v>
      </c>
      <c r="F21">
        <v>0.69958299999999995</v>
      </c>
      <c r="G21">
        <v>2.8359489999999998</v>
      </c>
      <c r="H21">
        <v>4.1158640000000002</v>
      </c>
      <c r="I21">
        <v>3.9653260000000001</v>
      </c>
      <c r="J21">
        <v>4.1640470000000001</v>
      </c>
      <c r="K21">
        <v>4.131011</v>
      </c>
      <c r="L21">
        <v>3.793129</v>
      </c>
      <c r="M21">
        <v>3.2899569999999998</v>
      </c>
      <c r="N21">
        <v>2.836265</v>
      </c>
      <c r="O21">
        <v>2.7987099999999998</v>
      </c>
      <c r="P21">
        <v>2.588327</v>
      </c>
      <c r="Q21">
        <v>2.9924559999999998</v>
      </c>
      <c r="R21">
        <v>3.096365</v>
      </c>
      <c r="S21">
        <v>2.6890830000000001</v>
      </c>
      <c r="T21">
        <v>3.1310419999999999</v>
      </c>
      <c r="U21">
        <v>2.8411089999999999</v>
      </c>
      <c r="V21">
        <v>2.8741620000000001</v>
      </c>
      <c r="W21">
        <v>2.874091</v>
      </c>
      <c r="X21">
        <v>2.874161</v>
      </c>
      <c r="Y21">
        <v>2.8742610000000002</v>
      </c>
      <c r="Z21">
        <v>2.87426</v>
      </c>
      <c r="AA21">
        <v>2.8742679999999998</v>
      </c>
      <c r="AB21">
        <v>2.7248389999999998</v>
      </c>
      <c r="AC21">
        <v>3.1323759999999998</v>
      </c>
      <c r="AD21">
        <v>2.9610729999999998</v>
      </c>
      <c r="AE21">
        <v>2.9215529999999998</v>
      </c>
      <c r="AF21">
        <v>2.9204409999999998</v>
      </c>
      <c r="AG21">
        <v>3.0287449999999998</v>
      </c>
      <c r="AH21">
        <v>3.0287299999999999</v>
      </c>
      <c r="AI21">
        <v>3.0287890000000002</v>
      </c>
      <c r="AJ21">
        <v>2.9002110000000001</v>
      </c>
      <c r="AK21">
        <v>2.8717199999999998</v>
      </c>
      <c r="AL21">
        <v>2.7645650000000002</v>
      </c>
      <c r="AM21">
        <v>2.7622580000000001</v>
      </c>
      <c r="AN21">
        <v>2.7623169999999999</v>
      </c>
      <c r="AO21" s="1">
        <v>4.1000000000000002E-2</v>
      </c>
    </row>
    <row r="22" spans="1:42" x14ac:dyDescent="0.25">
      <c r="A22" t="s">
        <v>342</v>
      </c>
      <c r="B22" t="s">
        <v>343</v>
      </c>
      <c r="C22" t="s">
        <v>344</v>
      </c>
      <c r="D22" t="s">
        <v>302</v>
      </c>
      <c r="E22">
        <v>1.9494</v>
      </c>
      <c r="F22">
        <v>2.1432820000000001</v>
      </c>
      <c r="G22">
        <v>0.94706100000000004</v>
      </c>
      <c r="H22">
        <v>1.984715</v>
      </c>
      <c r="I22">
        <v>1.3917520000000001</v>
      </c>
      <c r="J22">
        <v>1.118279</v>
      </c>
      <c r="K22">
        <v>1.063472</v>
      </c>
      <c r="L22">
        <v>1.011352</v>
      </c>
      <c r="M22">
        <v>0.961785</v>
      </c>
      <c r="N22">
        <v>0.91464800000000002</v>
      </c>
      <c r="O22">
        <v>0.86982099999999996</v>
      </c>
      <c r="P22">
        <v>0.82719100000000001</v>
      </c>
      <c r="Q22">
        <v>0.83432700000000004</v>
      </c>
      <c r="R22">
        <v>1.01993</v>
      </c>
      <c r="S22">
        <v>1.0223850000000001</v>
      </c>
      <c r="T22">
        <v>0.38328400000000001</v>
      </c>
      <c r="U22">
        <v>0.37698999999999999</v>
      </c>
      <c r="V22">
        <v>0.37365799999999999</v>
      </c>
      <c r="W22">
        <v>0.37245200000000001</v>
      </c>
      <c r="X22">
        <v>0.87866299999999997</v>
      </c>
      <c r="Y22">
        <v>1.0063029999999999</v>
      </c>
      <c r="Z22">
        <v>0.99624000000000001</v>
      </c>
      <c r="AA22">
        <v>0.98577599999999999</v>
      </c>
      <c r="AB22">
        <v>0.96576499999999998</v>
      </c>
      <c r="AC22">
        <v>0.93679199999999996</v>
      </c>
      <c r="AD22">
        <v>0.92742400000000003</v>
      </c>
      <c r="AE22">
        <v>0.89960099999999998</v>
      </c>
      <c r="AF22">
        <v>0.90859699999999999</v>
      </c>
      <c r="AG22">
        <v>0.89042699999999997</v>
      </c>
      <c r="AH22">
        <v>0.88143499999999997</v>
      </c>
      <c r="AI22">
        <v>0.85525499999999999</v>
      </c>
      <c r="AJ22">
        <v>0.83823599999999998</v>
      </c>
      <c r="AK22">
        <v>0.81333900000000003</v>
      </c>
      <c r="AL22">
        <v>0.78129000000000004</v>
      </c>
      <c r="AM22">
        <v>0.81277699999999997</v>
      </c>
      <c r="AN22">
        <v>0.84544699999999995</v>
      </c>
      <c r="AO22" s="1">
        <v>-2.7E-2</v>
      </c>
    </row>
    <row r="23" spans="1:42" x14ac:dyDescent="0.25">
      <c r="A23" t="s">
        <v>345</v>
      </c>
      <c r="B23" t="s">
        <v>346</v>
      </c>
      <c r="C23" t="s">
        <v>347</v>
      </c>
      <c r="D23" t="s">
        <v>302</v>
      </c>
      <c r="E23">
        <v>53.008429999999997</v>
      </c>
      <c r="F23">
        <v>40.500317000000003</v>
      </c>
      <c r="G23">
        <v>48.893340999999999</v>
      </c>
      <c r="H23">
        <v>49.284537999999998</v>
      </c>
      <c r="I23">
        <v>50.501708999999998</v>
      </c>
      <c r="J23">
        <v>52.291907999999999</v>
      </c>
      <c r="K23">
        <v>52.293793000000001</v>
      </c>
      <c r="L23">
        <v>52.427067000000001</v>
      </c>
      <c r="M23">
        <v>52.428513000000002</v>
      </c>
      <c r="N23">
        <v>52.435004999999997</v>
      </c>
      <c r="O23">
        <v>52.956302999999998</v>
      </c>
      <c r="P23">
        <v>52.572707999999999</v>
      </c>
      <c r="Q23">
        <v>52.855834999999999</v>
      </c>
      <c r="R23">
        <v>53.255454999999998</v>
      </c>
      <c r="S23">
        <v>54.486621999999997</v>
      </c>
      <c r="T23">
        <v>54.358207999999998</v>
      </c>
      <c r="U23">
        <v>54.520535000000002</v>
      </c>
      <c r="V23">
        <v>54.308712</v>
      </c>
      <c r="W23">
        <v>54.037052000000003</v>
      </c>
      <c r="X23">
        <v>53.198616000000001</v>
      </c>
      <c r="Y23">
        <v>52.744346999999998</v>
      </c>
      <c r="Z23">
        <v>52.482388</v>
      </c>
      <c r="AA23">
        <v>52.243454</v>
      </c>
      <c r="AB23">
        <v>52.185417000000001</v>
      </c>
      <c r="AC23">
        <v>52.017487000000003</v>
      </c>
      <c r="AD23">
        <v>51.852984999999997</v>
      </c>
      <c r="AE23">
        <v>51.616104</v>
      </c>
      <c r="AF23">
        <v>51.866580999999996</v>
      </c>
      <c r="AG23">
        <v>51.805241000000002</v>
      </c>
      <c r="AH23">
        <v>51.764873999999999</v>
      </c>
      <c r="AI23">
        <v>51.735061999999999</v>
      </c>
      <c r="AJ23">
        <v>51.729304999999997</v>
      </c>
      <c r="AK23">
        <v>52.392975</v>
      </c>
      <c r="AL23">
        <v>52.247314000000003</v>
      </c>
      <c r="AM23">
        <v>52.541355000000003</v>
      </c>
      <c r="AN23">
        <v>52.821292999999997</v>
      </c>
      <c r="AO23" s="1">
        <v>8.0000000000000002E-3</v>
      </c>
    </row>
    <row r="24" spans="1:42" x14ac:dyDescent="0.25">
      <c r="A24" t="s">
        <v>339</v>
      </c>
      <c r="B24" t="s">
        <v>348</v>
      </c>
      <c r="C24" t="s">
        <v>349</v>
      </c>
      <c r="D24" t="s">
        <v>302</v>
      </c>
      <c r="E24">
        <v>40.544730999999999</v>
      </c>
      <c r="F24">
        <v>28.463564000000002</v>
      </c>
      <c r="G24">
        <v>34.560085000000001</v>
      </c>
      <c r="H24">
        <v>32.801291999999997</v>
      </c>
      <c r="I24">
        <v>32.355305000000001</v>
      </c>
      <c r="J24">
        <v>34.956203000000002</v>
      </c>
      <c r="K24">
        <v>37.139918999999999</v>
      </c>
      <c r="L24">
        <v>38.015884</v>
      </c>
      <c r="M24">
        <v>38.441443999999997</v>
      </c>
      <c r="N24">
        <v>38.573757000000001</v>
      </c>
      <c r="O24">
        <v>39.108986000000002</v>
      </c>
      <c r="P24">
        <v>39.252068000000001</v>
      </c>
      <c r="Q24">
        <v>39.084010999999997</v>
      </c>
      <c r="R24">
        <v>38.193829000000001</v>
      </c>
      <c r="S24">
        <v>39.111533999999999</v>
      </c>
      <c r="T24">
        <v>39.092025999999997</v>
      </c>
      <c r="U24">
        <v>39.264941999999998</v>
      </c>
      <c r="V24">
        <v>39.206969999999998</v>
      </c>
      <c r="W24">
        <v>39.131176000000004</v>
      </c>
      <c r="X24">
        <v>38.888514999999998</v>
      </c>
      <c r="Y24">
        <v>38.687592000000002</v>
      </c>
      <c r="Z24">
        <v>38.697861000000003</v>
      </c>
      <c r="AA24">
        <v>38.737090999999999</v>
      </c>
      <c r="AB24">
        <v>38.817737999999999</v>
      </c>
      <c r="AC24">
        <v>39.046363999999997</v>
      </c>
      <c r="AD24">
        <v>39.119869000000001</v>
      </c>
      <c r="AE24">
        <v>38.706383000000002</v>
      </c>
      <c r="AF24">
        <v>37.760815000000001</v>
      </c>
      <c r="AG24">
        <v>37.760753999999999</v>
      </c>
      <c r="AH24">
        <v>37.728870000000001</v>
      </c>
      <c r="AI24">
        <v>37.728870000000001</v>
      </c>
      <c r="AJ24">
        <v>37.728870000000001</v>
      </c>
      <c r="AK24">
        <v>38.204250000000002</v>
      </c>
      <c r="AL24">
        <v>38.126682000000002</v>
      </c>
      <c r="AM24">
        <v>38.315379999999998</v>
      </c>
      <c r="AN24">
        <v>38.509483000000003</v>
      </c>
      <c r="AO24" s="1">
        <v>8.9999999999999993E-3</v>
      </c>
    </row>
    <row r="25" spans="1:42" x14ac:dyDescent="0.25">
      <c r="A25" t="s">
        <v>350</v>
      </c>
      <c r="B25" t="s">
        <v>351</v>
      </c>
      <c r="C25" t="s">
        <v>352</v>
      </c>
      <c r="D25" t="s">
        <v>302</v>
      </c>
      <c r="E25">
        <v>12.463699999999999</v>
      </c>
      <c r="F25">
        <v>12.036752</v>
      </c>
      <c r="G25">
        <v>14.333254999999999</v>
      </c>
      <c r="H25">
        <v>16.483243999999999</v>
      </c>
      <c r="I25">
        <v>18.146401999999998</v>
      </c>
      <c r="J25">
        <v>17.335702999999999</v>
      </c>
      <c r="K25">
        <v>15.153873000000001</v>
      </c>
      <c r="L25">
        <v>14.411182</v>
      </c>
      <c r="M25">
        <v>13.987068000000001</v>
      </c>
      <c r="N25">
        <v>13.861246</v>
      </c>
      <c r="O25">
        <v>13.847315999999999</v>
      </c>
      <c r="P25">
        <v>13.320641999999999</v>
      </c>
      <c r="Q25">
        <v>13.771824000000001</v>
      </c>
      <c r="R25">
        <v>15.061626</v>
      </c>
      <c r="S25">
        <v>15.375087000000001</v>
      </c>
      <c r="T25">
        <v>15.266182000000001</v>
      </c>
      <c r="U25">
        <v>15.255592</v>
      </c>
      <c r="V25">
        <v>15.101742</v>
      </c>
      <c r="W25">
        <v>14.905877</v>
      </c>
      <c r="X25">
        <v>14.310102000000001</v>
      </c>
      <c r="Y25">
        <v>14.056754</v>
      </c>
      <c r="Z25">
        <v>13.784528</v>
      </c>
      <c r="AA25">
        <v>13.506363</v>
      </c>
      <c r="AB25">
        <v>13.367679000000001</v>
      </c>
      <c r="AC25">
        <v>12.971121999999999</v>
      </c>
      <c r="AD25">
        <v>12.733116000000001</v>
      </c>
      <c r="AE25">
        <v>12.909720999999999</v>
      </c>
      <c r="AF25">
        <v>14.105765</v>
      </c>
      <c r="AG25">
        <v>14.044485999999999</v>
      </c>
      <c r="AH25">
        <v>14.036002</v>
      </c>
      <c r="AI25">
        <v>14.006190999999999</v>
      </c>
      <c r="AJ25">
        <v>14.000435</v>
      </c>
      <c r="AK25">
        <v>14.188725</v>
      </c>
      <c r="AL25">
        <v>14.120633</v>
      </c>
      <c r="AM25">
        <v>14.225974000000001</v>
      </c>
      <c r="AN25">
        <v>14.311809999999999</v>
      </c>
      <c r="AO25" s="1">
        <v>5.0000000000000001E-3</v>
      </c>
    </row>
    <row r="26" spans="1:42" x14ac:dyDescent="0.25">
      <c r="A26" t="s">
        <v>353</v>
      </c>
      <c r="B26" t="s">
        <v>354</v>
      </c>
      <c r="C26" t="s">
        <v>355</v>
      </c>
      <c r="D26" t="s">
        <v>302</v>
      </c>
      <c r="E26">
        <v>28.536961000000002</v>
      </c>
      <c r="F26">
        <v>27.835291000000002</v>
      </c>
      <c r="G26">
        <v>28.200699</v>
      </c>
      <c r="H26">
        <v>26.955452000000001</v>
      </c>
      <c r="I26">
        <v>27.102079</v>
      </c>
      <c r="J26">
        <v>26.592621000000001</v>
      </c>
      <c r="K26">
        <v>23.864439000000001</v>
      </c>
      <c r="L26">
        <v>23.755600000000001</v>
      </c>
      <c r="M26">
        <v>23.847888999999999</v>
      </c>
      <c r="N26">
        <v>24.720972</v>
      </c>
      <c r="O26">
        <v>25.607969000000001</v>
      </c>
      <c r="P26">
        <v>26.520546</v>
      </c>
      <c r="Q26">
        <v>27.121492</v>
      </c>
      <c r="R26">
        <v>27.330518999999999</v>
      </c>
      <c r="S26">
        <v>27.276620999999999</v>
      </c>
      <c r="T26">
        <v>27.079682999999999</v>
      </c>
      <c r="U26">
        <v>26.977906999999998</v>
      </c>
      <c r="V26">
        <v>26.992155</v>
      </c>
      <c r="W26">
        <v>26.935414999999999</v>
      </c>
      <c r="X26">
        <v>27.020803000000001</v>
      </c>
      <c r="Y26">
        <v>27.469671000000002</v>
      </c>
      <c r="Z26">
        <v>27.482078999999999</v>
      </c>
      <c r="AA26">
        <v>27.449370999999999</v>
      </c>
      <c r="AB26">
        <v>27.438385</v>
      </c>
      <c r="AC26">
        <v>27.404129000000001</v>
      </c>
      <c r="AD26">
        <v>27.359655</v>
      </c>
      <c r="AE26">
        <v>27.325852999999999</v>
      </c>
      <c r="AF26">
        <v>27.33164</v>
      </c>
      <c r="AG26">
        <v>27.380875</v>
      </c>
      <c r="AH26">
        <v>27.391026</v>
      </c>
      <c r="AI26">
        <v>27.399478999999999</v>
      </c>
      <c r="AJ26">
        <v>27.379601999999998</v>
      </c>
      <c r="AK26">
        <v>27.401375000000002</v>
      </c>
      <c r="AL26">
        <v>27.385088</v>
      </c>
      <c r="AM26">
        <v>27.390457000000001</v>
      </c>
      <c r="AN26">
        <v>27.399650999999999</v>
      </c>
      <c r="AO26" s="1">
        <v>0</v>
      </c>
    </row>
    <row r="27" spans="1:42" x14ac:dyDescent="0.25">
      <c r="A27" t="s">
        <v>356</v>
      </c>
      <c r="B27" t="s">
        <v>357</v>
      </c>
      <c r="C27" t="s">
        <v>358</v>
      </c>
      <c r="D27" t="s">
        <v>302</v>
      </c>
      <c r="E27">
        <v>51.510944000000002</v>
      </c>
      <c r="F27">
        <v>39.590820000000001</v>
      </c>
      <c r="G27">
        <v>43.163670000000003</v>
      </c>
      <c r="H27">
        <v>44.658828999999997</v>
      </c>
      <c r="I27">
        <v>52.849181999999999</v>
      </c>
      <c r="J27">
        <v>56.636684000000002</v>
      </c>
      <c r="K27">
        <v>54.494987000000002</v>
      </c>
      <c r="L27">
        <v>52.503715999999997</v>
      </c>
      <c r="M27">
        <v>49.467334999999999</v>
      </c>
      <c r="N27">
        <v>48.841560000000001</v>
      </c>
      <c r="O27">
        <v>44.198962999999999</v>
      </c>
      <c r="P27">
        <v>39.670859999999998</v>
      </c>
      <c r="Q27">
        <v>38.109668999999997</v>
      </c>
      <c r="R27">
        <v>36.528477000000002</v>
      </c>
      <c r="S27">
        <v>40.549819999999997</v>
      </c>
      <c r="T27">
        <v>41.155174000000002</v>
      </c>
      <c r="U27">
        <v>40.643261000000003</v>
      </c>
      <c r="V27">
        <v>40.142997999999999</v>
      </c>
      <c r="W27">
        <v>42.237923000000002</v>
      </c>
      <c r="X27">
        <v>48.423530999999997</v>
      </c>
      <c r="Y27">
        <v>50.293190000000003</v>
      </c>
      <c r="Z27">
        <v>48.896118000000001</v>
      </c>
      <c r="AA27">
        <v>49.194920000000003</v>
      </c>
      <c r="AB27">
        <v>48.521793000000002</v>
      </c>
      <c r="AC27">
        <v>47.187531</v>
      </c>
      <c r="AD27">
        <v>45.872706999999998</v>
      </c>
      <c r="AE27">
        <v>43.808273</v>
      </c>
      <c r="AF27">
        <v>42.451630000000002</v>
      </c>
      <c r="AG27">
        <v>40.626792999999999</v>
      </c>
      <c r="AH27">
        <v>42.783520000000003</v>
      </c>
      <c r="AI27">
        <v>41.198585999999999</v>
      </c>
      <c r="AJ27">
        <v>39.446643999999999</v>
      </c>
      <c r="AK27">
        <v>39.402191000000002</v>
      </c>
      <c r="AL27">
        <v>39.044696999999999</v>
      </c>
      <c r="AM27">
        <v>38.359130999999998</v>
      </c>
      <c r="AN27">
        <v>36.952174999999997</v>
      </c>
      <c r="AO27" s="1">
        <v>-2E-3</v>
      </c>
    </row>
    <row r="28" spans="1:42" x14ac:dyDescent="0.25">
      <c r="A28" t="s">
        <v>317</v>
      </c>
      <c r="B28" t="s">
        <v>359</v>
      </c>
      <c r="C28" t="s">
        <v>360</v>
      </c>
      <c r="D28" t="s">
        <v>302</v>
      </c>
      <c r="E28">
        <v>9.27</v>
      </c>
      <c r="F28">
        <v>8.0285530000000005</v>
      </c>
      <c r="G28">
        <v>10.003257</v>
      </c>
      <c r="H28">
        <v>11.003583000000001</v>
      </c>
      <c r="I28">
        <v>12.103941000000001</v>
      </c>
      <c r="J28">
        <v>13.314335</v>
      </c>
      <c r="K28">
        <v>13.760529999999999</v>
      </c>
      <c r="L28">
        <v>10.953371000000001</v>
      </c>
      <c r="M28">
        <v>4.4656599999999997</v>
      </c>
      <c r="N28">
        <v>1.2860849999999999</v>
      </c>
      <c r="O28">
        <v>1.2855559999999999</v>
      </c>
      <c r="P28">
        <v>1.2847740000000001</v>
      </c>
      <c r="Q28">
        <v>1.925753</v>
      </c>
      <c r="R28">
        <v>2.117934</v>
      </c>
      <c r="S28">
        <v>2.4618709999999999</v>
      </c>
      <c r="T28">
        <v>2.397125</v>
      </c>
      <c r="U28">
        <v>2.5090840000000001</v>
      </c>
      <c r="V28">
        <v>4.0440440000000004</v>
      </c>
      <c r="W28">
        <v>4.2290460000000003</v>
      </c>
      <c r="X28">
        <v>4.2770989999999998</v>
      </c>
      <c r="Y28">
        <v>4.6641360000000001</v>
      </c>
      <c r="Z28">
        <v>5.1452140000000002</v>
      </c>
      <c r="AA28">
        <v>5.8903819999999998</v>
      </c>
      <c r="AB28">
        <v>6.0855230000000002</v>
      </c>
      <c r="AC28">
        <v>6.2505639999999998</v>
      </c>
      <c r="AD28">
        <v>6.3121859999999996</v>
      </c>
      <c r="AE28">
        <v>6.1866099999999999</v>
      </c>
      <c r="AF28">
        <v>6.3804160000000003</v>
      </c>
      <c r="AG28">
        <v>6.3234250000000003</v>
      </c>
      <c r="AH28">
        <v>6.2429740000000002</v>
      </c>
      <c r="AI28">
        <v>6.2258180000000003</v>
      </c>
      <c r="AJ28">
        <v>6.1157440000000003</v>
      </c>
      <c r="AK28">
        <v>6.1689920000000003</v>
      </c>
      <c r="AL28">
        <v>5.9765300000000003</v>
      </c>
      <c r="AM28">
        <v>5.9215770000000001</v>
      </c>
      <c r="AN28">
        <v>5.9008690000000001</v>
      </c>
      <c r="AO28" s="1">
        <v>-8.9999999999999993E-3</v>
      </c>
    </row>
    <row r="29" spans="1:42" x14ac:dyDescent="0.25">
      <c r="A29" t="s">
        <v>361</v>
      </c>
      <c r="B29" t="s">
        <v>362</v>
      </c>
      <c r="C29" t="s">
        <v>363</v>
      </c>
      <c r="D29" t="s">
        <v>302</v>
      </c>
      <c r="E29">
        <v>28.216000000000001</v>
      </c>
      <c r="F29">
        <v>29.782862000000002</v>
      </c>
      <c r="G29">
        <v>31.544525</v>
      </c>
      <c r="H29">
        <v>32.118552999999999</v>
      </c>
      <c r="I29">
        <v>33.744323999999999</v>
      </c>
      <c r="J29">
        <v>35.848334999999999</v>
      </c>
      <c r="K29">
        <v>32.276192000000002</v>
      </c>
      <c r="L29">
        <v>33.312862000000003</v>
      </c>
      <c r="M29">
        <v>36.361336000000001</v>
      </c>
      <c r="N29">
        <v>38.625720999999999</v>
      </c>
      <c r="O29">
        <v>33.827572000000004</v>
      </c>
      <c r="P29">
        <v>29.570112000000002</v>
      </c>
      <c r="Q29">
        <v>27.461266999999999</v>
      </c>
      <c r="R29">
        <v>26.115390999999999</v>
      </c>
      <c r="S29">
        <v>30.199342999999999</v>
      </c>
      <c r="T29">
        <v>30.498284999999999</v>
      </c>
      <c r="U29">
        <v>29.479647</v>
      </c>
      <c r="V29">
        <v>28.034851</v>
      </c>
      <c r="W29">
        <v>30.339993</v>
      </c>
      <c r="X29">
        <v>35.084591000000003</v>
      </c>
      <c r="Y29">
        <v>36.213630999999999</v>
      </c>
      <c r="Z29">
        <v>33.895583999999999</v>
      </c>
      <c r="AA29">
        <v>33.650246000000003</v>
      </c>
      <c r="AB29">
        <v>33.296813999999998</v>
      </c>
      <c r="AC29">
        <v>32.620891999999998</v>
      </c>
      <c r="AD29">
        <v>31.652018000000002</v>
      </c>
      <c r="AE29">
        <v>30.100753999999998</v>
      </c>
      <c r="AF29">
        <v>28.625516999999999</v>
      </c>
      <c r="AG29">
        <v>27.222581999999999</v>
      </c>
      <c r="AH29">
        <v>28.877548000000001</v>
      </c>
      <c r="AI29">
        <v>27.462261000000002</v>
      </c>
      <c r="AJ29">
        <v>26.116337000000001</v>
      </c>
      <c r="AK29">
        <v>26.372226999999999</v>
      </c>
      <c r="AL29">
        <v>26.543448999999999</v>
      </c>
      <c r="AM29">
        <v>25.446256999999999</v>
      </c>
      <c r="AN29">
        <v>24.199137</v>
      </c>
      <c r="AO29" s="1">
        <v>-6.0000000000000001E-3</v>
      </c>
    </row>
    <row r="30" spans="1:42" x14ac:dyDescent="0.25">
      <c r="A30" t="s">
        <v>364</v>
      </c>
      <c r="B30" t="s">
        <v>365</v>
      </c>
      <c r="C30" t="s">
        <v>366</v>
      </c>
      <c r="D30" t="s">
        <v>302</v>
      </c>
      <c r="E30">
        <v>14.024943</v>
      </c>
      <c r="F30">
        <v>1.7794049999999999</v>
      </c>
      <c r="G30">
        <v>1.6158870000000001</v>
      </c>
      <c r="H30">
        <v>1.5366919999999999</v>
      </c>
      <c r="I30">
        <v>7.000915</v>
      </c>
      <c r="J30">
        <v>7.4740149999999996</v>
      </c>
      <c r="K30">
        <v>8.4582650000000008</v>
      </c>
      <c r="L30">
        <v>8.237482</v>
      </c>
      <c r="M30">
        <v>8.6403379999999999</v>
      </c>
      <c r="N30">
        <v>8.9297520000000006</v>
      </c>
      <c r="O30">
        <v>9.0858349999999994</v>
      </c>
      <c r="P30">
        <v>8.8159759999999991</v>
      </c>
      <c r="Q30">
        <v>8.7226499999999998</v>
      </c>
      <c r="R30">
        <v>8.2951530000000009</v>
      </c>
      <c r="S30">
        <v>7.8886079999999996</v>
      </c>
      <c r="T30">
        <v>8.2597640000000006</v>
      </c>
      <c r="U30">
        <v>8.6545310000000004</v>
      </c>
      <c r="V30">
        <v>8.0641029999999994</v>
      </c>
      <c r="W30">
        <v>7.668882</v>
      </c>
      <c r="X30">
        <v>9.0618379999999998</v>
      </c>
      <c r="Y30">
        <v>9.4154250000000008</v>
      </c>
      <c r="Z30">
        <v>9.8553200000000007</v>
      </c>
      <c r="AA30">
        <v>9.6542919999999999</v>
      </c>
      <c r="AB30">
        <v>9.1394579999999994</v>
      </c>
      <c r="AC30">
        <v>8.3160740000000004</v>
      </c>
      <c r="AD30">
        <v>7.9085039999999998</v>
      </c>
      <c r="AE30">
        <v>7.5209089999999996</v>
      </c>
      <c r="AF30">
        <v>7.4457000000000004</v>
      </c>
      <c r="AG30">
        <v>7.0807859999999998</v>
      </c>
      <c r="AH30">
        <v>7.6629969999999998</v>
      </c>
      <c r="AI30">
        <v>7.5105040000000001</v>
      </c>
      <c r="AJ30">
        <v>7.2145599999999996</v>
      </c>
      <c r="AK30">
        <v>6.8609749999999998</v>
      </c>
      <c r="AL30">
        <v>6.5247190000000002</v>
      </c>
      <c r="AM30">
        <v>6.991295</v>
      </c>
      <c r="AN30">
        <v>6.8521679999999998</v>
      </c>
      <c r="AO30" s="1">
        <v>0.04</v>
      </c>
    </row>
    <row r="31" spans="1:42" x14ac:dyDescent="0.25">
      <c r="A31" t="s">
        <v>367</v>
      </c>
      <c r="B31" t="s">
        <v>368</v>
      </c>
      <c r="C31" t="s">
        <v>369</v>
      </c>
      <c r="D31" t="s">
        <v>370</v>
      </c>
      <c r="E31" t="s">
        <v>302</v>
      </c>
      <c r="F31">
        <v>342.517853</v>
      </c>
      <c r="G31">
        <v>283.96340900000001</v>
      </c>
      <c r="H31">
        <v>288.16549700000002</v>
      </c>
      <c r="I31">
        <v>296.28234900000001</v>
      </c>
      <c r="J31">
        <v>313.97961400000003</v>
      </c>
      <c r="K31">
        <v>313.62271099999998</v>
      </c>
      <c r="L31">
        <v>329.282196</v>
      </c>
      <c r="M31">
        <v>320.16720600000002</v>
      </c>
      <c r="N31">
        <v>327.95196499999997</v>
      </c>
      <c r="O31">
        <v>340.665344</v>
      </c>
      <c r="P31">
        <v>353.02706899999998</v>
      </c>
      <c r="Q31">
        <v>363.80255099999999</v>
      </c>
      <c r="R31">
        <v>375.29110700000001</v>
      </c>
      <c r="S31">
        <v>390.24594100000002</v>
      </c>
      <c r="T31">
        <v>401.27667200000002</v>
      </c>
      <c r="U31">
        <v>406.40734900000001</v>
      </c>
      <c r="V31">
        <v>404.05456500000003</v>
      </c>
      <c r="W31">
        <v>401.43496699999997</v>
      </c>
      <c r="X31">
        <v>396.77459700000003</v>
      </c>
      <c r="Y31">
        <v>385.38671900000003</v>
      </c>
      <c r="Z31">
        <v>378.84085099999999</v>
      </c>
      <c r="AA31">
        <v>370.79623400000003</v>
      </c>
      <c r="AB31">
        <v>358.15210000000002</v>
      </c>
      <c r="AC31">
        <v>350.20455900000002</v>
      </c>
      <c r="AD31">
        <v>342.91812099999999</v>
      </c>
      <c r="AE31">
        <v>335.55343599999998</v>
      </c>
      <c r="AF31">
        <v>335.26568600000002</v>
      </c>
      <c r="AG31">
        <v>337.96069299999999</v>
      </c>
      <c r="AH31">
        <v>339.87100199999998</v>
      </c>
      <c r="AI31">
        <v>339.98559599999999</v>
      </c>
      <c r="AJ31">
        <v>339.83557100000002</v>
      </c>
      <c r="AK31">
        <v>338.71606400000002</v>
      </c>
      <c r="AL31">
        <v>333.11788899999999</v>
      </c>
      <c r="AM31">
        <v>332.84021000000001</v>
      </c>
      <c r="AN31">
        <v>334.74273699999998</v>
      </c>
      <c r="AO31">
        <v>337.989441</v>
      </c>
      <c r="AP31" s="1">
        <v>5.0000000000000001E-3</v>
      </c>
    </row>
    <row r="32" spans="1:42" x14ac:dyDescent="0.25">
      <c r="A32" t="s">
        <v>361</v>
      </c>
      <c r="B32" t="s">
        <v>371</v>
      </c>
      <c r="C32" t="s">
        <v>372</v>
      </c>
      <c r="D32" t="s">
        <v>302</v>
      </c>
      <c r="E32">
        <v>338.517853</v>
      </c>
      <c r="F32">
        <v>279.68341099999998</v>
      </c>
      <c r="G32">
        <v>283.58590700000002</v>
      </c>
      <c r="H32">
        <v>291.38217200000003</v>
      </c>
      <c r="I32">
        <v>308.73642000000001</v>
      </c>
      <c r="J32">
        <v>308.01251200000002</v>
      </c>
      <c r="K32">
        <v>323.27926600000001</v>
      </c>
      <c r="L32">
        <v>313.74408</v>
      </c>
      <c r="M32">
        <v>321.69226099999997</v>
      </c>
      <c r="N32">
        <v>334.96902499999999</v>
      </c>
      <c r="O32">
        <v>348.04766799999999</v>
      </c>
      <c r="P32">
        <v>359.06720000000001</v>
      </c>
      <c r="Q32">
        <v>370.78784200000001</v>
      </c>
      <c r="R32">
        <v>385.28826900000001</v>
      </c>
      <c r="S32">
        <v>396.32195999999999</v>
      </c>
      <c r="T32">
        <v>401.502655</v>
      </c>
      <c r="U32">
        <v>399.296021</v>
      </c>
      <c r="V32">
        <v>396.90963699999998</v>
      </c>
      <c r="W32">
        <v>392.471069</v>
      </c>
      <c r="X32">
        <v>381.62481700000001</v>
      </c>
      <c r="Y32">
        <v>375.263306</v>
      </c>
      <c r="Z32">
        <v>367.39404300000001</v>
      </c>
      <c r="AA32">
        <v>354.98199499999998</v>
      </c>
      <c r="AB32">
        <v>347.189819</v>
      </c>
      <c r="AC32">
        <v>340.05114700000001</v>
      </c>
      <c r="AD32">
        <v>332.82696499999997</v>
      </c>
      <c r="AE32">
        <v>332.67285199999998</v>
      </c>
      <c r="AF32">
        <v>335.494934</v>
      </c>
      <c r="AG32">
        <v>337.526093</v>
      </c>
      <c r="AH32">
        <v>337.17175300000002</v>
      </c>
      <c r="AI32">
        <v>336.965149</v>
      </c>
      <c r="AJ32">
        <v>335.90277099999997</v>
      </c>
      <c r="AK32">
        <v>330.38815299999999</v>
      </c>
      <c r="AL32">
        <v>330.21804800000001</v>
      </c>
      <c r="AM32">
        <v>332.24908399999998</v>
      </c>
      <c r="AN32">
        <v>335.61798099999999</v>
      </c>
      <c r="AO32" s="1">
        <v>5.0000000000000001E-3</v>
      </c>
    </row>
    <row r="33" spans="1:41" x14ac:dyDescent="0.25">
      <c r="A33" t="s">
        <v>364</v>
      </c>
      <c r="B33" t="s">
        <v>373</v>
      </c>
      <c r="C33" t="s">
        <v>374</v>
      </c>
      <c r="D33" t="s">
        <v>302</v>
      </c>
      <c r="E33">
        <v>4</v>
      </c>
      <c r="F33">
        <v>4.28</v>
      </c>
      <c r="G33">
        <v>4.5796000000000001</v>
      </c>
      <c r="H33">
        <v>4.9001720000000004</v>
      </c>
      <c r="I33">
        <v>5.2431840000000003</v>
      </c>
      <c r="J33">
        <v>5.6102069999999999</v>
      </c>
      <c r="K33">
        <v>6.0029219999999999</v>
      </c>
      <c r="L33">
        <v>6.4231259999999999</v>
      </c>
      <c r="M33">
        <v>6.2596959999999999</v>
      </c>
      <c r="N33">
        <v>5.6963229999999996</v>
      </c>
      <c r="O33">
        <v>4.9793969999999996</v>
      </c>
      <c r="P33">
        <v>4.7353569999999996</v>
      </c>
      <c r="Q33">
        <v>4.5032779999999999</v>
      </c>
      <c r="R33">
        <v>4.9576589999999996</v>
      </c>
      <c r="S33">
        <v>4.9547230000000004</v>
      </c>
      <c r="T33">
        <v>4.9046859999999999</v>
      </c>
      <c r="U33">
        <v>4.7585360000000003</v>
      </c>
      <c r="V33">
        <v>4.5253199999999998</v>
      </c>
      <c r="W33">
        <v>4.3035350000000001</v>
      </c>
      <c r="X33">
        <v>3.7619020000000001</v>
      </c>
      <c r="Y33">
        <v>3.577531</v>
      </c>
      <c r="Z33">
        <v>3.4021970000000001</v>
      </c>
      <c r="AA33">
        <v>3.1700919999999999</v>
      </c>
      <c r="AB33">
        <v>3.014726</v>
      </c>
      <c r="AC33">
        <v>2.8669750000000001</v>
      </c>
      <c r="AD33">
        <v>2.7264650000000001</v>
      </c>
      <c r="AE33">
        <v>2.5928399999999998</v>
      </c>
      <c r="AF33">
        <v>2.4657650000000002</v>
      </c>
      <c r="AG33">
        <v>2.3449179999999998</v>
      </c>
      <c r="AH33">
        <v>2.8138580000000002</v>
      </c>
      <c r="AI33">
        <v>2.8704160000000001</v>
      </c>
      <c r="AJ33">
        <v>2.8132950000000001</v>
      </c>
      <c r="AK33">
        <v>2.7297370000000001</v>
      </c>
      <c r="AL33">
        <v>2.6221749999999999</v>
      </c>
      <c r="AM33">
        <v>2.493662</v>
      </c>
      <c r="AN33">
        <v>2.371448</v>
      </c>
      <c r="AO33" s="1">
        <v>-1.7000000000000001E-2</v>
      </c>
    </row>
    <row r="34" spans="1:41" x14ac:dyDescent="0.25">
      <c r="A34" t="s">
        <v>375</v>
      </c>
      <c r="B34" t="s">
        <v>376</v>
      </c>
      <c r="C34" t="s">
        <v>377</v>
      </c>
      <c r="D34" t="s">
        <v>302</v>
      </c>
      <c r="E34">
        <v>3.6314009999999999</v>
      </c>
      <c r="F34">
        <v>3.4854319999999999</v>
      </c>
      <c r="G34">
        <v>3.4219349999999999</v>
      </c>
      <c r="H34">
        <v>3.357208</v>
      </c>
      <c r="I34">
        <v>3.4328280000000002</v>
      </c>
      <c r="J34">
        <v>3.4679190000000002</v>
      </c>
      <c r="K34">
        <v>3.5288910000000002</v>
      </c>
      <c r="L34">
        <v>3.5784029999999998</v>
      </c>
      <c r="M34">
        <v>3.6185109999999998</v>
      </c>
      <c r="N34">
        <v>3.6212529999999998</v>
      </c>
      <c r="O34">
        <v>3.607532</v>
      </c>
      <c r="P34">
        <v>3.5888070000000001</v>
      </c>
      <c r="Q34">
        <v>3.5754069999999998</v>
      </c>
      <c r="R34">
        <v>3.5324230000000001</v>
      </c>
      <c r="S34">
        <v>3.4844469999999998</v>
      </c>
      <c r="T34">
        <v>3.4373300000000002</v>
      </c>
      <c r="U34">
        <v>3.3798840000000001</v>
      </c>
      <c r="V34">
        <v>3.3413569999999999</v>
      </c>
      <c r="W34">
        <v>3.314711</v>
      </c>
      <c r="X34">
        <v>3.2954189999999999</v>
      </c>
      <c r="Y34">
        <v>3.9654050000000001</v>
      </c>
      <c r="Z34">
        <v>3.9685899999999998</v>
      </c>
      <c r="AA34">
        <v>4.0489290000000002</v>
      </c>
      <c r="AB34">
        <v>4.0967089999999997</v>
      </c>
      <c r="AC34">
        <v>4.0863160000000001</v>
      </c>
      <c r="AD34">
        <v>4.0977759999999996</v>
      </c>
      <c r="AE34">
        <v>4.0708710000000004</v>
      </c>
      <c r="AF34">
        <v>4.0563140000000004</v>
      </c>
      <c r="AG34">
        <v>4.0439160000000003</v>
      </c>
      <c r="AH34">
        <v>4.0136690000000002</v>
      </c>
      <c r="AI34">
        <v>3.9647999999999999</v>
      </c>
      <c r="AJ34">
        <v>3.848468</v>
      </c>
      <c r="AK34">
        <v>3.7715830000000001</v>
      </c>
      <c r="AL34">
        <v>3.760659</v>
      </c>
      <c r="AM34">
        <v>3.7202410000000001</v>
      </c>
      <c r="AN34">
        <v>3.653826</v>
      </c>
      <c r="AO34" s="1">
        <v>1E-3</v>
      </c>
    </row>
    <row r="35" spans="1:41" x14ac:dyDescent="0.25">
      <c r="A35" t="s">
        <v>361</v>
      </c>
      <c r="B35" t="s">
        <v>378</v>
      </c>
      <c r="C35" t="s">
        <v>379</v>
      </c>
      <c r="D35" t="s">
        <v>302</v>
      </c>
      <c r="E35">
        <v>2.5373459999999999</v>
      </c>
      <c r="F35">
        <v>2.426717</v>
      </c>
      <c r="G35">
        <v>2.3781629999999998</v>
      </c>
      <c r="H35">
        <v>2.2927070000000001</v>
      </c>
      <c r="I35">
        <v>2.3429419999999999</v>
      </c>
      <c r="J35">
        <v>2.367292</v>
      </c>
      <c r="K35">
        <v>2.4086599999999998</v>
      </c>
      <c r="L35">
        <v>2.439311</v>
      </c>
      <c r="M35">
        <v>2.4625430000000001</v>
      </c>
      <c r="N35">
        <v>2.4601570000000001</v>
      </c>
      <c r="O35">
        <v>2.446526</v>
      </c>
      <c r="P35">
        <v>2.4291260000000001</v>
      </c>
      <c r="Q35">
        <v>2.4172340000000001</v>
      </c>
      <c r="R35">
        <v>2.3859669999999999</v>
      </c>
      <c r="S35">
        <v>2.3520620000000001</v>
      </c>
      <c r="T35">
        <v>2.3189679999999999</v>
      </c>
      <c r="U35">
        <v>2.279674</v>
      </c>
      <c r="V35">
        <v>2.251582</v>
      </c>
      <c r="W35">
        <v>2.231322</v>
      </c>
      <c r="X35">
        <v>2.215427</v>
      </c>
      <c r="Y35">
        <v>2.2011059999999998</v>
      </c>
      <c r="Z35">
        <v>2.1868270000000001</v>
      </c>
      <c r="AA35">
        <v>2.1768260000000001</v>
      </c>
      <c r="AB35">
        <v>2.1678790000000001</v>
      </c>
      <c r="AC35">
        <v>2.1576780000000002</v>
      </c>
      <c r="AD35">
        <v>2.1500469999999998</v>
      </c>
      <c r="AE35">
        <v>2.1437919999999999</v>
      </c>
      <c r="AF35">
        <v>2.1485050000000001</v>
      </c>
      <c r="AG35">
        <v>2.156145</v>
      </c>
      <c r="AH35">
        <v>2.1642190000000001</v>
      </c>
      <c r="AI35">
        <v>2.1708340000000002</v>
      </c>
      <c r="AJ35">
        <v>2.1768900000000002</v>
      </c>
      <c r="AK35">
        <v>2.1819289999999998</v>
      </c>
      <c r="AL35">
        <v>2.1872159999999998</v>
      </c>
      <c r="AM35">
        <v>2.1936840000000002</v>
      </c>
      <c r="AN35">
        <v>2.2020849999999998</v>
      </c>
      <c r="AO35" s="1">
        <v>-3.0000000000000001E-3</v>
      </c>
    </row>
    <row r="36" spans="1:41" x14ac:dyDescent="0.25">
      <c r="A36" t="s">
        <v>364</v>
      </c>
      <c r="B36" t="s">
        <v>380</v>
      </c>
      <c r="C36" t="s">
        <v>381</v>
      </c>
      <c r="D36" t="s">
        <v>302</v>
      </c>
      <c r="E36">
        <v>1.094055</v>
      </c>
      <c r="F36">
        <v>1.0587150000000001</v>
      </c>
      <c r="G36">
        <v>1.0437719999999999</v>
      </c>
      <c r="H36">
        <v>1.0645009999999999</v>
      </c>
      <c r="I36">
        <v>1.089885</v>
      </c>
      <c r="J36">
        <v>1.1006260000000001</v>
      </c>
      <c r="K36">
        <v>1.120231</v>
      </c>
      <c r="L36">
        <v>1.139092</v>
      </c>
      <c r="M36">
        <v>1.1559680000000001</v>
      </c>
      <c r="N36">
        <v>1.1610959999999999</v>
      </c>
      <c r="O36">
        <v>1.161006</v>
      </c>
      <c r="P36">
        <v>1.159681</v>
      </c>
      <c r="Q36">
        <v>1.1581729999999999</v>
      </c>
      <c r="R36">
        <v>1.1464559999999999</v>
      </c>
      <c r="S36">
        <v>1.132385</v>
      </c>
      <c r="T36">
        <v>1.1183620000000001</v>
      </c>
      <c r="U36">
        <v>1.1002110000000001</v>
      </c>
      <c r="V36">
        <v>1.0897749999999999</v>
      </c>
      <c r="W36">
        <v>1.0833889999999999</v>
      </c>
      <c r="X36">
        <v>1.0799909999999999</v>
      </c>
      <c r="Y36">
        <v>1.7642979999999999</v>
      </c>
      <c r="Z36">
        <v>1.781763</v>
      </c>
      <c r="AA36">
        <v>1.872104</v>
      </c>
      <c r="AB36">
        <v>1.928831</v>
      </c>
      <c r="AC36">
        <v>1.9286380000000001</v>
      </c>
      <c r="AD36">
        <v>1.947729</v>
      </c>
      <c r="AE36">
        <v>1.9270799999999999</v>
      </c>
      <c r="AF36">
        <v>1.9078090000000001</v>
      </c>
      <c r="AG36">
        <v>1.8877710000000001</v>
      </c>
      <c r="AH36">
        <v>1.8494489999999999</v>
      </c>
      <c r="AI36">
        <v>1.7939659999999999</v>
      </c>
      <c r="AJ36">
        <v>1.671578</v>
      </c>
      <c r="AK36">
        <v>1.5896539999999999</v>
      </c>
      <c r="AL36">
        <v>1.5734429999999999</v>
      </c>
      <c r="AM36">
        <v>1.5265569999999999</v>
      </c>
      <c r="AN36">
        <v>1.4517409999999999</v>
      </c>
      <c r="AO36" s="1">
        <v>8.9999999999999993E-3</v>
      </c>
    </row>
    <row r="37" spans="1:41" x14ac:dyDescent="0.25">
      <c r="A37" t="s">
        <v>382</v>
      </c>
      <c r="B37" t="s">
        <v>383</v>
      </c>
      <c r="C37" t="s">
        <v>384</v>
      </c>
      <c r="D37" t="s">
        <v>302</v>
      </c>
      <c r="E37">
        <v>27.018259</v>
      </c>
      <c r="F37">
        <v>19.198250000000002</v>
      </c>
      <c r="G37">
        <v>21.571808000000001</v>
      </c>
      <c r="H37">
        <v>26.897113999999998</v>
      </c>
      <c r="I37">
        <v>28.986035999999999</v>
      </c>
      <c r="J37">
        <v>26.713062000000001</v>
      </c>
      <c r="K37">
        <v>20.68046</v>
      </c>
      <c r="L37">
        <v>19.515803999999999</v>
      </c>
      <c r="M37">
        <v>20.67473</v>
      </c>
      <c r="N37">
        <v>19.890488000000001</v>
      </c>
      <c r="O37">
        <v>14.958824</v>
      </c>
      <c r="P37">
        <v>11.562403</v>
      </c>
      <c r="Q37">
        <v>8.6966809999999999</v>
      </c>
      <c r="R37">
        <v>6.6983699999999997</v>
      </c>
      <c r="S37">
        <v>6.6386070000000004</v>
      </c>
      <c r="T37">
        <v>6.6602420000000002</v>
      </c>
      <c r="U37">
        <v>6.6707320000000001</v>
      </c>
      <c r="V37">
        <v>6.713768</v>
      </c>
      <c r="W37">
        <v>6.779058</v>
      </c>
      <c r="X37">
        <v>6.6491170000000004</v>
      </c>
      <c r="Y37">
        <v>6.7284259999999998</v>
      </c>
      <c r="Z37">
        <v>6.9668130000000001</v>
      </c>
      <c r="AA37">
        <v>13.320304</v>
      </c>
      <c r="AB37">
        <v>15.197887</v>
      </c>
      <c r="AC37">
        <v>15.816473</v>
      </c>
      <c r="AD37">
        <v>15.698332000000001</v>
      </c>
      <c r="AE37">
        <v>15.730089</v>
      </c>
      <c r="AF37">
        <v>15.109973999999999</v>
      </c>
      <c r="AG37">
        <v>14.362188</v>
      </c>
      <c r="AH37">
        <v>14.142189</v>
      </c>
      <c r="AI37">
        <v>13.677179000000001</v>
      </c>
      <c r="AJ37">
        <v>13.644830000000001</v>
      </c>
      <c r="AK37">
        <v>13.613688</v>
      </c>
      <c r="AL37">
        <v>13.718393000000001</v>
      </c>
      <c r="AM37">
        <v>13.682892000000001</v>
      </c>
      <c r="AN37">
        <v>13.648752999999999</v>
      </c>
      <c r="AO37" s="1">
        <v>-0.01</v>
      </c>
    </row>
    <row r="38" spans="1:41" x14ac:dyDescent="0.25">
      <c r="A38" t="s">
        <v>325</v>
      </c>
      <c r="B38" t="s">
        <v>385</v>
      </c>
      <c r="C38" t="s">
        <v>386</v>
      </c>
      <c r="D38" t="s">
        <v>302</v>
      </c>
      <c r="E38">
        <v>0.30948999999999999</v>
      </c>
      <c r="F38">
        <v>0.25162200000000001</v>
      </c>
      <c r="G38">
        <v>0.22375800000000001</v>
      </c>
      <c r="H38">
        <v>0.22972999999999999</v>
      </c>
      <c r="I38">
        <v>0.21871399999999999</v>
      </c>
      <c r="J38">
        <v>0.20599000000000001</v>
      </c>
      <c r="K38">
        <v>0.191523</v>
      </c>
      <c r="L38">
        <v>0.175034</v>
      </c>
      <c r="M38">
        <v>0.156384</v>
      </c>
      <c r="N38">
        <v>0.135433</v>
      </c>
      <c r="O38">
        <v>0.112041</v>
      </c>
      <c r="P38">
        <v>8.5966000000000001E-2</v>
      </c>
      <c r="Q38">
        <v>5.6996999999999999E-2</v>
      </c>
      <c r="R38">
        <v>2.4924999999999999E-2</v>
      </c>
      <c r="S38">
        <v>2.6179999999999998E-2</v>
      </c>
      <c r="T38">
        <v>2.7505000000000002E-2</v>
      </c>
      <c r="U38">
        <v>2.8864000000000001E-2</v>
      </c>
      <c r="V38">
        <v>3.0294000000000001E-2</v>
      </c>
      <c r="W38">
        <v>3.1828000000000002E-2</v>
      </c>
      <c r="X38">
        <v>3.0224000000000001E-2</v>
      </c>
      <c r="Y38">
        <v>3.1723000000000001E-2</v>
      </c>
      <c r="Z38">
        <v>0.187445</v>
      </c>
      <c r="AA38">
        <v>0.60277099999999995</v>
      </c>
      <c r="AB38">
        <v>0.63292499999999996</v>
      </c>
      <c r="AC38">
        <v>0.66454299999999999</v>
      </c>
      <c r="AD38">
        <v>0.69776499999999997</v>
      </c>
      <c r="AE38">
        <v>0.73102199999999995</v>
      </c>
      <c r="AF38">
        <v>0.70193000000000005</v>
      </c>
      <c r="AG38">
        <v>0.66028299999999995</v>
      </c>
      <c r="AH38">
        <v>0.71429299999999996</v>
      </c>
      <c r="AI38">
        <v>0.500888</v>
      </c>
      <c r="AJ38">
        <v>0.47633900000000001</v>
      </c>
      <c r="AK38">
        <v>0.45299400000000001</v>
      </c>
      <c r="AL38">
        <v>0.56549000000000005</v>
      </c>
      <c r="AM38">
        <v>0.53777600000000003</v>
      </c>
      <c r="AN38">
        <v>0.51141899999999996</v>
      </c>
      <c r="AO38" s="1">
        <v>2.1000000000000001E-2</v>
      </c>
    </row>
    <row r="39" spans="1:41" x14ac:dyDescent="0.25">
      <c r="A39" t="s">
        <v>317</v>
      </c>
      <c r="B39" t="s">
        <v>387</v>
      </c>
      <c r="C39" t="s">
        <v>388</v>
      </c>
      <c r="D39" t="s">
        <v>302</v>
      </c>
      <c r="E39">
        <v>26.708769</v>
      </c>
      <c r="F39">
        <v>18.946626999999999</v>
      </c>
      <c r="G39">
        <v>21.348049</v>
      </c>
      <c r="H39">
        <v>26.667383000000001</v>
      </c>
      <c r="I39">
        <v>28.767323000000001</v>
      </c>
      <c r="J39">
        <v>26.507072000000001</v>
      </c>
      <c r="K39">
        <v>20.488937</v>
      </c>
      <c r="L39">
        <v>19.340771</v>
      </c>
      <c r="M39">
        <v>20.518346999999999</v>
      </c>
      <c r="N39">
        <v>19.755054000000001</v>
      </c>
      <c r="O39">
        <v>14.846783</v>
      </c>
      <c r="P39">
        <v>11.476437000000001</v>
      </c>
      <c r="Q39">
        <v>8.6396850000000001</v>
      </c>
      <c r="R39">
        <v>6.6734450000000001</v>
      </c>
      <c r="S39">
        <v>6.6124260000000001</v>
      </c>
      <c r="T39">
        <v>6.6327369999999997</v>
      </c>
      <c r="U39">
        <v>6.6418670000000004</v>
      </c>
      <c r="V39">
        <v>6.6834749999999996</v>
      </c>
      <c r="W39">
        <v>6.7472310000000002</v>
      </c>
      <c r="X39">
        <v>6.6188929999999999</v>
      </c>
      <c r="Y39">
        <v>6.6967020000000002</v>
      </c>
      <c r="Z39">
        <v>6.7793679999999998</v>
      </c>
      <c r="AA39">
        <v>12.717533</v>
      </c>
      <c r="AB39">
        <v>14.564962</v>
      </c>
      <c r="AC39">
        <v>15.15193</v>
      </c>
      <c r="AD39">
        <v>15.000565999999999</v>
      </c>
      <c r="AE39">
        <v>14.999067</v>
      </c>
      <c r="AF39">
        <v>14.408044</v>
      </c>
      <c r="AG39">
        <v>13.701905999999999</v>
      </c>
      <c r="AH39">
        <v>13.427896</v>
      </c>
      <c r="AI39">
        <v>13.176291000000001</v>
      </c>
      <c r="AJ39">
        <v>13.16849</v>
      </c>
      <c r="AK39">
        <v>13.160693999999999</v>
      </c>
      <c r="AL39">
        <v>13.152903</v>
      </c>
      <c r="AM39">
        <v>13.145116</v>
      </c>
      <c r="AN39">
        <v>13.137333999999999</v>
      </c>
      <c r="AO39" s="1">
        <v>-1.0999999999999999E-2</v>
      </c>
    </row>
    <row r="40" spans="1:41" x14ac:dyDescent="0.25">
      <c r="A40" t="s">
        <v>361</v>
      </c>
      <c r="B40" t="s">
        <v>389</v>
      </c>
      <c r="C40" t="s">
        <v>390</v>
      </c>
      <c r="D40" t="s">
        <v>302</v>
      </c>
      <c r="AO40" t="s">
        <v>13</v>
      </c>
    </row>
    <row r="41" spans="1:41" x14ac:dyDescent="0.25">
      <c r="A41" t="s">
        <v>391</v>
      </c>
      <c r="B41" t="s">
        <v>392</v>
      </c>
      <c r="C41" t="s">
        <v>393</v>
      </c>
      <c r="D41" t="s">
        <v>302</v>
      </c>
      <c r="E41">
        <v>31.922647000000001</v>
      </c>
      <c r="F41">
        <v>29.180119999999999</v>
      </c>
      <c r="G41">
        <v>30.553736000000001</v>
      </c>
      <c r="H41">
        <v>28.533225999999999</v>
      </c>
      <c r="I41">
        <v>27.679061999999998</v>
      </c>
      <c r="J41">
        <v>27.349205000000001</v>
      </c>
      <c r="K41">
        <v>26.635356999999999</v>
      </c>
      <c r="L41">
        <v>28.728279000000001</v>
      </c>
      <c r="M41">
        <v>29.315750000000001</v>
      </c>
      <c r="N41">
        <v>29.531445999999999</v>
      </c>
      <c r="O41">
        <v>27.036297000000001</v>
      </c>
      <c r="P41">
        <v>26.670307000000001</v>
      </c>
      <c r="Q41">
        <v>26.321156999999999</v>
      </c>
      <c r="R41">
        <v>25.985105999999998</v>
      </c>
      <c r="S41">
        <v>25.665184</v>
      </c>
      <c r="T41">
        <v>26.298549999999999</v>
      </c>
      <c r="U41">
        <v>26.257296</v>
      </c>
      <c r="V41">
        <v>26.039256999999999</v>
      </c>
      <c r="W41">
        <v>26.009619000000001</v>
      </c>
      <c r="X41">
        <v>26.796135</v>
      </c>
      <c r="Y41">
        <v>26.964033000000001</v>
      </c>
      <c r="Z41">
        <v>26.145809</v>
      </c>
      <c r="AA41">
        <v>26.921530000000001</v>
      </c>
      <c r="AB41">
        <v>27.338771999999999</v>
      </c>
      <c r="AC41">
        <v>27.151828999999999</v>
      </c>
      <c r="AD41">
        <v>27.32658</v>
      </c>
      <c r="AE41">
        <v>26.790199000000001</v>
      </c>
      <c r="AF41">
        <v>26.779602000000001</v>
      </c>
      <c r="AG41">
        <v>26.286822999999998</v>
      </c>
      <c r="AH41">
        <v>26.222539999999999</v>
      </c>
      <c r="AI41">
        <v>25.751152000000001</v>
      </c>
      <c r="AJ41">
        <v>25.123069999999998</v>
      </c>
      <c r="AK41">
        <v>25.666183</v>
      </c>
      <c r="AL41">
        <v>25.776432</v>
      </c>
      <c r="AM41">
        <v>25.764927</v>
      </c>
      <c r="AN41">
        <v>25.752476000000001</v>
      </c>
      <c r="AO41" s="1">
        <v>-4.0000000000000001E-3</v>
      </c>
    </row>
    <row r="42" spans="1:41" x14ac:dyDescent="0.25">
      <c r="A42" t="s">
        <v>317</v>
      </c>
      <c r="B42" t="s">
        <v>394</v>
      </c>
      <c r="C42" t="s">
        <v>395</v>
      </c>
      <c r="D42" t="s">
        <v>302</v>
      </c>
      <c r="E42">
        <v>8.3704140000000002</v>
      </c>
      <c r="F42">
        <v>6.7518260000000003</v>
      </c>
      <c r="G42">
        <v>6.5274210000000004</v>
      </c>
      <c r="H42">
        <v>6.1759919999999999</v>
      </c>
      <c r="I42">
        <v>5.973115</v>
      </c>
      <c r="J42">
        <v>5.6496029999999999</v>
      </c>
      <c r="K42">
        <v>4.9385579999999996</v>
      </c>
      <c r="L42">
        <v>7.0415390000000002</v>
      </c>
      <c r="M42">
        <v>7.639907</v>
      </c>
      <c r="N42">
        <v>7.8683170000000002</v>
      </c>
      <c r="O42">
        <v>6.9475049999999996</v>
      </c>
      <c r="P42">
        <v>6.6070080000000004</v>
      </c>
      <c r="Q42">
        <v>6.2831989999999998</v>
      </c>
      <c r="R42">
        <v>5.9752590000000003</v>
      </c>
      <c r="S42">
        <v>5.6824120000000002</v>
      </c>
      <c r="T42">
        <v>6.3474529999999998</v>
      </c>
      <c r="U42">
        <v>6.3362590000000001</v>
      </c>
      <c r="V42">
        <v>6.148066</v>
      </c>
      <c r="W42">
        <v>6.1474510000000002</v>
      </c>
      <c r="X42">
        <v>6.9707600000000003</v>
      </c>
      <c r="Y42">
        <v>6.831359</v>
      </c>
      <c r="Z42">
        <v>6.3653110000000002</v>
      </c>
      <c r="AA42">
        <v>6.4932540000000003</v>
      </c>
      <c r="AB42">
        <v>6.5575299999999999</v>
      </c>
      <c r="AC42">
        <v>6.426393</v>
      </c>
      <c r="AD42">
        <v>6.4251079999999998</v>
      </c>
      <c r="AE42">
        <v>6.2565049999999998</v>
      </c>
      <c r="AF42">
        <v>6.250445</v>
      </c>
      <c r="AG42">
        <v>6.0041529999999996</v>
      </c>
      <c r="AH42">
        <v>5.9435169999999999</v>
      </c>
      <c r="AI42">
        <v>5.6522249999999996</v>
      </c>
      <c r="AJ42">
        <v>5.37521</v>
      </c>
      <c r="AK42">
        <v>6.0950959999999998</v>
      </c>
      <c r="AL42">
        <v>6.2176070000000001</v>
      </c>
      <c r="AM42">
        <v>6.2169850000000002</v>
      </c>
      <c r="AN42">
        <v>6.2136610000000001</v>
      </c>
      <c r="AO42" s="1">
        <v>-2E-3</v>
      </c>
    </row>
    <row r="43" spans="1:41" x14ac:dyDescent="0.25">
      <c r="A43" t="s">
        <v>306</v>
      </c>
      <c r="B43" t="s">
        <v>396</v>
      </c>
      <c r="C43" t="s">
        <v>397</v>
      </c>
      <c r="D43" t="s">
        <v>302</v>
      </c>
      <c r="E43">
        <v>4.3792330000000002</v>
      </c>
      <c r="F43">
        <v>5.3109460000000004</v>
      </c>
      <c r="G43">
        <v>5.3109460000000004</v>
      </c>
      <c r="H43">
        <v>2.6560480000000002</v>
      </c>
      <c r="I43">
        <v>2.7235610000000001</v>
      </c>
      <c r="J43">
        <v>2.7227269999999999</v>
      </c>
      <c r="K43">
        <v>2.7222900000000001</v>
      </c>
      <c r="L43">
        <v>2.7209669999999999</v>
      </c>
      <c r="M43">
        <v>2.7195490000000002</v>
      </c>
      <c r="N43">
        <v>2.7179579999999999</v>
      </c>
      <c r="O43">
        <v>2.6992060000000002</v>
      </c>
      <c r="P43">
        <v>2.6958519999999999</v>
      </c>
      <c r="Q43">
        <v>2.6925180000000002</v>
      </c>
      <c r="R43">
        <v>2.6888679999999998</v>
      </c>
      <c r="S43">
        <v>2.685365</v>
      </c>
      <c r="T43">
        <v>2.6812550000000002</v>
      </c>
      <c r="U43">
        <v>2.6773760000000002</v>
      </c>
      <c r="V43">
        <v>2.6734909999999998</v>
      </c>
      <c r="W43">
        <v>2.6696949999999999</v>
      </c>
      <c r="X43">
        <v>2.6648610000000001</v>
      </c>
      <c r="Y43">
        <v>2.6598470000000001</v>
      </c>
      <c r="Z43">
        <v>2.6570930000000001</v>
      </c>
      <c r="AA43">
        <v>2.6546110000000001</v>
      </c>
      <c r="AB43">
        <v>2.6521400000000002</v>
      </c>
      <c r="AC43">
        <v>2.6494930000000001</v>
      </c>
      <c r="AD43">
        <v>2.6465960000000002</v>
      </c>
      <c r="AE43">
        <v>2.643878</v>
      </c>
      <c r="AF43">
        <v>2.6411280000000001</v>
      </c>
      <c r="AG43">
        <v>2.6385450000000001</v>
      </c>
      <c r="AH43">
        <v>2.6366619999999998</v>
      </c>
      <c r="AI43">
        <v>2.6347360000000002</v>
      </c>
      <c r="AJ43">
        <v>2.6329199999999999</v>
      </c>
      <c r="AK43">
        <v>2.6312760000000002</v>
      </c>
      <c r="AL43">
        <v>2.629651</v>
      </c>
      <c r="AM43">
        <v>2.628206</v>
      </c>
      <c r="AN43">
        <v>2.6269870000000002</v>
      </c>
      <c r="AO43" s="1">
        <v>-0.02</v>
      </c>
    </row>
    <row r="44" spans="1:41" x14ac:dyDescent="0.25">
      <c r="A44" t="s">
        <v>364</v>
      </c>
      <c r="B44" t="s">
        <v>398</v>
      </c>
      <c r="C44" t="s">
        <v>399</v>
      </c>
      <c r="D44" t="s">
        <v>302</v>
      </c>
      <c r="E44">
        <v>19.172999999999998</v>
      </c>
      <c r="F44">
        <v>17.117348</v>
      </c>
      <c r="G44">
        <v>18.715368000000002</v>
      </c>
      <c r="H44">
        <v>19.701187000000001</v>
      </c>
      <c r="I44">
        <v>18.982386000000002</v>
      </c>
      <c r="J44">
        <v>18.976873000000001</v>
      </c>
      <c r="K44">
        <v>18.974509999999999</v>
      </c>
      <c r="L44">
        <v>18.965772999999999</v>
      </c>
      <c r="M44">
        <v>18.956295000000001</v>
      </c>
      <c r="N44">
        <v>18.945170999999998</v>
      </c>
      <c r="O44">
        <v>17.389585</v>
      </c>
      <c r="P44">
        <v>17.367446999999999</v>
      </c>
      <c r="Q44">
        <v>17.34544</v>
      </c>
      <c r="R44">
        <v>17.320978</v>
      </c>
      <c r="S44">
        <v>17.297405000000001</v>
      </c>
      <c r="T44">
        <v>17.269842000000001</v>
      </c>
      <c r="U44">
        <v>17.243659999999998</v>
      </c>
      <c r="V44">
        <v>17.217701000000002</v>
      </c>
      <c r="W44">
        <v>17.192471999999999</v>
      </c>
      <c r="X44">
        <v>17.160513000000002</v>
      </c>
      <c r="Y44">
        <v>17.472828</v>
      </c>
      <c r="Z44">
        <v>17.123405000000002</v>
      </c>
      <c r="AA44">
        <v>17.773664</v>
      </c>
      <c r="AB44">
        <v>18.129100999999999</v>
      </c>
      <c r="AC44">
        <v>18.075942999999999</v>
      </c>
      <c r="AD44">
        <v>18.254877</v>
      </c>
      <c r="AE44">
        <v>17.889816</v>
      </c>
      <c r="AF44">
        <v>17.888027000000001</v>
      </c>
      <c r="AG44">
        <v>17.644124999999999</v>
      </c>
      <c r="AH44">
        <v>17.642361000000001</v>
      </c>
      <c r="AI44">
        <v>17.464191</v>
      </c>
      <c r="AJ44">
        <v>17.114941000000002</v>
      </c>
      <c r="AK44">
        <v>16.939810000000001</v>
      </c>
      <c r="AL44">
        <v>16.929172999999999</v>
      </c>
      <c r="AM44">
        <v>16.919737000000001</v>
      </c>
      <c r="AN44">
        <v>16.911826999999999</v>
      </c>
      <c r="AO44" s="1">
        <v>0</v>
      </c>
    </row>
    <row r="45" spans="1:41" x14ac:dyDescent="0.25">
      <c r="A45" t="s">
        <v>400</v>
      </c>
      <c r="C45" t="s">
        <v>401</v>
      </c>
    </row>
    <row r="46" spans="1:41" x14ac:dyDescent="0.25">
      <c r="A46" t="s">
        <v>361</v>
      </c>
      <c r="B46" t="s">
        <v>402</v>
      </c>
      <c r="C46" t="s">
        <v>403</v>
      </c>
      <c r="D46" t="s">
        <v>302</v>
      </c>
      <c r="E46">
        <v>0.974742</v>
      </c>
      <c r="F46">
        <v>2.0783510000000001</v>
      </c>
      <c r="G46">
        <v>2.2576749999999999</v>
      </c>
      <c r="H46">
        <v>2.3721459999999999</v>
      </c>
      <c r="I46">
        <v>2.446542</v>
      </c>
      <c r="J46">
        <v>2.327591</v>
      </c>
      <c r="K46">
        <v>2.203468</v>
      </c>
      <c r="L46">
        <v>2.0511010000000001</v>
      </c>
      <c r="M46">
        <v>1.950577</v>
      </c>
      <c r="N46">
        <v>1.943065</v>
      </c>
      <c r="O46">
        <v>2.0394060000000001</v>
      </c>
      <c r="P46">
        <v>1.786986</v>
      </c>
      <c r="Q46">
        <v>1.7791079999999999</v>
      </c>
      <c r="R46">
        <v>1.7692760000000001</v>
      </c>
      <c r="S46">
        <v>1.7615700000000001</v>
      </c>
      <c r="T46">
        <v>2.5134949999999998</v>
      </c>
      <c r="U46">
        <v>2.5557379999999998</v>
      </c>
      <c r="V46">
        <v>2.6012629999999999</v>
      </c>
      <c r="W46">
        <v>2.6246960000000001</v>
      </c>
      <c r="X46">
        <v>2.593105</v>
      </c>
      <c r="Y46">
        <v>2.537096</v>
      </c>
      <c r="Z46">
        <v>2.5462929999999999</v>
      </c>
      <c r="AA46">
        <v>2.2736589999999999</v>
      </c>
      <c r="AB46">
        <v>2.2950360000000001</v>
      </c>
      <c r="AC46">
        <v>2.29237</v>
      </c>
      <c r="AD46">
        <v>2.3517350000000001</v>
      </c>
      <c r="AE46">
        <v>2.3656239999999999</v>
      </c>
      <c r="AF46">
        <v>2.4761630000000001</v>
      </c>
      <c r="AG46">
        <v>2.4972620000000001</v>
      </c>
      <c r="AH46">
        <v>2.5391889999999999</v>
      </c>
      <c r="AI46">
        <v>2.5942340000000002</v>
      </c>
      <c r="AJ46">
        <v>2.6209910000000001</v>
      </c>
      <c r="AK46">
        <v>2.6711580000000001</v>
      </c>
      <c r="AL46">
        <v>2.6684869999999998</v>
      </c>
      <c r="AM46">
        <v>2.7269220000000001</v>
      </c>
      <c r="AN46">
        <v>2.7145860000000002</v>
      </c>
      <c r="AO46" s="1">
        <v>8.0000000000000002E-3</v>
      </c>
    </row>
    <row r="47" spans="1:41" x14ac:dyDescent="0.25">
      <c r="A47" t="s">
        <v>404</v>
      </c>
      <c r="C47" t="s">
        <v>405</v>
      </c>
    </row>
    <row r="48" spans="1:41" x14ac:dyDescent="0.25">
      <c r="A48" t="s">
        <v>406</v>
      </c>
      <c r="B48" t="s">
        <v>407</v>
      </c>
      <c r="C48" t="s">
        <v>408</v>
      </c>
      <c r="D48" t="s">
        <v>302</v>
      </c>
      <c r="E48">
        <v>65.679755999999998</v>
      </c>
      <c r="F48">
        <v>56.651648999999999</v>
      </c>
      <c r="G48">
        <v>52.932388000000003</v>
      </c>
      <c r="H48">
        <v>53.428944000000001</v>
      </c>
      <c r="I48">
        <v>54.506428</v>
      </c>
      <c r="J48">
        <v>56.206028000000003</v>
      </c>
      <c r="K48">
        <v>58.248095999999997</v>
      </c>
      <c r="L48">
        <v>59.929703000000003</v>
      </c>
      <c r="M48">
        <v>59.847476999999998</v>
      </c>
      <c r="N48">
        <v>57.967025999999997</v>
      </c>
      <c r="O48">
        <v>54.234524</v>
      </c>
      <c r="P48">
        <v>53.451217999999997</v>
      </c>
      <c r="Q48">
        <v>52.816707999999998</v>
      </c>
      <c r="R48">
        <v>52.295498000000002</v>
      </c>
      <c r="S48">
        <v>51.949818</v>
      </c>
      <c r="T48">
        <v>51.719172999999998</v>
      </c>
      <c r="U48">
        <v>52.279282000000002</v>
      </c>
      <c r="V48">
        <v>54.340167999999998</v>
      </c>
      <c r="W48">
        <v>55.543877000000002</v>
      </c>
      <c r="X48">
        <v>52.702376999999998</v>
      </c>
      <c r="Y48">
        <v>51.958176000000002</v>
      </c>
      <c r="Z48">
        <v>51.584454000000001</v>
      </c>
      <c r="AA48">
        <v>50.490414000000001</v>
      </c>
      <c r="AB48">
        <v>49.277588000000002</v>
      </c>
      <c r="AC48">
        <v>48.057541000000001</v>
      </c>
      <c r="AD48">
        <v>46.813960999999999</v>
      </c>
      <c r="AE48">
        <v>48.928780000000003</v>
      </c>
      <c r="AF48">
        <v>51.383316000000001</v>
      </c>
      <c r="AG48">
        <v>53.996673999999999</v>
      </c>
      <c r="AH48">
        <v>56.228377999999999</v>
      </c>
      <c r="AI48">
        <v>54.051715999999999</v>
      </c>
      <c r="AJ48">
        <v>51.145229</v>
      </c>
      <c r="AK48">
        <v>49.670001999999997</v>
      </c>
      <c r="AL48">
        <v>48.712307000000003</v>
      </c>
      <c r="AM48">
        <v>48.148417999999999</v>
      </c>
      <c r="AN48">
        <v>46.823410000000003</v>
      </c>
      <c r="AO48" s="1">
        <v>-6.0000000000000001E-3</v>
      </c>
    </row>
    <row r="49" spans="1:41" x14ac:dyDescent="0.25">
      <c r="A49" t="s">
        <v>409</v>
      </c>
      <c r="B49" t="s">
        <v>410</v>
      </c>
      <c r="C49" t="s">
        <v>411</v>
      </c>
      <c r="D49" t="s">
        <v>302</v>
      </c>
      <c r="E49">
        <v>291.46752900000001</v>
      </c>
      <c r="F49">
        <v>286.725098</v>
      </c>
      <c r="G49">
        <v>284.84799199999998</v>
      </c>
      <c r="H49">
        <v>283.90167200000002</v>
      </c>
      <c r="I49">
        <v>302.61093099999999</v>
      </c>
      <c r="J49">
        <v>321.72308299999997</v>
      </c>
      <c r="K49">
        <v>308.68899499999998</v>
      </c>
      <c r="L49">
        <v>320.59387199999998</v>
      </c>
      <c r="M49">
        <v>316.76825000000002</v>
      </c>
      <c r="N49">
        <v>313.76461799999998</v>
      </c>
      <c r="O49">
        <v>308.36621100000002</v>
      </c>
      <c r="P49">
        <v>302.25793499999997</v>
      </c>
      <c r="Q49">
        <v>298.99319500000001</v>
      </c>
      <c r="R49">
        <v>291.92681900000002</v>
      </c>
      <c r="S49">
        <v>285.146973</v>
      </c>
      <c r="T49">
        <v>283.14761399999998</v>
      </c>
      <c r="U49">
        <v>284.064392</v>
      </c>
      <c r="V49">
        <v>285.88198899999998</v>
      </c>
      <c r="W49">
        <v>287.60311899999999</v>
      </c>
      <c r="X49">
        <v>287.90423600000003</v>
      </c>
      <c r="Y49">
        <v>291.25060999999999</v>
      </c>
      <c r="Z49">
        <v>299.01138300000002</v>
      </c>
      <c r="AA49">
        <v>312.15035999999998</v>
      </c>
      <c r="AB49">
        <v>321.8349</v>
      </c>
      <c r="AC49">
        <v>326.56045499999999</v>
      </c>
      <c r="AD49">
        <v>332.14224200000001</v>
      </c>
      <c r="AE49">
        <v>329.34475700000002</v>
      </c>
      <c r="AF49">
        <v>328.674713</v>
      </c>
      <c r="AG49">
        <v>326.33987400000001</v>
      </c>
      <c r="AH49">
        <v>325.939301</v>
      </c>
      <c r="AI49">
        <v>330.33416699999998</v>
      </c>
      <c r="AJ49">
        <v>333.06527699999998</v>
      </c>
      <c r="AK49">
        <v>337.90267899999998</v>
      </c>
      <c r="AL49">
        <v>338.81317100000001</v>
      </c>
      <c r="AM49">
        <v>338.18048099999999</v>
      </c>
      <c r="AN49">
        <v>338.82498199999998</v>
      </c>
      <c r="AO49" s="1">
        <v>5.0000000000000001E-3</v>
      </c>
    </row>
    <row r="50" spans="1:41" x14ac:dyDescent="0.25">
      <c r="A50" t="s">
        <v>412</v>
      </c>
      <c r="B50" t="s">
        <v>413</v>
      </c>
      <c r="C50" t="s">
        <v>414</v>
      </c>
      <c r="D50" t="s">
        <v>302</v>
      </c>
      <c r="E50">
        <v>408.53793300000001</v>
      </c>
      <c r="F50">
        <v>338.206818</v>
      </c>
      <c r="G50">
        <v>345.72091699999999</v>
      </c>
      <c r="H50">
        <v>355.368134</v>
      </c>
      <c r="I50">
        <v>379.58660900000001</v>
      </c>
      <c r="J50">
        <v>381.71743800000002</v>
      </c>
      <c r="K50">
        <v>394.72351099999997</v>
      </c>
      <c r="L50">
        <v>386.312836</v>
      </c>
      <c r="M50">
        <v>397.47900399999997</v>
      </c>
      <c r="N50">
        <v>412.73031600000002</v>
      </c>
      <c r="O50">
        <v>418.97699</v>
      </c>
      <c r="P50">
        <v>424.93188500000002</v>
      </c>
      <c r="Q50">
        <v>434.17501800000002</v>
      </c>
      <c r="R50">
        <v>447.27914399999997</v>
      </c>
      <c r="S50">
        <v>461.90808099999998</v>
      </c>
      <c r="T50">
        <v>468.38604700000002</v>
      </c>
      <c r="U50">
        <v>465.368042</v>
      </c>
      <c r="V50">
        <v>460.69424400000003</v>
      </c>
      <c r="W50">
        <v>457.915344</v>
      </c>
      <c r="X50">
        <v>452.58221400000002</v>
      </c>
      <c r="Y50">
        <v>448.445221</v>
      </c>
      <c r="Z50">
        <v>438.18545499999999</v>
      </c>
      <c r="AA50">
        <v>425.552887</v>
      </c>
      <c r="AB50">
        <v>417.161652</v>
      </c>
      <c r="AC50">
        <v>408.30972300000002</v>
      </c>
      <c r="AD50">
        <v>399.81832900000001</v>
      </c>
      <c r="AE50">
        <v>397.213684</v>
      </c>
      <c r="AF50">
        <v>398.45242300000001</v>
      </c>
      <c r="AG50">
        <v>398.35968000000003</v>
      </c>
      <c r="AH50">
        <v>400.72137500000002</v>
      </c>
      <c r="AI50">
        <v>398.83154300000001</v>
      </c>
      <c r="AJ50">
        <v>395.63137799999998</v>
      </c>
      <c r="AK50">
        <v>389.73364299999997</v>
      </c>
      <c r="AL50">
        <v>389.26672400000001</v>
      </c>
      <c r="AM50">
        <v>390.54718000000003</v>
      </c>
      <c r="AN50">
        <v>392.32095299999997</v>
      </c>
      <c r="AO50" s="1">
        <v>4.0000000000000001E-3</v>
      </c>
    </row>
    <row r="51" spans="1:41" x14ac:dyDescent="0.25">
      <c r="A51" t="s">
        <v>415</v>
      </c>
      <c r="B51" t="s">
        <v>416</v>
      </c>
      <c r="C51" t="s">
        <v>417</v>
      </c>
      <c r="D51" t="s">
        <v>302</v>
      </c>
      <c r="E51">
        <v>83.720032000000003</v>
      </c>
      <c r="F51">
        <v>69.035186999999993</v>
      </c>
      <c r="G51">
        <v>79.929992999999996</v>
      </c>
      <c r="H51">
        <v>80.355850000000004</v>
      </c>
      <c r="I51">
        <v>81.569114999999996</v>
      </c>
      <c r="J51">
        <v>83.048569000000001</v>
      </c>
      <c r="K51">
        <v>80.289246000000006</v>
      </c>
      <c r="L51">
        <v>79.975800000000007</v>
      </c>
      <c r="M51">
        <v>79.566360000000003</v>
      </c>
      <c r="N51">
        <v>79.992241000000007</v>
      </c>
      <c r="O51">
        <v>81.362983999999997</v>
      </c>
      <c r="P51">
        <v>81.681579999999997</v>
      </c>
      <c r="Q51">
        <v>82.969787999999994</v>
      </c>
      <c r="R51">
        <v>83.682343000000003</v>
      </c>
      <c r="S51">
        <v>84.452324000000004</v>
      </c>
      <c r="T51">
        <v>84.568932000000004</v>
      </c>
      <c r="U51">
        <v>84.339545999999999</v>
      </c>
      <c r="V51">
        <v>84.175026000000003</v>
      </c>
      <c r="W51">
        <v>83.846558000000002</v>
      </c>
      <c r="X51">
        <v>83.093581999999998</v>
      </c>
      <c r="Y51">
        <v>83.088279999999997</v>
      </c>
      <c r="Z51">
        <v>82.838729999999998</v>
      </c>
      <c r="AA51">
        <v>82.567093</v>
      </c>
      <c r="AB51">
        <v>82.348640000000003</v>
      </c>
      <c r="AC51">
        <v>82.553985999999995</v>
      </c>
      <c r="AD51">
        <v>82.173714000000004</v>
      </c>
      <c r="AE51">
        <v>81.863510000000005</v>
      </c>
      <c r="AF51">
        <v>82.118660000000006</v>
      </c>
      <c r="AG51">
        <v>82.214859000000004</v>
      </c>
      <c r="AH51">
        <v>82.184630999999996</v>
      </c>
      <c r="AI51">
        <v>82.163330000000002</v>
      </c>
      <c r="AJ51">
        <v>82.009117000000003</v>
      </c>
      <c r="AK51">
        <v>82.666068999999993</v>
      </c>
      <c r="AL51">
        <v>82.396964999999994</v>
      </c>
      <c r="AM51">
        <v>82.694068999999999</v>
      </c>
      <c r="AN51">
        <v>82.983260999999999</v>
      </c>
      <c r="AO51" s="1">
        <v>5.0000000000000001E-3</v>
      </c>
    </row>
    <row r="52" spans="1:41" x14ac:dyDescent="0.25">
      <c r="A52" t="s">
        <v>418</v>
      </c>
      <c r="B52" t="s">
        <v>419</v>
      </c>
      <c r="C52" t="s">
        <v>420</v>
      </c>
      <c r="D52" t="s">
        <v>302</v>
      </c>
      <c r="E52">
        <v>431.55212399999999</v>
      </c>
      <c r="F52">
        <v>363.33492999999999</v>
      </c>
      <c r="G52">
        <v>369.43627900000001</v>
      </c>
      <c r="H52">
        <v>386.209473</v>
      </c>
      <c r="I52">
        <v>408.927795</v>
      </c>
      <c r="J52">
        <v>407.74801600000001</v>
      </c>
      <c r="K52">
        <v>412.59878500000002</v>
      </c>
      <c r="L52">
        <v>402.301941</v>
      </c>
      <c r="M52">
        <v>407.81494099999998</v>
      </c>
      <c r="N52">
        <v>419.55538899999999</v>
      </c>
      <c r="O52">
        <v>422.26455700000002</v>
      </c>
      <c r="P52">
        <v>425.05578600000001</v>
      </c>
      <c r="Q52">
        <v>432.510986</v>
      </c>
      <c r="R52">
        <v>443.95272799999998</v>
      </c>
      <c r="S52">
        <v>459.39257800000001</v>
      </c>
      <c r="T52">
        <v>466.52648900000003</v>
      </c>
      <c r="U52">
        <v>463.91351300000002</v>
      </c>
      <c r="V52">
        <v>462.053833</v>
      </c>
      <c r="W52">
        <v>460.78527800000001</v>
      </c>
      <c r="X52">
        <v>454.74264499999998</v>
      </c>
      <c r="Y52">
        <v>450.37808200000001</v>
      </c>
      <c r="Z52">
        <v>441.20727499999998</v>
      </c>
      <c r="AA52">
        <v>436.19329800000003</v>
      </c>
      <c r="AB52">
        <v>430.39056399999998</v>
      </c>
      <c r="AC52">
        <v>421.93539399999997</v>
      </c>
      <c r="AD52">
        <v>411.38183600000002</v>
      </c>
      <c r="AE52">
        <v>408.86669899999998</v>
      </c>
      <c r="AF52">
        <v>410.46545400000002</v>
      </c>
      <c r="AG52">
        <v>411.78671300000002</v>
      </c>
      <c r="AH52">
        <v>413.79934700000001</v>
      </c>
      <c r="AI52">
        <v>410.59970099999998</v>
      </c>
      <c r="AJ52">
        <v>407.13644399999998</v>
      </c>
      <c r="AK52">
        <v>402.04660000000001</v>
      </c>
      <c r="AL52">
        <v>401.50793499999997</v>
      </c>
      <c r="AM52">
        <v>401.86233499999997</v>
      </c>
      <c r="AN52">
        <v>403.38870200000002</v>
      </c>
      <c r="AO52" s="1">
        <v>3.0000000000000001E-3</v>
      </c>
    </row>
    <row r="53" spans="1:41" x14ac:dyDescent="0.25">
      <c r="A53" t="s">
        <v>421</v>
      </c>
      <c r="B53" t="s">
        <v>422</v>
      </c>
      <c r="C53" t="s">
        <v>423</v>
      </c>
      <c r="D53" t="s">
        <v>302</v>
      </c>
      <c r="E53">
        <v>198.35549900000001</v>
      </c>
      <c r="F53">
        <v>163.138351</v>
      </c>
      <c r="G53">
        <v>170.011337</v>
      </c>
      <c r="H53">
        <v>169.741669</v>
      </c>
      <c r="I53">
        <v>181.86729399999999</v>
      </c>
      <c r="J53">
        <v>192.14794900000001</v>
      </c>
      <c r="K53">
        <v>193.79568499999999</v>
      </c>
      <c r="L53">
        <v>197.700851</v>
      </c>
      <c r="M53">
        <v>196.87870799999999</v>
      </c>
      <c r="N53">
        <v>194.28201300000001</v>
      </c>
      <c r="O53">
        <v>191.58227500000001</v>
      </c>
      <c r="P53">
        <v>188.76190199999999</v>
      </c>
      <c r="Q53">
        <v>192.79306</v>
      </c>
      <c r="R53">
        <v>189.540604</v>
      </c>
      <c r="S53">
        <v>185.37539699999999</v>
      </c>
      <c r="T53">
        <v>184.18739299999999</v>
      </c>
      <c r="U53">
        <v>183.86367799999999</v>
      </c>
      <c r="V53">
        <v>184.53413399999999</v>
      </c>
      <c r="W53">
        <v>185.791977</v>
      </c>
      <c r="X53">
        <v>184.16847200000001</v>
      </c>
      <c r="Y53">
        <v>184.88736</v>
      </c>
      <c r="Z53">
        <v>183.66369599999999</v>
      </c>
      <c r="AA53">
        <v>182.13801599999999</v>
      </c>
      <c r="AB53">
        <v>181.70051599999999</v>
      </c>
      <c r="AC53">
        <v>182.106155</v>
      </c>
      <c r="AD53">
        <v>183.09217799999999</v>
      </c>
      <c r="AE53">
        <v>183.95384200000001</v>
      </c>
      <c r="AF53">
        <v>183.99868799999999</v>
      </c>
      <c r="AG53">
        <v>183.715439</v>
      </c>
      <c r="AH53">
        <v>185.28125</v>
      </c>
      <c r="AI53">
        <v>183.57269299999999</v>
      </c>
      <c r="AJ53">
        <v>179.85157799999999</v>
      </c>
      <c r="AK53">
        <v>179.251892</v>
      </c>
      <c r="AL53">
        <v>177.10618600000001</v>
      </c>
      <c r="AM53">
        <v>177.13043200000001</v>
      </c>
      <c r="AN53">
        <v>175.66897599999999</v>
      </c>
      <c r="AO53" s="1">
        <v>2E-3</v>
      </c>
    </row>
    <row r="54" spans="1:41" x14ac:dyDescent="0.25">
      <c r="A54" t="s">
        <v>424</v>
      </c>
      <c r="B54" t="s">
        <v>425</v>
      </c>
      <c r="C54" t="s">
        <v>426</v>
      </c>
      <c r="D54" t="s">
        <v>302</v>
      </c>
      <c r="E54">
        <v>219.497604</v>
      </c>
      <c r="F54">
        <v>224.14549299999999</v>
      </c>
      <c r="G54">
        <v>223.98370399999999</v>
      </c>
      <c r="H54">
        <v>217.10351600000001</v>
      </c>
      <c r="I54">
        <v>227.47801200000001</v>
      </c>
      <c r="J54">
        <v>242.79920999999999</v>
      </c>
      <c r="K54">
        <v>235.555374</v>
      </c>
      <c r="L54">
        <v>246.809448</v>
      </c>
      <c r="M54">
        <v>248.96740700000001</v>
      </c>
      <c r="N54">
        <v>250.61679100000001</v>
      </c>
      <c r="O54">
        <v>249.09381099999999</v>
      </c>
      <c r="P54">
        <v>248.50495900000001</v>
      </c>
      <c r="Q54">
        <v>243.65063499999999</v>
      </c>
      <c r="R54">
        <v>241.69046</v>
      </c>
      <c r="S54">
        <v>238.68920900000001</v>
      </c>
      <c r="T54">
        <v>237.10787999999999</v>
      </c>
      <c r="U54">
        <v>238.274078</v>
      </c>
      <c r="V54">
        <v>238.50344799999999</v>
      </c>
      <c r="W54">
        <v>238.331604</v>
      </c>
      <c r="X54">
        <v>237.37132299999999</v>
      </c>
      <c r="Y54">
        <v>239.476822</v>
      </c>
      <c r="Z54">
        <v>246.74906899999999</v>
      </c>
      <c r="AA54">
        <v>252.429474</v>
      </c>
      <c r="AB54">
        <v>258.53170799999998</v>
      </c>
      <c r="AC54">
        <v>261.44012500000002</v>
      </c>
      <c r="AD54">
        <v>266.47421300000002</v>
      </c>
      <c r="AE54">
        <v>264.53015099999999</v>
      </c>
      <c r="AF54">
        <v>266.165009</v>
      </c>
      <c r="AG54">
        <v>265.40893599999998</v>
      </c>
      <c r="AH54">
        <v>265.99310300000002</v>
      </c>
      <c r="AI54">
        <v>271.20834400000001</v>
      </c>
      <c r="AJ54">
        <v>274.862976</v>
      </c>
      <c r="AK54">
        <v>278.67388899999997</v>
      </c>
      <c r="AL54">
        <v>280.57507299999997</v>
      </c>
      <c r="AM54">
        <v>280.57739299999997</v>
      </c>
      <c r="AN54">
        <v>281.89492799999999</v>
      </c>
      <c r="AO54" s="1">
        <v>7.0000000000000001E-3</v>
      </c>
    </row>
    <row r="55" spans="1:41" x14ac:dyDescent="0.25">
      <c r="A55" s="60" t="s">
        <v>427</v>
      </c>
      <c r="B55" t="s">
        <v>428</v>
      </c>
      <c r="C55" t="s">
        <v>429</v>
      </c>
      <c r="D55" t="s">
        <v>302</v>
      </c>
      <c r="E55">
        <v>264.74520899999999</v>
      </c>
      <c r="F55">
        <v>249.62292500000001</v>
      </c>
      <c r="G55">
        <v>254.87702899999999</v>
      </c>
      <c r="H55">
        <v>243.97264100000001</v>
      </c>
      <c r="I55">
        <v>258.42105099999998</v>
      </c>
      <c r="J55">
        <v>274.126465</v>
      </c>
      <c r="K55">
        <v>265.97515900000002</v>
      </c>
      <c r="L55">
        <v>278.01132200000001</v>
      </c>
      <c r="M55">
        <v>277.55566399999998</v>
      </c>
      <c r="N55">
        <v>273.11148100000003</v>
      </c>
      <c r="O55">
        <v>262.32058699999999</v>
      </c>
      <c r="P55">
        <v>257.46328699999998</v>
      </c>
      <c r="Q55">
        <v>258.02941900000002</v>
      </c>
      <c r="R55">
        <v>253.96258499999999</v>
      </c>
      <c r="S55">
        <v>252.74208100000001</v>
      </c>
      <c r="T55">
        <v>251.4366</v>
      </c>
      <c r="U55">
        <v>253.09223900000001</v>
      </c>
      <c r="V55">
        <v>257.38833599999998</v>
      </c>
      <c r="W55">
        <v>259.88339200000001</v>
      </c>
      <c r="X55">
        <v>257.66513099999997</v>
      </c>
      <c r="Y55">
        <v>259.71087599999998</v>
      </c>
      <c r="Z55">
        <v>267.43261699999999</v>
      </c>
      <c r="AA55">
        <v>277.92938199999998</v>
      </c>
      <c r="AB55">
        <v>284.461792</v>
      </c>
      <c r="AC55">
        <v>286.996399</v>
      </c>
      <c r="AD55">
        <v>290.25585899999999</v>
      </c>
      <c r="AE55">
        <v>290.56381199999998</v>
      </c>
      <c r="AF55">
        <v>291.91207900000001</v>
      </c>
      <c r="AG55">
        <v>292.18240400000002</v>
      </c>
      <c r="AH55">
        <v>294.19635</v>
      </c>
      <c r="AI55">
        <v>297.92398100000003</v>
      </c>
      <c r="AJ55">
        <v>297.93701199999998</v>
      </c>
      <c r="AK55">
        <v>300.89718599999998</v>
      </c>
      <c r="AL55">
        <v>302.11471599999999</v>
      </c>
      <c r="AM55">
        <v>300.872681</v>
      </c>
      <c r="AN55">
        <v>300.49902300000002</v>
      </c>
      <c r="AO55" s="1">
        <v>5.0000000000000001E-3</v>
      </c>
    </row>
    <row r="56" spans="1:41" x14ac:dyDescent="0.25">
      <c r="A56" s="60" t="s">
        <v>430</v>
      </c>
      <c r="B56" t="s">
        <v>431</v>
      </c>
      <c r="C56" t="s">
        <v>432</v>
      </c>
      <c r="D56" t="s">
        <v>302</v>
      </c>
      <c r="E56">
        <v>574.91882299999997</v>
      </c>
      <c r="F56">
        <v>490.99984699999999</v>
      </c>
      <c r="G56">
        <v>498.53866599999998</v>
      </c>
      <c r="H56">
        <v>519.51788299999998</v>
      </c>
      <c r="I56">
        <v>550.27893100000006</v>
      </c>
      <c r="J56">
        <v>558.07135000000005</v>
      </c>
      <c r="K56">
        <v>565.45977800000003</v>
      </c>
      <c r="L56">
        <v>557.77752699999996</v>
      </c>
      <c r="M56">
        <v>564.860229</v>
      </c>
      <c r="N56">
        <v>580.10186799999997</v>
      </c>
      <c r="O56">
        <v>589.39074700000003</v>
      </c>
      <c r="P56">
        <v>593.64502000000005</v>
      </c>
      <c r="Q56">
        <v>599.72204599999998</v>
      </c>
      <c r="R56">
        <v>610.03497300000004</v>
      </c>
      <c r="S56">
        <v>619.53985599999999</v>
      </c>
      <c r="T56">
        <v>625.228882</v>
      </c>
      <c r="U56">
        <v>621.825378</v>
      </c>
      <c r="V56">
        <v>616.64837599999998</v>
      </c>
      <c r="W56">
        <v>614.00317399999994</v>
      </c>
      <c r="X56">
        <v>607.58831799999996</v>
      </c>
      <c r="Y56">
        <v>603.94592299999999</v>
      </c>
      <c r="Z56">
        <v>593.08862299999998</v>
      </c>
      <c r="AA56">
        <v>581.72442599999999</v>
      </c>
      <c r="AB56">
        <v>575.068848</v>
      </c>
      <c r="AC56">
        <v>567.40045199999997</v>
      </c>
      <c r="AD56">
        <v>559.618469</v>
      </c>
      <c r="AE56">
        <v>555.70495600000004</v>
      </c>
      <c r="AF56">
        <v>557.67394999999999</v>
      </c>
      <c r="AG56">
        <v>557.68725600000005</v>
      </c>
      <c r="AH56">
        <v>559.84491000000003</v>
      </c>
      <c r="AI56">
        <v>556.43322799999999</v>
      </c>
      <c r="AJ56">
        <v>552.89892599999996</v>
      </c>
      <c r="AK56">
        <v>548.07006799999999</v>
      </c>
      <c r="AL56">
        <v>546.07818599999996</v>
      </c>
      <c r="AM56">
        <v>547.70983899999999</v>
      </c>
      <c r="AN56">
        <v>549.47393799999998</v>
      </c>
      <c r="AO56" s="1">
        <v>3.0000000000000001E-3</v>
      </c>
    </row>
    <row r="57" spans="1:41" x14ac:dyDescent="0.25">
      <c r="A57" t="s">
        <v>433</v>
      </c>
      <c r="B57" t="s">
        <v>434</v>
      </c>
      <c r="C57" t="s">
        <v>435</v>
      </c>
      <c r="D57" t="s">
        <v>302</v>
      </c>
      <c r="E57">
        <v>849.40533400000004</v>
      </c>
      <c r="F57">
        <v>750.61877400000003</v>
      </c>
      <c r="G57">
        <v>763.43127400000003</v>
      </c>
      <c r="H57">
        <v>773.05456500000003</v>
      </c>
      <c r="I57">
        <v>818.27301</v>
      </c>
      <c r="J57">
        <v>842.69512899999995</v>
      </c>
      <c r="K57">
        <v>841.94988999999998</v>
      </c>
      <c r="L57">
        <v>846.81225600000005</v>
      </c>
      <c r="M57">
        <v>853.66113299999995</v>
      </c>
      <c r="N57">
        <v>864.45416299999999</v>
      </c>
      <c r="O57">
        <v>862.94073500000002</v>
      </c>
      <c r="P57">
        <v>862.322632</v>
      </c>
      <c r="Q57">
        <v>868.95477300000005</v>
      </c>
      <c r="R57">
        <v>875.18377699999996</v>
      </c>
      <c r="S57">
        <v>883.45721400000002</v>
      </c>
      <c r="T57">
        <v>887.82183799999996</v>
      </c>
      <c r="U57">
        <v>886.05120799999997</v>
      </c>
      <c r="V57">
        <v>885.09136999999998</v>
      </c>
      <c r="W57">
        <v>884.90887499999997</v>
      </c>
      <c r="X57">
        <v>876.28247099999999</v>
      </c>
      <c r="Y57">
        <v>874.74224900000002</v>
      </c>
      <c r="Z57">
        <v>871.62005599999998</v>
      </c>
      <c r="AA57">
        <v>870.76074200000005</v>
      </c>
      <c r="AB57">
        <v>870.62280299999998</v>
      </c>
      <c r="AC57">
        <v>865.48175000000003</v>
      </c>
      <c r="AD57">
        <v>860.94824200000005</v>
      </c>
      <c r="AE57">
        <v>857.35070800000005</v>
      </c>
      <c r="AF57">
        <v>860.62914999999998</v>
      </c>
      <c r="AG57">
        <v>860.91107199999999</v>
      </c>
      <c r="AH57">
        <v>865.07372999999995</v>
      </c>
      <c r="AI57">
        <v>865.38079800000003</v>
      </c>
      <c r="AJ57">
        <v>861.85095200000001</v>
      </c>
      <c r="AK57">
        <v>859.97241199999996</v>
      </c>
      <c r="AL57">
        <v>859.18914800000005</v>
      </c>
      <c r="AM57">
        <v>859.57012899999995</v>
      </c>
      <c r="AN57">
        <v>860.95257600000002</v>
      </c>
      <c r="AO57" s="1">
        <v>4.0000000000000001E-3</v>
      </c>
    </row>
    <row r="58" spans="1:41" x14ac:dyDescent="0.25">
      <c r="A58" t="s">
        <v>436</v>
      </c>
      <c r="B58" t="s">
        <v>437</v>
      </c>
      <c r="C58" t="s">
        <v>438</v>
      </c>
      <c r="D58" t="s">
        <v>302</v>
      </c>
      <c r="E58">
        <v>9.7411999999999992</v>
      </c>
      <c r="F58">
        <v>9.9960000000000004</v>
      </c>
      <c r="G58">
        <v>10.015599999999999</v>
      </c>
      <c r="H58">
        <v>9.5640780000000003</v>
      </c>
      <c r="I58">
        <v>9.5730400000000007</v>
      </c>
      <c r="J58">
        <v>10.49729</v>
      </c>
      <c r="K58">
        <v>10.514867000000001</v>
      </c>
      <c r="L58">
        <v>11.023389</v>
      </c>
      <c r="M58">
        <v>11.245150000000001</v>
      </c>
      <c r="N58">
        <v>11.240831999999999</v>
      </c>
      <c r="O58">
        <v>11.229409</v>
      </c>
      <c r="P58">
        <v>11.214378</v>
      </c>
      <c r="Q58">
        <v>11.203207000000001</v>
      </c>
      <c r="R58">
        <v>11.18627</v>
      </c>
      <c r="S58">
        <v>11.175250999999999</v>
      </c>
      <c r="T58">
        <v>11.156370000000001</v>
      </c>
      <c r="U58">
        <v>11.133594</v>
      </c>
      <c r="V58">
        <v>11.054693</v>
      </c>
      <c r="W58">
        <v>11.02229</v>
      </c>
      <c r="X58">
        <v>11.028924999999999</v>
      </c>
      <c r="Y58">
        <v>11.085523</v>
      </c>
      <c r="Z58">
        <v>11.098742</v>
      </c>
      <c r="AA58">
        <v>11.10694</v>
      </c>
      <c r="AB58">
        <v>11.092083000000001</v>
      </c>
      <c r="AC58">
        <v>11.084771999999999</v>
      </c>
      <c r="AD58">
        <v>11.073986</v>
      </c>
      <c r="AE58">
        <v>11.081882999999999</v>
      </c>
      <c r="AF58">
        <v>11.043094999999999</v>
      </c>
      <c r="AG58">
        <v>11.041449</v>
      </c>
      <c r="AH58">
        <v>11.032436000000001</v>
      </c>
      <c r="AI58">
        <v>11.023474999999999</v>
      </c>
      <c r="AJ58">
        <v>11.0151</v>
      </c>
      <c r="AK58">
        <v>11.005185000000001</v>
      </c>
      <c r="AL58">
        <v>10.996248</v>
      </c>
      <c r="AM58">
        <v>10.987586</v>
      </c>
      <c r="AN58">
        <v>10.979628999999999</v>
      </c>
      <c r="AO58" s="1">
        <v>3.0000000000000001E-3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5" tint="0.79998168889431442"/>
  </sheetPr>
  <dimension ref="A1:AM128"/>
  <sheetViews>
    <sheetView topLeftCell="B1" workbookViewId="0">
      <selection activeCell="E37" sqref="E37"/>
    </sheetView>
  </sheetViews>
  <sheetFormatPr defaultRowHeight="15" x14ac:dyDescent="0.25"/>
  <cols>
    <col min="1" max="1" width="20.85546875" hidden="1" customWidth="1"/>
    <col min="2" max="2" width="45.7109375" customWidth="1"/>
  </cols>
  <sheetData>
    <row r="1" spans="1:39" ht="15" customHeight="1" thickBot="1" x14ac:dyDescent="0.3">
      <c r="B1" s="4" t="s">
        <v>15</v>
      </c>
      <c r="C1" s="5">
        <v>2015</v>
      </c>
      <c r="D1" s="5">
        <v>2016</v>
      </c>
      <c r="E1" s="5">
        <v>2017</v>
      </c>
      <c r="F1" s="5">
        <v>2018</v>
      </c>
      <c r="G1" s="5">
        <v>2019</v>
      </c>
      <c r="H1" s="5">
        <v>2020</v>
      </c>
      <c r="I1" s="5">
        <v>2021</v>
      </c>
      <c r="J1" s="5">
        <v>2022</v>
      </c>
      <c r="K1" s="5">
        <v>2023</v>
      </c>
      <c r="L1" s="5">
        <v>2024</v>
      </c>
      <c r="M1" s="5">
        <v>2025</v>
      </c>
      <c r="N1" s="5">
        <v>2026</v>
      </c>
      <c r="O1" s="5">
        <v>2027</v>
      </c>
      <c r="P1" s="5">
        <v>2028</v>
      </c>
      <c r="Q1" s="5">
        <v>2029</v>
      </c>
      <c r="R1" s="5">
        <v>2030</v>
      </c>
      <c r="S1" s="5">
        <v>2031</v>
      </c>
      <c r="T1" s="5">
        <v>2032</v>
      </c>
      <c r="U1" s="5">
        <v>2033</v>
      </c>
      <c r="V1" s="5">
        <v>2034</v>
      </c>
      <c r="W1" s="5">
        <v>2035</v>
      </c>
      <c r="X1" s="5">
        <v>2036</v>
      </c>
      <c r="Y1" s="5">
        <v>2037</v>
      </c>
      <c r="Z1" s="5">
        <v>2038</v>
      </c>
      <c r="AA1" s="5">
        <v>2039</v>
      </c>
      <c r="AB1" s="5">
        <v>2040</v>
      </c>
      <c r="AC1" s="5">
        <v>2041</v>
      </c>
      <c r="AD1" s="5">
        <v>2042</v>
      </c>
      <c r="AE1" s="5">
        <v>2043</v>
      </c>
      <c r="AF1" s="5">
        <v>2044</v>
      </c>
      <c r="AG1" s="5">
        <v>2045</v>
      </c>
      <c r="AH1" s="5">
        <v>2046</v>
      </c>
      <c r="AI1" s="5">
        <v>2047</v>
      </c>
      <c r="AJ1" s="5">
        <v>2048</v>
      </c>
      <c r="AK1" s="5">
        <v>2049</v>
      </c>
      <c r="AL1" s="5">
        <v>2050</v>
      </c>
    </row>
    <row r="2" spans="1:39" ht="15" customHeight="1" thickTop="1" x14ac:dyDescent="0.25"/>
    <row r="3" spans="1:39" ht="15" customHeight="1" x14ac:dyDescent="0.25">
      <c r="C3" s="6" t="s">
        <v>16</v>
      </c>
      <c r="D3" s="6" t="s">
        <v>17</v>
      </c>
      <c r="E3" s="6"/>
      <c r="F3" s="6"/>
      <c r="G3" s="6"/>
    </row>
    <row r="4" spans="1:39" ht="15" customHeight="1" x14ac:dyDescent="0.25">
      <c r="C4" s="6" t="s">
        <v>18</v>
      </c>
      <c r="D4" s="6" t="s">
        <v>19</v>
      </c>
      <c r="E4" s="6"/>
      <c r="F4" s="6"/>
      <c r="G4" s="6" t="s">
        <v>20</v>
      </c>
    </row>
    <row r="5" spans="1:39" ht="15" customHeight="1" x14ac:dyDescent="0.25">
      <c r="C5" s="6" t="s">
        <v>21</v>
      </c>
      <c r="D5" s="6" t="s">
        <v>22</v>
      </c>
      <c r="E5" s="6"/>
      <c r="F5" s="6"/>
      <c r="G5" s="6"/>
    </row>
    <row r="6" spans="1:39" ht="15" customHeight="1" x14ac:dyDescent="0.25">
      <c r="C6" s="6" t="s">
        <v>23</v>
      </c>
      <c r="D6" s="6"/>
      <c r="E6" s="6" t="s">
        <v>24</v>
      </c>
      <c r="F6" s="6"/>
      <c r="G6" s="6"/>
    </row>
    <row r="10" spans="1:39" ht="15" customHeight="1" x14ac:dyDescent="0.25">
      <c r="A10" s="7" t="s">
        <v>1093</v>
      </c>
      <c r="B10" s="8" t="s">
        <v>1094</v>
      </c>
    </row>
    <row r="11" spans="1:39" ht="15" customHeight="1" x14ac:dyDescent="0.25">
      <c r="B11" s="4" t="s">
        <v>1095</v>
      </c>
    </row>
    <row r="12" spans="1:39" ht="15" customHeight="1" x14ac:dyDescent="0.25">
      <c r="B12" s="4" t="s">
        <v>27</v>
      </c>
      <c r="C12" s="9" t="s">
        <v>27</v>
      </c>
      <c r="D12" s="9" t="s">
        <v>27</v>
      </c>
      <c r="E12" s="9" t="s">
        <v>27</v>
      </c>
      <c r="F12" s="9" t="s">
        <v>27</v>
      </c>
      <c r="G12" s="9" t="s">
        <v>27</v>
      </c>
      <c r="H12" s="9" t="s">
        <v>27</v>
      </c>
      <c r="I12" s="9" t="s">
        <v>27</v>
      </c>
      <c r="J12" s="9" t="s">
        <v>27</v>
      </c>
      <c r="K12" s="9" t="s">
        <v>27</v>
      </c>
      <c r="L12" s="9" t="s">
        <v>27</v>
      </c>
      <c r="M12" s="9" t="s">
        <v>27</v>
      </c>
      <c r="N12" s="9" t="s">
        <v>27</v>
      </c>
      <c r="O12" s="9" t="s">
        <v>27</v>
      </c>
      <c r="P12" s="9" t="s">
        <v>27</v>
      </c>
      <c r="Q12" s="9" t="s">
        <v>27</v>
      </c>
      <c r="R12" s="9" t="s">
        <v>27</v>
      </c>
      <c r="S12" s="9" t="s">
        <v>27</v>
      </c>
      <c r="T12" s="9" t="s">
        <v>27</v>
      </c>
      <c r="U12" s="9" t="s">
        <v>27</v>
      </c>
      <c r="V12" s="9" t="s">
        <v>27</v>
      </c>
      <c r="W12" s="9" t="s">
        <v>27</v>
      </c>
      <c r="X12" s="9" t="s">
        <v>27</v>
      </c>
      <c r="Y12" s="9" t="s">
        <v>27</v>
      </c>
      <c r="Z12" s="9" t="s">
        <v>27</v>
      </c>
      <c r="AA12" s="9" t="s">
        <v>27</v>
      </c>
      <c r="AB12" s="9" t="s">
        <v>27</v>
      </c>
      <c r="AC12" s="9" t="s">
        <v>27</v>
      </c>
      <c r="AD12" s="9" t="s">
        <v>27</v>
      </c>
      <c r="AE12" s="9" t="s">
        <v>27</v>
      </c>
      <c r="AF12" s="9" t="s">
        <v>27</v>
      </c>
      <c r="AG12" s="9" t="s">
        <v>27</v>
      </c>
      <c r="AH12" s="9" t="s">
        <v>27</v>
      </c>
      <c r="AI12" s="9" t="s">
        <v>27</v>
      </c>
      <c r="AJ12" s="9" t="s">
        <v>27</v>
      </c>
      <c r="AK12" s="9" t="s">
        <v>27</v>
      </c>
      <c r="AL12" s="9" t="s">
        <v>27</v>
      </c>
      <c r="AM12" s="9" t="s">
        <v>28</v>
      </c>
    </row>
    <row r="13" spans="1:39" ht="15" customHeight="1" thickBot="1" x14ac:dyDescent="0.3">
      <c r="B13" s="5" t="s">
        <v>1096</v>
      </c>
      <c r="C13" s="5">
        <v>2015</v>
      </c>
      <c r="D13" s="5">
        <v>2016</v>
      </c>
      <c r="E13" s="5">
        <v>2017</v>
      </c>
      <c r="F13" s="5">
        <v>2018</v>
      </c>
      <c r="G13" s="5">
        <v>2019</v>
      </c>
      <c r="H13" s="5">
        <v>2020</v>
      </c>
      <c r="I13" s="5">
        <v>2021</v>
      </c>
      <c r="J13" s="5">
        <v>2022</v>
      </c>
      <c r="K13" s="5">
        <v>2023</v>
      </c>
      <c r="L13" s="5">
        <v>2024</v>
      </c>
      <c r="M13" s="5">
        <v>2025</v>
      </c>
      <c r="N13" s="5">
        <v>2026</v>
      </c>
      <c r="O13" s="5">
        <v>2027</v>
      </c>
      <c r="P13" s="5">
        <v>2028</v>
      </c>
      <c r="Q13" s="5">
        <v>2029</v>
      </c>
      <c r="R13" s="5">
        <v>2030</v>
      </c>
      <c r="S13" s="5">
        <v>2031</v>
      </c>
      <c r="T13" s="5">
        <v>2032</v>
      </c>
      <c r="U13" s="5">
        <v>2033</v>
      </c>
      <c r="V13" s="5">
        <v>2034</v>
      </c>
      <c r="W13" s="5">
        <v>2035</v>
      </c>
      <c r="X13" s="5">
        <v>2036</v>
      </c>
      <c r="Y13" s="5">
        <v>2037</v>
      </c>
      <c r="Z13" s="5">
        <v>2038</v>
      </c>
      <c r="AA13" s="5">
        <v>2039</v>
      </c>
      <c r="AB13" s="5">
        <v>2040</v>
      </c>
      <c r="AC13" s="5">
        <v>2041</v>
      </c>
      <c r="AD13" s="5">
        <v>2042</v>
      </c>
      <c r="AE13" s="5">
        <v>2043</v>
      </c>
      <c r="AF13" s="5">
        <v>2044</v>
      </c>
      <c r="AG13" s="5">
        <v>2045</v>
      </c>
      <c r="AH13" s="5">
        <v>2046</v>
      </c>
      <c r="AI13" s="5">
        <v>2047</v>
      </c>
      <c r="AJ13" s="5">
        <v>2048</v>
      </c>
      <c r="AK13" s="5">
        <v>2049</v>
      </c>
      <c r="AL13" s="5">
        <v>2050</v>
      </c>
      <c r="AM13" s="5">
        <v>2050</v>
      </c>
    </row>
    <row r="14" spans="1:39" ht="15" customHeight="1" thickTop="1" x14ac:dyDescent="0.25"/>
    <row r="15" spans="1:39" ht="15" customHeight="1" x14ac:dyDescent="0.25">
      <c r="B15" s="10" t="s">
        <v>1097</v>
      </c>
    </row>
    <row r="16" spans="1:39" ht="15" customHeight="1" x14ac:dyDescent="0.25">
      <c r="A16" s="7" t="s">
        <v>1098</v>
      </c>
      <c r="B16" s="11" t="s">
        <v>1099</v>
      </c>
      <c r="C16" s="65">
        <v>266.028595</v>
      </c>
      <c r="D16" s="65">
        <v>242.84845000000001</v>
      </c>
      <c r="E16" s="65">
        <v>264.41037</v>
      </c>
      <c r="F16" s="65">
        <v>265.92730699999998</v>
      </c>
      <c r="G16" s="65">
        <v>264.608093</v>
      </c>
      <c r="H16" s="65">
        <v>262.81478900000002</v>
      </c>
      <c r="I16" s="65">
        <v>259.961456</v>
      </c>
      <c r="J16" s="65">
        <v>258.094696</v>
      </c>
      <c r="K16" s="65">
        <v>256.52603099999999</v>
      </c>
      <c r="L16" s="65">
        <v>255.56741299999999</v>
      </c>
      <c r="M16" s="65">
        <v>254.47584499999999</v>
      </c>
      <c r="N16" s="65">
        <v>253.16561899999999</v>
      </c>
      <c r="O16" s="65">
        <v>251.912689</v>
      </c>
      <c r="P16" s="65">
        <v>250.560104</v>
      </c>
      <c r="Q16" s="65">
        <v>249.27671799999999</v>
      </c>
      <c r="R16" s="65">
        <v>247.92498800000001</v>
      </c>
      <c r="S16" s="65">
        <v>246.44586200000001</v>
      </c>
      <c r="T16" s="65">
        <v>244.98838799999999</v>
      </c>
      <c r="U16" s="65">
        <v>243.60202000000001</v>
      </c>
      <c r="V16" s="65">
        <v>242.53587300000001</v>
      </c>
      <c r="W16" s="65">
        <v>241.54264800000001</v>
      </c>
      <c r="X16" s="65">
        <v>240.262787</v>
      </c>
      <c r="Y16" s="65">
        <v>239.18327300000001</v>
      </c>
      <c r="Z16" s="65">
        <v>238.15360999999999</v>
      </c>
      <c r="AA16" s="65">
        <v>236.95469700000001</v>
      </c>
      <c r="AB16" s="65">
        <v>235.74221800000001</v>
      </c>
      <c r="AC16" s="65">
        <v>234.67237900000001</v>
      </c>
      <c r="AD16" s="65">
        <v>233.580994</v>
      </c>
      <c r="AE16" s="65">
        <v>232.62991299999999</v>
      </c>
      <c r="AF16" s="65">
        <v>231.689224</v>
      </c>
      <c r="AG16" s="65">
        <v>230.786057</v>
      </c>
      <c r="AH16" s="65">
        <v>229.807816</v>
      </c>
      <c r="AI16" s="65">
        <v>228.86738600000001</v>
      </c>
      <c r="AJ16" s="65">
        <v>227.79281599999999</v>
      </c>
      <c r="AK16" s="65">
        <v>226.700729</v>
      </c>
      <c r="AL16" s="65">
        <v>225.77165199999999</v>
      </c>
      <c r="AM16" s="13">
        <v>-2.1419999999999998E-3</v>
      </c>
    </row>
    <row r="17" spans="1:39" ht="15" customHeight="1" x14ac:dyDescent="0.25">
      <c r="A17" s="7" t="s">
        <v>1100</v>
      </c>
      <c r="B17" s="11" t="s">
        <v>1101</v>
      </c>
      <c r="C17" s="65">
        <v>121.065079</v>
      </c>
      <c r="D17" s="65">
        <v>119.65271</v>
      </c>
      <c r="E17" s="65">
        <v>104.540031</v>
      </c>
      <c r="F17" s="65">
        <v>106.430908</v>
      </c>
      <c r="G17" s="65">
        <v>108.369507</v>
      </c>
      <c r="H17" s="65">
        <v>108.714775</v>
      </c>
      <c r="I17" s="65">
        <v>106.389473</v>
      </c>
      <c r="J17" s="65">
        <v>106.21272999999999</v>
      </c>
      <c r="K17" s="65">
        <v>106.659111</v>
      </c>
      <c r="L17" s="65">
        <v>108.037621</v>
      </c>
      <c r="M17" s="65">
        <v>109.07656900000001</v>
      </c>
      <c r="N17" s="65">
        <v>110.023285</v>
      </c>
      <c r="O17" s="65">
        <v>111.22032900000001</v>
      </c>
      <c r="P17" s="65">
        <v>112.244911</v>
      </c>
      <c r="Q17" s="65">
        <v>113.41185</v>
      </c>
      <c r="R17" s="65">
        <v>114.20051599999999</v>
      </c>
      <c r="S17" s="65">
        <v>114.791229</v>
      </c>
      <c r="T17" s="65">
        <v>115.39868199999999</v>
      </c>
      <c r="U17" s="65">
        <v>115.823898</v>
      </c>
      <c r="V17" s="65">
        <v>116.677246</v>
      </c>
      <c r="W17" s="65">
        <v>117.87305499999999</v>
      </c>
      <c r="X17" s="65">
        <v>118.444748</v>
      </c>
      <c r="Y17" s="65">
        <v>119.318764</v>
      </c>
      <c r="Z17" s="65">
        <v>120.137291</v>
      </c>
      <c r="AA17" s="65">
        <v>120.42527</v>
      </c>
      <c r="AB17" s="65">
        <v>120.317848</v>
      </c>
      <c r="AC17" s="65">
        <v>120.43016799999999</v>
      </c>
      <c r="AD17" s="65">
        <v>120.788422</v>
      </c>
      <c r="AE17" s="65">
        <v>121.527855</v>
      </c>
      <c r="AF17" s="65">
        <v>122.178375</v>
      </c>
      <c r="AG17" s="65">
        <v>122.663872</v>
      </c>
      <c r="AH17" s="65">
        <v>122.880745</v>
      </c>
      <c r="AI17" s="65">
        <v>123.052475</v>
      </c>
      <c r="AJ17" s="65">
        <v>122.75511899999999</v>
      </c>
      <c r="AK17" s="65">
        <v>122.434906</v>
      </c>
      <c r="AL17" s="65">
        <v>122.433426</v>
      </c>
      <c r="AM17" s="13">
        <v>6.7599999999999995E-4</v>
      </c>
    </row>
    <row r="18" spans="1:39" ht="15" customHeight="1" x14ac:dyDescent="0.25">
      <c r="A18" s="7" t="s">
        <v>1102</v>
      </c>
      <c r="B18" s="11" t="s">
        <v>1103</v>
      </c>
      <c r="C18" s="65">
        <v>139.154709</v>
      </c>
      <c r="D18" s="65">
        <v>135.19227599999999</v>
      </c>
      <c r="E18" s="65">
        <v>135.723389</v>
      </c>
      <c r="F18" s="65">
        <v>134.82943700000001</v>
      </c>
      <c r="G18" s="65">
        <v>136.07865899999999</v>
      </c>
      <c r="H18" s="65">
        <v>136.171234</v>
      </c>
      <c r="I18" s="65">
        <v>134.816925</v>
      </c>
      <c r="J18" s="65">
        <v>134.745316</v>
      </c>
      <c r="K18" s="65">
        <v>135.05839499999999</v>
      </c>
      <c r="L18" s="65">
        <v>135.950119</v>
      </c>
      <c r="M18" s="65">
        <v>136.49667400000001</v>
      </c>
      <c r="N18" s="65">
        <v>136.79969800000001</v>
      </c>
      <c r="O18" s="65">
        <v>137.11239599999999</v>
      </c>
      <c r="P18" s="65">
        <v>137.25404399999999</v>
      </c>
      <c r="Q18" s="65">
        <v>137.400711</v>
      </c>
      <c r="R18" s="65">
        <v>137.26267999999999</v>
      </c>
      <c r="S18" s="65">
        <v>136.86305200000001</v>
      </c>
      <c r="T18" s="65">
        <v>136.41807600000001</v>
      </c>
      <c r="U18" s="65">
        <v>135.75404399999999</v>
      </c>
      <c r="V18" s="65">
        <v>135.248062</v>
      </c>
      <c r="W18" s="65">
        <v>134.83966100000001</v>
      </c>
      <c r="X18" s="65">
        <v>134.07019</v>
      </c>
      <c r="Y18" s="65">
        <v>133.54882799999999</v>
      </c>
      <c r="Z18" s="65">
        <v>133.14372299999999</v>
      </c>
      <c r="AA18" s="65">
        <v>132.68708799999999</v>
      </c>
      <c r="AB18" s="65">
        <v>132.35708600000001</v>
      </c>
      <c r="AC18" s="65">
        <v>132.36256399999999</v>
      </c>
      <c r="AD18" s="65">
        <v>132.548508</v>
      </c>
      <c r="AE18" s="65">
        <v>133.037735</v>
      </c>
      <c r="AF18" s="65">
        <v>133.59127799999999</v>
      </c>
      <c r="AG18" s="65">
        <v>134.188019</v>
      </c>
      <c r="AH18" s="65">
        <v>134.69976800000001</v>
      </c>
      <c r="AI18" s="65">
        <v>135.20375100000001</v>
      </c>
      <c r="AJ18" s="65">
        <v>135.49774199999999</v>
      </c>
      <c r="AK18" s="65">
        <v>135.73783900000001</v>
      </c>
      <c r="AL18" s="65">
        <v>136.18095400000001</v>
      </c>
      <c r="AM18" s="13">
        <v>2.14E-4</v>
      </c>
    </row>
    <row r="19" spans="1:39" ht="15" customHeight="1" x14ac:dyDescent="0.25">
      <c r="A19" s="7" t="s">
        <v>1104</v>
      </c>
      <c r="B19" s="11" t="s">
        <v>1105</v>
      </c>
      <c r="C19" s="65">
        <v>53.602637999999999</v>
      </c>
      <c r="D19" s="65">
        <v>49.249907999999998</v>
      </c>
      <c r="E19" s="65">
        <v>48.83379</v>
      </c>
      <c r="F19" s="65">
        <v>47.526516000000001</v>
      </c>
      <c r="G19" s="65">
        <v>47.910366000000003</v>
      </c>
      <c r="H19" s="65">
        <v>47.655616999999999</v>
      </c>
      <c r="I19" s="65">
        <v>46.237594999999999</v>
      </c>
      <c r="J19" s="65">
        <v>45.634067999999999</v>
      </c>
      <c r="K19" s="65">
        <v>45.257187000000002</v>
      </c>
      <c r="L19" s="65">
        <v>45.277805000000001</v>
      </c>
      <c r="M19" s="65">
        <v>45.190781000000001</v>
      </c>
      <c r="N19" s="65">
        <v>45.085850000000001</v>
      </c>
      <c r="O19" s="65">
        <v>45.119796999999998</v>
      </c>
      <c r="P19" s="65">
        <v>45.123348</v>
      </c>
      <c r="Q19" s="65">
        <v>45.222019000000003</v>
      </c>
      <c r="R19" s="65">
        <v>45.241782999999998</v>
      </c>
      <c r="S19" s="65">
        <v>45.20673</v>
      </c>
      <c r="T19" s="65">
        <v>45.276730000000001</v>
      </c>
      <c r="U19" s="65">
        <v>45.340313000000002</v>
      </c>
      <c r="V19" s="65">
        <v>45.624499999999998</v>
      </c>
      <c r="W19" s="65">
        <v>46.113757999999997</v>
      </c>
      <c r="X19" s="65">
        <v>46.443306</v>
      </c>
      <c r="Y19" s="65">
        <v>46.911498999999999</v>
      </c>
      <c r="Z19" s="65">
        <v>47.345447999999998</v>
      </c>
      <c r="AA19" s="65">
        <v>47.601460000000003</v>
      </c>
      <c r="AB19" s="65">
        <v>47.834721000000002</v>
      </c>
      <c r="AC19" s="65">
        <v>48.134357000000001</v>
      </c>
      <c r="AD19" s="65">
        <v>48.393444000000002</v>
      </c>
      <c r="AE19" s="65">
        <v>48.806671000000001</v>
      </c>
      <c r="AF19" s="65">
        <v>49.241844</v>
      </c>
      <c r="AG19" s="65">
        <v>49.716225000000001</v>
      </c>
      <c r="AH19" s="65">
        <v>50.110427999999999</v>
      </c>
      <c r="AI19" s="65">
        <v>50.509518</v>
      </c>
      <c r="AJ19" s="65">
        <v>50.744658999999999</v>
      </c>
      <c r="AK19" s="65">
        <v>50.950305999999998</v>
      </c>
      <c r="AL19" s="65">
        <v>51.298893</v>
      </c>
      <c r="AM19" s="13">
        <v>1.1999999999999999E-3</v>
      </c>
    </row>
    <row r="20" spans="1:39" ht="15" customHeight="1" x14ac:dyDescent="0.25">
      <c r="A20" s="7" t="s">
        <v>1106</v>
      </c>
      <c r="B20" s="11" t="s">
        <v>1107</v>
      </c>
      <c r="C20" s="65">
        <v>29.107133999999999</v>
      </c>
      <c r="D20" s="65">
        <v>28.083265000000001</v>
      </c>
      <c r="E20" s="65">
        <v>28.289871000000002</v>
      </c>
      <c r="F20" s="65">
        <v>28.21312</v>
      </c>
      <c r="G20" s="65">
        <v>28.673926999999999</v>
      </c>
      <c r="H20" s="65">
        <v>28.918581</v>
      </c>
      <c r="I20" s="65">
        <v>28.752072999999999</v>
      </c>
      <c r="J20" s="65">
        <v>28.847128000000001</v>
      </c>
      <c r="K20" s="65">
        <v>29.005655000000001</v>
      </c>
      <c r="L20" s="65">
        <v>29.288902</v>
      </c>
      <c r="M20" s="65">
        <v>29.511172999999999</v>
      </c>
      <c r="N20" s="65">
        <v>29.701542</v>
      </c>
      <c r="O20" s="65">
        <v>29.924289999999999</v>
      </c>
      <c r="P20" s="65">
        <v>30.115563999999999</v>
      </c>
      <c r="Q20" s="65">
        <v>30.326281000000002</v>
      </c>
      <c r="R20" s="65">
        <v>30.491854</v>
      </c>
      <c r="S20" s="65">
        <v>30.619181000000001</v>
      </c>
      <c r="T20" s="65">
        <v>30.759007</v>
      </c>
      <c r="U20" s="65">
        <v>30.874744</v>
      </c>
      <c r="V20" s="65">
        <v>31.058702</v>
      </c>
      <c r="W20" s="65">
        <v>31.304842000000001</v>
      </c>
      <c r="X20" s="65">
        <v>31.467894000000001</v>
      </c>
      <c r="Y20" s="65">
        <v>31.685186000000002</v>
      </c>
      <c r="Z20" s="65">
        <v>31.89077</v>
      </c>
      <c r="AA20" s="65">
        <v>32.027393000000004</v>
      </c>
      <c r="AB20" s="65">
        <v>32.156506</v>
      </c>
      <c r="AC20" s="65">
        <v>32.312832</v>
      </c>
      <c r="AD20" s="65">
        <v>32.454945000000002</v>
      </c>
      <c r="AE20" s="65">
        <v>32.660606000000001</v>
      </c>
      <c r="AF20" s="65">
        <v>32.878951999999998</v>
      </c>
      <c r="AG20" s="65">
        <v>33.116005000000001</v>
      </c>
      <c r="AH20" s="65">
        <v>33.325099999999999</v>
      </c>
      <c r="AI20" s="65">
        <v>33.538944000000001</v>
      </c>
      <c r="AJ20" s="65">
        <v>33.689838000000002</v>
      </c>
      <c r="AK20" s="65">
        <v>33.831122999999998</v>
      </c>
      <c r="AL20" s="65">
        <v>34.030659</v>
      </c>
      <c r="AM20" s="13">
        <v>5.666E-3</v>
      </c>
    </row>
    <row r="21" spans="1:39" ht="15" customHeight="1" x14ac:dyDescent="0.25">
      <c r="A21" s="7" t="s">
        <v>1108</v>
      </c>
      <c r="B21" s="11" t="s">
        <v>1109</v>
      </c>
      <c r="C21" s="65">
        <v>33.594768999999999</v>
      </c>
      <c r="D21" s="65">
        <v>31.778313000000001</v>
      </c>
      <c r="E21" s="65">
        <v>32.211624</v>
      </c>
      <c r="F21" s="65">
        <v>32.081161000000002</v>
      </c>
      <c r="G21" s="65">
        <v>32.863022000000001</v>
      </c>
      <c r="H21" s="65">
        <v>33.119861999999998</v>
      </c>
      <c r="I21" s="65">
        <v>32.574989000000002</v>
      </c>
      <c r="J21" s="65">
        <v>32.582194999999999</v>
      </c>
      <c r="K21" s="65">
        <v>32.737022000000003</v>
      </c>
      <c r="L21" s="65">
        <v>33.149344999999997</v>
      </c>
      <c r="M21" s="65">
        <v>33.452309</v>
      </c>
      <c r="N21" s="65">
        <v>33.695456999999998</v>
      </c>
      <c r="O21" s="65">
        <v>34.004601000000001</v>
      </c>
      <c r="P21" s="65">
        <v>34.266227999999998</v>
      </c>
      <c r="Q21" s="65">
        <v>34.562427999999997</v>
      </c>
      <c r="R21" s="65">
        <v>34.783572999999997</v>
      </c>
      <c r="S21" s="65">
        <v>34.928092999999997</v>
      </c>
      <c r="T21" s="65">
        <v>35.101588999999997</v>
      </c>
      <c r="U21" s="65">
        <v>35.235027000000002</v>
      </c>
      <c r="V21" s="65">
        <v>35.504921000000003</v>
      </c>
      <c r="W21" s="65">
        <v>35.884028999999998</v>
      </c>
      <c r="X21" s="65">
        <v>36.108173000000001</v>
      </c>
      <c r="Y21" s="65">
        <v>36.437835999999997</v>
      </c>
      <c r="Z21" s="65">
        <v>36.745522000000001</v>
      </c>
      <c r="AA21" s="65">
        <v>36.923264000000003</v>
      </c>
      <c r="AB21" s="65">
        <v>37.049548999999999</v>
      </c>
      <c r="AC21" s="65">
        <v>37.238987000000002</v>
      </c>
      <c r="AD21" s="65">
        <v>37.446410999999998</v>
      </c>
      <c r="AE21" s="65">
        <v>37.767071000000001</v>
      </c>
      <c r="AF21" s="65">
        <v>38.090426999999998</v>
      </c>
      <c r="AG21" s="65">
        <v>38.421199999999999</v>
      </c>
      <c r="AH21" s="65">
        <v>38.696128999999999</v>
      </c>
      <c r="AI21" s="65">
        <v>38.967274000000003</v>
      </c>
      <c r="AJ21" s="65">
        <v>39.125701999999997</v>
      </c>
      <c r="AK21" s="65">
        <v>39.265326999999999</v>
      </c>
      <c r="AL21" s="65">
        <v>39.517879000000001</v>
      </c>
      <c r="AM21" s="13">
        <v>6.4310000000000001E-3</v>
      </c>
    </row>
    <row r="22" spans="1:39" ht="15" customHeight="1" x14ac:dyDescent="0.25">
      <c r="A22" s="7" t="s">
        <v>1110</v>
      </c>
      <c r="B22" s="11" t="s">
        <v>1111</v>
      </c>
      <c r="C22" s="65">
        <v>11.383008</v>
      </c>
      <c r="D22" s="65">
        <v>10.475676999999999</v>
      </c>
      <c r="E22" s="65">
        <v>10.402087</v>
      </c>
      <c r="F22" s="65">
        <v>10.12195</v>
      </c>
      <c r="G22" s="65">
        <v>10.185784999999999</v>
      </c>
      <c r="H22" s="65">
        <v>10.096973999999999</v>
      </c>
      <c r="I22" s="65">
        <v>9.7478569999999998</v>
      </c>
      <c r="J22" s="65">
        <v>9.5674109999999999</v>
      </c>
      <c r="K22" s="65">
        <v>9.4310679999999998</v>
      </c>
      <c r="L22" s="65">
        <v>9.3733029999999999</v>
      </c>
      <c r="M22" s="65">
        <v>9.2868589999999998</v>
      </c>
      <c r="N22" s="65">
        <v>9.1908860000000008</v>
      </c>
      <c r="O22" s="65">
        <v>9.117699</v>
      </c>
      <c r="P22" s="65">
        <v>9.0332729999999994</v>
      </c>
      <c r="Q22" s="65">
        <v>8.9632889999999996</v>
      </c>
      <c r="R22" s="65">
        <v>8.8748830000000005</v>
      </c>
      <c r="S22" s="65">
        <v>8.7736579999999993</v>
      </c>
      <c r="T22" s="65">
        <v>8.6910919999999994</v>
      </c>
      <c r="U22" s="65">
        <v>8.6057900000000007</v>
      </c>
      <c r="V22" s="65">
        <v>8.5601699999999994</v>
      </c>
      <c r="W22" s="65">
        <v>8.5519350000000003</v>
      </c>
      <c r="X22" s="65">
        <v>8.513401</v>
      </c>
      <c r="Y22" s="65">
        <v>8.5115309999999997</v>
      </c>
      <c r="Z22" s="65">
        <v>8.515606</v>
      </c>
      <c r="AA22" s="65">
        <v>8.5007230000000007</v>
      </c>
      <c r="AB22" s="65">
        <v>8.4949999999999992</v>
      </c>
      <c r="AC22" s="65">
        <v>8.5126030000000004</v>
      </c>
      <c r="AD22" s="65">
        <v>8.5252350000000003</v>
      </c>
      <c r="AE22" s="65">
        <v>8.567399</v>
      </c>
      <c r="AF22" s="65">
        <v>8.6158370000000009</v>
      </c>
      <c r="AG22" s="65">
        <v>8.6736140000000006</v>
      </c>
      <c r="AH22" s="65">
        <v>8.7197080000000007</v>
      </c>
      <c r="AI22" s="65">
        <v>8.7688220000000001</v>
      </c>
      <c r="AJ22" s="65">
        <v>8.7915150000000004</v>
      </c>
      <c r="AK22" s="65">
        <v>8.8109749999999991</v>
      </c>
      <c r="AL22" s="65">
        <v>8.8569209999999998</v>
      </c>
      <c r="AM22" s="13">
        <v>-4.9249999999999997E-3</v>
      </c>
    </row>
    <row r="23" spans="1:39" ht="15" customHeight="1" x14ac:dyDescent="0.25">
      <c r="A23" s="7" t="s">
        <v>1112</v>
      </c>
      <c r="B23" s="11" t="s">
        <v>1113</v>
      </c>
      <c r="C23" s="65">
        <v>67.631607000000002</v>
      </c>
      <c r="D23" s="65">
        <v>61.988686000000001</v>
      </c>
      <c r="E23" s="65">
        <v>61.365260999999997</v>
      </c>
      <c r="F23" s="65">
        <v>60.044150999999999</v>
      </c>
      <c r="G23" s="65">
        <v>59.765255000000003</v>
      </c>
      <c r="H23" s="65">
        <v>57.836970999999998</v>
      </c>
      <c r="I23" s="65">
        <v>56.140396000000003</v>
      </c>
      <c r="J23" s="65">
        <v>56.066901999999999</v>
      </c>
      <c r="K23" s="65">
        <v>56.370410999999997</v>
      </c>
      <c r="L23" s="65">
        <v>57.176945000000003</v>
      </c>
      <c r="M23" s="65">
        <v>57.891070999999997</v>
      </c>
      <c r="N23" s="65">
        <v>58.480927000000001</v>
      </c>
      <c r="O23" s="65">
        <v>59.164299</v>
      </c>
      <c r="P23" s="65">
        <v>59.708145000000002</v>
      </c>
      <c r="Q23" s="65">
        <v>60.295971000000002</v>
      </c>
      <c r="R23" s="65">
        <v>60.084831000000001</v>
      </c>
      <c r="S23" s="65">
        <v>59.857807000000001</v>
      </c>
      <c r="T23" s="65">
        <v>59.803158000000003</v>
      </c>
      <c r="U23" s="65">
        <v>59.785716999999998</v>
      </c>
      <c r="V23" s="65">
        <v>60.123576999999997</v>
      </c>
      <c r="W23" s="65">
        <v>60.637076999999998</v>
      </c>
      <c r="X23" s="65">
        <v>60.871825999999999</v>
      </c>
      <c r="Y23" s="65">
        <v>61.300507000000003</v>
      </c>
      <c r="Z23" s="65">
        <v>61.683425999999997</v>
      </c>
      <c r="AA23" s="65">
        <v>61.825329000000004</v>
      </c>
      <c r="AB23" s="65">
        <v>57.845154000000001</v>
      </c>
      <c r="AC23" s="65">
        <v>54.443077000000002</v>
      </c>
      <c r="AD23" s="65">
        <v>51.559623999999999</v>
      </c>
      <c r="AE23" s="65">
        <v>49.417782000000003</v>
      </c>
      <c r="AF23" s="65">
        <v>47.878802999999998</v>
      </c>
      <c r="AG23" s="65">
        <v>46.639052999999997</v>
      </c>
      <c r="AH23" s="65">
        <v>45.550700999999997</v>
      </c>
      <c r="AI23" s="65">
        <v>44.649054999999997</v>
      </c>
      <c r="AJ23" s="65">
        <v>43.771622000000001</v>
      </c>
      <c r="AK23" s="65">
        <v>43.002102000000001</v>
      </c>
      <c r="AL23" s="65">
        <v>42.473224999999999</v>
      </c>
      <c r="AM23" s="13">
        <v>-1.1058E-2</v>
      </c>
    </row>
    <row r="24" spans="1:39" ht="15" customHeight="1" x14ac:dyDescent="0.25">
      <c r="A24" s="7" t="s">
        <v>1114</v>
      </c>
      <c r="B24" s="11" t="s">
        <v>1115</v>
      </c>
      <c r="C24" s="65">
        <v>3.9986709999999999</v>
      </c>
      <c r="D24" s="65">
        <v>3.6033970000000002</v>
      </c>
      <c r="E24" s="65">
        <v>3.503593</v>
      </c>
      <c r="F24" s="65">
        <v>3.288065</v>
      </c>
      <c r="G24" s="65">
        <v>3.1852170000000002</v>
      </c>
      <c r="H24" s="65">
        <v>3.0180729999999998</v>
      </c>
      <c r="I24" s="65">
        <v>2.7706680000000001</v>
      </c>
      <c r="J24" s="65">
        <v>2.5997699999999999</v>
      </c>
      <c r="K24" s="65">
        <v>2.4654060000000002</v>
      </c>
      <c r="L24" s="65">
        <v>2.3732980000000001</v>
      </c>
      <c r="M24" s="65">
        <v>2.2954240000000001</v>
      </c>
      <c r="N24" s="65">
        <v>2.2372130000000001</v>
      </c>
      <c r="O24" s="65">
        <v>2.2078500000000001</v>
      </c>
      <c r="P24" s="65">
        <v>2.1997810000000002</v>
      </c>
      <c r="Q24" s="65">
        <v>2.1898330000000001</v>
      </c>
      <c r="R24" s="65">
        <v>2.171052</v>
      </c>
      <c r="S24" s="65">
        <v>2.1471870000000002</v>
      </c>
      <c r="T24" s="65">
        <v>2.1284869999999998</v>
      </c>
      <c r="U24" s="65">
        <v>2.1121310000000002</v>
      </c>
      <c r="V24" s="65">
        <v>2.10981</v>
      </c>
      <c r="W24" s="65">
        <v>2.1204710000000002</v>
      </c>
      <c r="X24" s="65">
        <v>2.1261830000000002</v>
      </c>
      <c r="Y24" s="65">
        <v>2.1415310000000001</v>
      </c>
      <c r="Z24" s="65">
        <v>2.1571929999999999</v>
      </c>
      <c r="AA24" s="65">
        <v>2.1656740000000001</v>
      </c>
      <c r="AB24" s="65">
        <v>2.173581</v>
      </c>
      <c r="AC24" s="65">
        <v>2.1847750000000001</v>
      </c>
      <c r="AD24" s="65">
        <v>2.194404</v>
      </c>
      <c r="AE24" s="65">
        <v>2.2113</v>
      </c>
      <c r="AF24" s="65">
        <v>2.2294640000000001</v>
      </c>
      <c r="AG24" s="65">
        <v>2.249657</v>
      </c>
      <c r="AH24" s="65">
        <v>2.2665120000000001</v>
      </c>
      <c r="AI24" s="65">
        <v>2.2838989999999999</v>
      </c>
      <c r="AJ24" s="65">
        <v>2.2941579999999999</v>
      </c>
      <c r="AK24" s="65">
        <v>2.3033939999999999</v>
      </c>
      <c r="AL24" s="65">
        <v>2.3193809999999999</v>
      </c>
      <c r="AM24" s="13">
        <v>-1.2874999999999999E-2</v>
      </c>
    </row>
    <row r="25" spans="1:39" ht="15" customHeight="1" x14ac:dyDescent="0.25">
      <c r="A25" s="7" t="s">
        <v>1116</v>
      </c>
      <c r="B25" s="11" t="s">
        <v>1117</v>
      </c>
      <c r="C25" s="65">
        <v>14.249587999999999</v>
      </c>
      <c r="D25" s="65">
        <v>13.2676</v>
      </c>
      <c r="E25" s="65">
        <v>13.345737</v>
      </c>
      <c r="F25" s="65">
        <v>13.169741</v>
      </c>
      <c r="G25" s="65">
        <v>13.445163000000001</v>
      </c>
      <c r="H25" s="65">
        <v>13.526666000000001</v>
      </c>
      <c r="I25" s="65">
        <v>13.258521999999999</v>
      </c>
      <c r="J25" s="65">
        <v>13.246867</v>
      </c>
      <c r="K25" s="65">
        <v>13.325491</v>
      </c>
      <c r="L25" s="65">
        <v>13.547418</v>
      </c>
      <c r="M25" s="65">
        <v>13.760415</v>
      </c>
      <c r="N25" s="65">
        <v>13.986109000000001</v>
      </c>
      <c r="O25" s="65">
        <v>14.270624</v>
      </c>
      <c r="P25" s="65">
        <v>14.554729999999999</v>
      </c>
      <c r="Q25" s="65">
        <v>14.835622000000001</v>
      </c>
      <c r="R25" s="65">
        <v>15.053839</v>
      </c>
      <c r="S25" s="65">
        <v>15.216415</v>
      </c>
      <c r="T25" s="65">
        <v>15.379353</v>
      </c>
      <c r="U25" s="65">
        <v>15.512855999999999</v>
      </c>
      <c r="V25" s="65">
        <v>15.699992</v>
      </c>
      <c r="W25" s="65">
        <v>15.937569999999999</v>
      </c>
      <c r="X25" s="65">
        <v>16.100204000000002</v>
      </c>
      <c r="Y25" s="65">
        <v>16.310181</v>
      </c>
      <c r="Z25" s="65">
        <v>16.508275999999999</v>
      </c>
      <c r="AA25" s="65">
        <v>16.643774000000001</v>
      </c>
      <c r="AB25" s="65">
        <v>16.769293000000001</v>
      </c>
      <c r="AC25" s="65">
        <v>16.917717</v>
      </c>
      <c r="AD25" s="65">
        <v>17.052848999999998</v>
      </c>
      <c r="AE25" s="65">
        <v>17.242626000000001</v>
      </c>
      <c r="AF25" s="65">
        <v>17.440453999999999</v>
      </c>
      <c r="AG25" s="65">
        <v>17.651478000000001</v>
      </c>
      <c r="AH25" s="65">
        <v>17.833241999999998</v>
      </c>
      <c r="AI25" s="65">
        <v>18.015898</v>
      </c>
      <c r="AJ25" s="65">
        <v>18.138625999999999</v>
      </c>
      <c r="AK25" s="65">
        <v>18.249825999999999</v>
      </c>
      <c r="AL25" s="65">
        <v>18.411722000000001</v>
      </c>
      <c r="AM25" s="13">
        <v>9.6839999999999999E-3</v>
      </c>
    </row>
    <row r="26" spans="1:39" ht="15" customHeight="1" x14ac:dyDescent="0.25">
      <c r="A26" s="7" t="s">
        <v>1118</v>
      </c>
      <c r="B26" s="11" t="s">
        <v>1119</v>
      </c>
      <c r="C26" s="65">
        <v>43.494819999999997</v>
      </c>
      <c r="D26" s="65">
        <v>39.657134999999997</v>
      </c>
      <c r="E26" s="65">
        <v>39.052737999999998</v>
      </c>
      <c r="F26" s="65">
        <v>37.774433000000002</v>
      </c>
      <c r="G26" s="65">
        <v>37.745826999999998</v>
      </c>
      <c r="H26" s="65">
        <v>37.192131000000003</v>
      </c>
      <c r="I26" s="65">
        <v>35.784855</v>
      </c>
      <c r="J26" s="65">
        <v>35.132080000000002</v>
      </c>
      <c r="K26" s="65">
        <v>34.728591999999999</v>
      </c>
      <c r="L26" s="65">
        <v>34.729835999999999</v>
      </c>
      <c r="M26" s="65">
        <v>34.709862000000001</v>
      </c>
      <c r="N26" s="65">
        <v>34.722233000000003</v>
      </c>
      <c r="O26" s="65">
        <v>34.914799000000002</v>
      </c>
      <c r="P26" s="65">
        <v>35.162075000000002</v>
      </c>
      <c r="Q26" s="65">
        <v>35.525215000000003</v>
      </c>
      <c r="R26" s="65">
        <v>35.869953000000002</v>
      </c>
      <c r="S26" s="65">
        <v>36.213836999999998</v>
      </c>
      <c r="T26" s="65">
        <v>36.660049000000001</v>
      </c>
      <c r="U26" s="65">
        <v>37.112552999999998</v>
      </c>
      <c r="V26" s="65">
        <v>37.761814000000001</v>
      </c>
      <c r="W26" s="65">
        <v>38.562759</v>
      </c>
      <c r="X26" s="65">
        <v>39.202744000000003</v>
      </c>
      <c r="Y26" s="65">
        <v>39.963894000000003</v>
      </c>
      <c r="Z26" s="65">
        <v>40.677489999999999</v>
      </c>
      <c r="AA26" s="65">
        <v>41.202164000000003</v>
      </c>
      <c r="AB26" s="65">
        <v>41.619961000000004</v>
      </c>
      <c r="AC26" s="65">
        <v>41.807789</v>
      </c>
      <c r="AD26" s="65">
        <v>41.944659999999999</v>
      </c>
      <c r="AE26" s="65">
        <v>42.187365999999997</v>
      </c>
      <c r="AF26" s="65">
        <v>42.438667000000002</v>
      </c>
      <c r="AG26" s="65">
        <v>42.705745999999998</v>
      </c>
      <c r="AH26" s="65">
        <v>42.905971999999998</v>
      </c>
      <c r="AI26" s="65">
        <v>43.101246000000003</v>
      </c>
      <c r="AJ26" s="65">
        <v>43.161803999999997</v>
      </c>
      <c r="AK26" s="65">
        <v>43.202945999999997</v>
      </c>
      <c r="AL26" s="65">
        <v>43.381568999999999</v>
      </c>
      <c r="AM26" s="13">
        <v>2.6440000000000001E-3</v>
      </c>
    </row>
    <row r="27" spans="1:39" ht="15" customHeight="1" x14ac:dyDescent="0.25">
      <c r="A27" s="7" t="s">
        <v>1120</v>
      </c>
      <c r="B27" s="11" t="s">
        <v>1121</v>
      </c>
      <c r="C27" s="65">
        <v>16.768969999999999</v>
      </c>
      <c r="D27" s="65">
        <v>15.136963</v>
      </c>
      <c r="E27" s="65">
        <v>14.732224</v>
      </c>
      <c r="F27" s="65">
        <v>14.065662</v>
      </c>
      <c r="G27" s="65">
        <v>13.846047</v>
      </c>
      <c r="H27" s="65">
        <v>13.413309999999999</v>
      </c>
      <c r="I27" s="65">
        <v>12.657476000000001</v>
      </c>
      <c r="J27" s="65">
        <v>12.156628</v>
      </c>
      <c r="K27" s="65">
        <v>11.728319000000001</v>
      </c>
      <c r="L27" s="65">
        <v>11.420681</v>
      </c>
      <c r="M27" s="65">
        <v>11.087069</v>
      </c>
      <c r="N27" s="65">
        <v>10.749669000000001</v>
      </c>
      <c r="O27" s="65">
        <v>10.455138</v>
      </c>
      <c r="P27" s="65">
        <v>10.159146</v>
      </c>
      <c r="Q27" s="65">
        <v>9.8861849999999993</v>
      </c>
      <c r="R27" s="65">
        <v>9.5955879999999993</v>
      </c>
      <c r="S27" s="65">
        <v>9.2950079999999993</v>
      </c>
      <c r="T27" s="65">
        <v>9.014507</v>
      </c>
      <c r="U27" s="65">
        <v>8.7280359999999995</v>
      </c>
      <c r="V27" s="65">
        <v>8.4803180000000005</v>
      </c>
      <c r="W27" s="65">
        <v>8.2593650000000007</v>
      </c>
      <c r="X27" s="65">
        <v>7.9936699999999998</v>
      </c>
      <c r="Y27" s="65">
        <v>7.7595489999999998</v>
      </c>
      <c r="Z27" s="65">
        <v>7.5253100000000002</v>
      </c>
      <c r="AA27" s="65">
        <v>7.2657129999999999</v>
      </c>
      <c r="AB27" s="65">
        <v>7.0003130000000002</v>
      </c>
      <c r="AC27" s="65">
        <v>6.7645479999999996</v>
      </c>
      <c r="AD27" s="65">
        <v>6.5315019999999997</v>
      </c>
      <c r="AE27" s="65">
        <v>6.3184769999999997</v>
      </c>
      <c r="AF27" s="65">
        <v>6.1052379999999999</v>
      </c>
      <c r="AG27" s="65">
        <v>5.8866750000000003</v>
      </c>
      <c r="AH27" s="65">
        <v>5.652056</v>
      </c>
      <c r="AI27" s="65">
        <v>5.4063939999999997</v>
      </c>
      <c r="AJ27" s="65">
        <v>5.1328149999999999</v>
      </c>
      <c r="AK27" s="65">
        <v>4.8431689999999996</v>
      </c>
      <c r="AL27" s="65">
        <v>4.5559120000000002</v>
      </c>
      <c r="AM27" s="13">
        <v>-3.4699000000000001E-2</v>
      </c>
    </row>
    <row r="28" spans="1:39" ht="15" customHeight="1" x14ac:dyDescent="0.25">
      <c r="A28" s="7" t="s">
        <v>1122</v>
      </c>
      <c r="B28" s="11" t="s">
        <v>1123</v>
      </c>
      <c r="C28" s="65">
        <v>17.323813999999999</v>
      </c>
      <c r="D28" s="65">
        <v>15.416751</v>
      </c>
      <c r="E28" s="65">
        <v>16.893764000000001</v>
      </c>
      <c r="F28" s="65">
        <v>16.903207999999999</v>
      </c>
      <c r="G28" s="65">
        <v>16.934501999999998</v>
      </c>
      <c r="H28" s="65">
        <v>16.918299000000001</v>
      </c>
      <c r="I28" s="65">
        <v>16.491607999999999</v>
      </c>
      <c r="J28" s="65">
        <v>16.321424</v>
      </c>
      <c r="K28" s="65">
        <v>16.200039</v>
      </c>
      <c r="L28" s="65">
        <v>16.194946000000002</v>
      </c>
      <c r="M28" s="65">
        <v>16.112358</v>
      </c>
      <c r="N28" s="65">
        <v>15.976298999999999</v>
      </c>
      <c r="O28" s="65">
        <v>15.847170999999999</v>
      </c>
      <c r="P28" s="65">
        <v>15.669688000000001</v>
      </c>
      <c r="Q28" s="65">
        <v>15.492513000000001</v>
      </c>
      <c r="R28" s="65">
        <v>15.262301000000001</v>
      </c>
      <c r="S28" s="65">
        <v>14.990368999999999</v>
      </c>
      <c r="T28" s="65">
        <v>14.734302</v>
      </c>
      <c r="U28" s="65">
        <v>14.472631</v>
      </c>
      <c r="V28" s="65">
        <v>14.279683</v>
      </c>
      <c r="W28" s="65">
        <v>14.13918</v>
      </c>
      <c r="X28" s="65">
        <v>13.938623</v>
      </c>
      <c r="Y28" s="65">
        <v>13.800219</v>
      </c>
      <c r="Z28" s="65">
        <v>13.674777000000001</v>
      </c>
      <c r="AA28" s="65">
        <v>13.517944999999999</v>
      </c>
      <c r="AB28" s="65">
        <v>13.379353999999999</v>
      </c>
      <c r="AC28" s="65">
        <v>13.279275</v>
      </c>
      <c r="AD28" s="65">
        <v>13.17977</v>
      </c>
      <c r="AE28" s="65">
        <v>13.134245</v>
      </c>
      <c r="AF28" s="65">
        <v>13.106083999999999</v>
      </c>
      <c r="AG28" s="65">
        <v>13.099131</v>
      </c>
      <c r="AH28" s="65">
        <v>13.081723999999999</v>
      </c>
      <c r="AI28" s="65">
        <v>13.076165</v>
      </c>
      <c r="AJ28" s="65">
        <v>13.036871</v>
      </c>
      <c r="AK28" s="65">
        <v>12.997092</v>
      </c>
      <c r="AL28" s="65">
        <v>13.001533</v>
      </c>
      <c r="AM28" s="13">
        <v>-4.999E-3</v>
      </c>
    </row>
    <row r="29" spans="1:39" ht="15" customHeight="1" x14ac:dyDescent="0.25">
      <c r="A29" s="7" t="s">
        <v>1124</v>
      </c>
      <c r="B29" s="11" t="s">
        <v>1125</v>
      </c>
      <c r="C29" s="65">
        <v>223.72108499999999</v>
      </c>
      <c r="D29" s="65">
        <v>210.395264</v>
      </c>
      <c r="E29" s="65">
        <v>219.06823700000001</v>
      </c>
      <c r="F29" s="65">
        <v>218.19956999999999</v>
      </c>
      <c r="G29" s="65">
        <v>223.064346</v>
      </c>
      <c r="H29" s="65">
        <v>224.936127</v>
      </c>
      <c r="I29" s="65">
        <v>221.621994</v>
      </c>
      <c r="J29" s="65">
        <v>222.00865200000001</v>
      </c>
      <c r="K29" s="65">
        <v>223.074127</v>
      </c>
      <c r="L29" s="65">
        <v>225.84079</v>
      </c>
      <c r="M29" s="65">
        <v>227.82044999999999</v>
      </c>
      <c r="N29" s="65">
        <v>229.17231799999999</v>
      </c>
      <c r="O29" s="65">
        <v>231.06626900000001</v>
      </c>
      <c r="P29" s="65">
        <v>232.720428</v>
      </c>
      <c r="Q29" s="65">
        <v>234.33909600000001</v>
      </c>
      <c r="R29" s="65">
        <v>234.984848</v>
      </c>
      <c r="S29" s="65">
        <v>235.11296100000001</v>
      </c>
      <c r="T29" s="65">
        <v>235.560013</v>
      </c>
      <c r="U29" s="65">
        <v>235.888443</v>
      </c>
      <c r="V29" s="65">
        <v>237.19584699999999</v>
      </c>
      <c r="W29" s="65">
        <v>239.239441</v>
      </c>
      <c r="X29" s="65">
        <v>240.13052400000001</v>
      </c>
      <c r="Y29" s="65">
        <v>241.67837499999999</v>
      </c>
      <c r="Z29" s="65">
        <v>243.13566599999999</v>
      </c>
      <c r="AA29" s="65">
        <v>243.53646900000001</v>
      </c>
      <c r="AB29" s="65">
        <v>243.38610800000001</v>
      </c>
      <c r="AC29" s="65">
        <v>243.20542900000001</v>
      </c>
      <c r="AD29" s="65">
        <v>243.18428</v>
      </c>
      <c r="AE29" s="65">
        <v>243.87274199999999</v>
      </c>
      <c r="AF29" s="65">
        <v>244.41841099999999</v>
      </c>
      <c r="AG29" s="65">
        <v>244.93992600000001</v>
      </c>
      <c r="AH29" s="65">
        <v>244.90162699999999</v>
      </c>
      <c r="AI29" s="65">
        <v>244.562973</v>
      </c>
      <c r="AJ29" s="65">
        <v>243.27607699999999</v>
      </c>
      <c r="AK29" s="65">
        <v>241.845856</v>
      </c>
      <c r="AL29" s="65">
        <v>240.98577900000001</v>
      </c>
      <c r="AM29" s="13">
        <v>4.0010000000000002E-3</v>
      </c>
    </row>
    <row r="30" spans="1:39" ht="15" customHeight="1" x14ac:dyDescent="0.25">
      <c r="A30" s="7" t="s">
        <v>1126</v>
      </c>
      <c r="B30" s="11" t="s">
        <v>1127</v>
      </c>
      <c r="C30" s="65">
        <v>-0.297485</v>
      </c>
      <c r="D30" s="65">
        <v>0.25311299999999998</v>
      </c>
      <c r="E30" s="65">
        <v>0.26788299999999998</v>
      </c>
      <c r="F30" s="65">
        <v>0.26776100000000003</v>
      </c>
      <c r="G30" s="65">
        <v>0.26397700000000002</v>
      </c>
      <c r="H30" s="65">
        <v>0.260986</v>
      </c>
      <c r="I30" s="65">
        <v>0.258911</v>
      </c>
      <c r="J30" s="65">
        <v>0.25653100000000001</v>
      </c>
      <c r="K30" s="65">
        <v>0.25384499999999999</v>
      </c>
      <c r="L30" s="65">
        <v>0.25158700000000001</v>
      </c>
      <c r="M30" s="65">
        <v>0.24975600000000001</v>
      </c>
      <c r="N30" s="65">
        <v>0.247864</v>
      </c>
      <c r="O30" s="65">
        <v>0.245728</v>
      </c>
      <c r="P30" s="65">
        <v>0.244202</v>
      </c>
      <c r="Q30" s="65">
        <v>0.242065</v>
      </c>
      <c r="R30" s="65">
        <v>0.24035599999999999</v>
      </c>
      <c r="S30" s="65">
        <v>0.238342</v>
      </c>
      <c r="T30" s="65">
        <v>0.23596200000000001</v>
      </c>
      <c r="U30" s="65">
        <v>0.23413100000000001</v>
      </c>
      <c r="V30" s="65">
        <v>0.23230000000000001</v>
      </c>
      <c r="W30" s="65">
        <v>0.23107900000000001</v>
      </c>
      <c r="X30" s="65">
        <v>0.229187</v>
      </c>
      <c r="Y30" s="65">
        <v>0.22778300000000001</v>
      </c>
      <c r="Z30" s="65">
        <v>0.22619600000000001</v>
      </c>
      <c r="AA30" s="65">
        <v>0.22467000000000001</v>
      </c>
      <c r="AB30" s="65">
        <v>0.223328</v>
      </c>
      <c r="AC30" s="65">
        <v>0.222412</v>
      </c>
      <c r="AD30" s="65">
        <v>0.220947</v>
      </c>
      <c r="AE30" s="65">
        <v>0.21978800000000001</v>
      </c>
      <c r="AF30" s="65">
        <v>0.21893299999999999</v>
      </c>
      <c r="AG30" s="65">
        <v>0.217834</v>
      </c>
      <c r="AH30" s="65">
        <v>0.21704100000000001</v>
      </c>
      <c r="AI30" s="65">
        <v>0.21606400000000001</v>
      </c>
      <c r="AJ30" s="65">
        <v>0.21496599999999999</v>
      </c>
      <c r="AK30" s="65">
        <v>0.21429400000000001</v>
      </c>
      <c r="AL30" s="65">
        <v>0.213196</v>
      </c>
      <c r="AM30" s="13">
        <v>-5.0350000000000004E-3</v>
      </c>
    </row>
    <row r="31" spans="1:39" ht="15" customHeight="1" x14ac:dyDescent="0.25">
      <c r="A31" s="7" t="s">
        <v>1128</v>
      </c>
      <c r="B31" s="10" t="s">
        <v>1129</v>
      </c>
      <c r="C31" s="142">
        <v>1040.826904</v>
      </c>
      <c r="D31" s="142">
        <v>976.99957300000005</v>
      </c>
      <c r="E31" s="142">
        <v>992.640625</v>
      </c>
      <c r="F31" s="142">
        <v>988.84301800000003</v>
      </c>
      <c r="G31" s="142">
        <v>996.93969700000002</v>
      </c>
      <c r="H31" s="142">
        <v>994.59454300000004</v>
      </c>
      <c r="I31" s="142">
        <v>977.46484399999997</v>
      </c>
      <c r="J31" s="142">
        <v>973.47229000000004</v>
      </c>
      <c r="K31" s="142">
        <v>972.82067900000004</v>
      </c>
      <c r="L31" s="142">
        <v>978.18005400000004</v>
      </c>
      <c r="M31" s="142">
        <v>981.41656499999999</v>
      </c>
      <c r="N31" s="142">
        <v>983.23498500000005</v>
      </c>
      <c r="O31" s="142">
        <v>986.58374000000003</v>
      </c>
      <c r="P31" s="142">
        <v>989.015625</v>
      </c>
      <c r="Q31" s="142">
        <v>991.96984899999995</v>
      </c>
      <c r="R31" s="142">
        <v>992.04303000000004</v>
      </c>
      <c r="S31" s="142">
        <v>990.69970699999999</v>
      </c>
      <c r="T31" s="142">
        <v>990.14935300000002</v>
      </c>
      <c r="U31" s="142">
        <v>989.08233600000005</v>
      </c>
      <c r="V31" s="142">
        <v>991.09283400000004</v>
      </c>
      <c r="W31" s="142">
        <v>995.23681599999998</v>
      </c>
      <c r="X31" s="142">
        <v>995.90344200000004</v>
      </c>
      <c r="Y31" s="142">
        <v>998.77905299999998</v>
      </c>
      <c r="Z31" s="142">
        <v>1001.520264</v>
      </c>
      <c r="AA31" s="142">
        <v>1001.501648</v>
      </c>
      <c r="AB31" s="142">
        <v>996.34985400000005</v>
      </c>
      <c r="AC31" s="142">
        <v>992.48889199999996</v>
      </c>
      <c r="AD31" s="142">
        <v>989.60601799999995</v>
      </c>
      <c r="AE31" s="142">
        <v>989.60156199999994</v>
      </c>
      <c r="AF31" s="142">
        <v>990.12207000000001</v>
      </c>
      <c r="AG31" s="142">
        <v>990.95459000000005</v>
      </c>
      <c r="AH31" s="142">
        <v>990.64855999999997</v>
      </c>
      <c r="AI31" s="142">
        <v>990.21991000000003</v>
      </c>
      <c r="AJ31" s="142">
        <v>987.42437700000005</v>
      </c>
      <c r="AK31" s="142">
        <v>984.38989300000003</v>
      </c>
      <c r="AL31" s="142">
        <v>983.43273899999997</v>
      </c>
      <c r="AM31" s="15">
        <v>1.93E-4</v>
      </c>
    </row>
    <row r="33" spans="1:39" ht="15" customHeight="1" x14ac:dyDescent="0.25">
      <c r="B33" s="10" t="s">
        <v>481</v>
      </c>
    </row>
    <row r="34" spans="1:39" ht="15" customHeight="1" x14ac:dyDescent="0.25">
      <c r="A34" s="7" t="s">
        <v>1130</v>
      </c>
      <c r="B34" s="11" t="s">
        <v>1131</v>
      </c>
      <c r="C34" s="65">
        <v>122.564941</v>
      </c>
      <c r="D34" s="65">
        <v>120.632172</v>
      </c>
      <c r="E34" s="65">
        <v>126.235687</v>
      </c>
      <c r="F34" s="65">
        <v>125.264122</v>
      </c>
      <c r="G34" s="65">
        <v>123.257233</v>
      </c>
      <c r="H34" s="65">
        <v>121.271484</v>
      </c>
      <c r="I34" s="65">
        <v>119.614525</v>
      </c>
      <c r="J34" s="65">
        <v>118.664658</v>
      </c>
      <c r="K34" s="65">
        <v>117.799767</v>
      </c>
      <c r="L34" s="65">
        <v>117.1026</v>
      </c>
      <c r="M34" s="65">
        <v>116.341339</v>
      </c>
      <c r="N34" s="65">
        <v>115.512726</v>
      </c>
      <c r="O34" s="65">
        <v>114.697762</v>
      </c>
      <c r="P34" s="65">
        <v>113.879013</v>
      </c>
      <c r="Q34" s="65">
        <v>113.09214799999999</v>
      </c>
      <c r="R34" s="65">
        <v>112.304688</v>
      </c>
      <c r="S34" s="65">
        <v>111.51106299999999</v>
      </c>
      <c r="T34" s="65">
        <v>110.792877</v>
      </c>
      <c r="U34" s="65">
        <v>110.133301</v>
      </c>
      <c r="V34" s="65">
        <v>109.53286</v>
      </c>
      <c r="W34" s="65">
        <v>108.86393700000001</v>
      </c>
      <c r="X34" s="65">
        <v>108.06476600000001</v>
      </c>
      <c r="Y34" s="65">
        <v>107.33345799999999</v>
      </c>
      <c r="Z34" s="65">
        <v>106.68235</v>
      </c>
      <c r="AA34" s="65">
        <v>105.984238</v>
      </c>
      <c r="AB34" s="65">
        <v>105.32299</v>
      </c>
      <c r="AC34" s="65">
        <v>104.75200700000001</v>
      </c>
      <c r="AD34" s="65">
        <v>104.136375</v>
      </c>
      <c r="AE34" s="65">
        <v>103.517921</v>
      </c>
      <c r="AF34" s="65">
        <v>102.887871</v>
      </c>
      <c r="AG34" s="65">
        <v>102.25509599999999</v>
      </c>
      <c r="AH34" s="65">
        <v>101.592682</v>
      </c>
      <c r="AI34" s="65">
        <v>100.939682</v>
      </c>
      <c r="AJ34" s="65">
        <v>100.255394</v>
      </c>
      <c r="AK34" s="65">
        <v>99.565948000000006</v>
      </c>
      <c r="AL34" s="65">
        <v>98.925445999999994</v>
      </c>
      <c r="AM34" s="13">
        <v>-5.8180000000000003E-3</v>
      </c>
    </row>
    <row r="35" spans="1:39" ht="15" customHeight="1" x14ac:dyDescent="0.25">
      <c r="A35" s="7" t="s">
        <v>1132</v>
      </c>
      <c r="B35" s="11" t="s">
        <v>1133</v>
      </c>
      <c r="C35" s="65">
        <v>82.706183999999993</v>
      </c>
      <c r="D35" s="65">
        <v>79.034110999999996</v>
      </c>
      <c r="E35" s="65">
        <v>71.044715999999994</v>
      </c>
      <c r="F35" s="65">
        <v>71.807952999999998</v>
      </c>
      <c r="G35" s="65">
        <v>72.700546000000003</v>
      </c>
      <c r="H35" s="65">
        <v>72.491271999999995</v>
      </c>
      <c r="I35" s="65">
        <v>70.460639999999998</v>
      </c>
      <c r="J35" s="65">
        <v>69.684937000000005</v>
      </c>
      <c r="K35" s="65">
        <v>69.329780999999997</v>
      </c>
      <c r="L35" s="65">
        <v>69.526816999999994</v>
      </c>
      <c r="M35" s="65">
        <v>69.437042000000005</v>
      </c>
      <c r="N35" s="65">
        <v>69.261497000000006</v>
      </c>
      <c r="O35" s="65">
        <v>69.266479000000004</v>
      </c>
      <c r="P35" s="65">
        <v>69.195023000000006</v>
      </c>
      <c r="Q35" s="65">
        <v>69.198586000000006</v>
      </c>
      <c r="R35" s="65">
        <v>68.976951999999997</v>
      </c>
      <c r="S35" s="65">
        <v>68.648353999999998</v>
      </c>
      <c r="T35" s="65">
        <v>68.432175000000001</v>
      </c>
      <c r="U35" s="65">
        <v>68.130538999999999</v>
      </c>
      <c r="V35" s="65">
        <v>68.064864999999998</v>
      </c>
      <c r="W35" s="65">
        <v>68.189316000000005</v>
      </c>
      <c r="X35" s="65">
        <v>67.984122999999997</v>
      </c>
      <c r="Y35" s="65">
        <v>67.986289999999997</v>
      </c>
      <c r="Z35" s="65">
        <v>67.980118000000004</v>
      </c>
      <c r="AA35" s="65">
        <v>67.729857999999993</v>
      </c>
      <c r="AB35" s="65">
        <v>67.396561000000005</v>
      </c>
      <c r="AC35" s="65">
        <v>67.246032999999997</v>
      </c>
      <c r="AD35" s="65">
        <v>67.186797999999996</v>
      </c>
      <c r="AE35" s="65">
        <v>67.348350999999994</v>
      </c>
      <c r="AF35" s="65">
        <v>67.507132999999996</v>
      </c>
      <c r="AG35" s="65">
        <v>67.653519000000003</v>
      </c>
      <c r="AH35" s="65">
        <v>67.698479000000006</v>
      </c>
      <c r="AI35" s="65">
        <v>67.769638</v>
      </c>
      <c r="AJ35" s="65">
        <v>67.657989999999998</v>
      </c>
      <c r="AK35" s="65">
        <v>67.587401999999997</v>
      </c>
      <c r="AL35" s="65">
        <v>67.756287</v>
      </c>
      <c r="AM35" s="13">
        <v>-4.5180000000000003E-3</v>
      </c>
    </row>
    <row r="36" spans="1:39" ht="15" customHeight="1" x14ac:dyDescent="0.25">
      <c r="A36" s="7" t="s">
        <v>1134</v>
      </c>
      <c r="B36" s="11" t="s">
        <v>1135</v>
      </c>
      <c r="C36" s="65">
        <v>18.568306</v>
      </c>
      <c r="D36" s="65">
        <v>18.715609000000001</v>
      </c>
      <c r="E36" s="65">
        <v>18.785388999999999</v>
      </c>
      <c r="F36" s="65">
        <v>18.612490000000001</v>
      </c>
      <c r="G36" s="65">
        <v>18.455465</v>
      </c>
      <c r="H36" s="65">
        <v>18.26416</v>
      </c>
      <c r="I36" s="65">
        <v>18.129110000000001</v>
      </c>
      <c r="J36" s="65">
        <v>18.107095999999999</v>
      </c>
      <c r="K36" s="65">
        <v>18.132346999999999</v>
      </c>
      <c r="L36" s="65">
        <v>18.181394999999998</v>
      </c>
      <c r="M36" s="65">
        <v>18.216642</v>
      </c>
      <c r="N36" s="65">
        <v>18.226067</v>
      </c>
      <c r="O36" s="65">
        <v>18.209997000000001</v>
      </c>
      <c r="P36" s="65">
        <v>18.209002000000002</v>
      </c>
      <c r="Q36" s="65">
        <v>18.228403</v>
      </c>
      <c r="R36" s="65">
        <v>18.247095000000002</v>
      </c>
      <c r="S36" s="65">
        <v>18.269967999999999</v>
      </c>
      <c r="T36" s="65">
        <v>18.308980999999999</v>
      </c>
      <c r="U36" s="65">
        <v>18.352957</v>
      </c>
      <c r="V36" s="65">
        <v>18.410059</v>
      </c>
      <c r="W36" s="65">
        <v>18.459368000000001</v>
      </c>
      <c r="X36" s="65">
        <v>18.490887000000001</v>
      </c>
      <c r="Y36" s="65">
        <v>18.524384999999999</v>
      </c>
      <c r="Z36" s="65">
        <v>18.570882999999998</v>
      </c>
      <c r="AA36" s="65">
        <v>18.613292999999999</v>
      </c>
      <c r="AB36" s="65">
        <v>18.666128</v>
      </c>
      <c r="AC36" s="65">
        <v>18.728819000000001</v>
      </c>
      <c r="AD36" s="65">
        <v>18.784557</v>
      </c>
      <c r="AE36" s="65">
        <v>18.838933999999998</v>
      </c>
      <c r="AF36" s="65">
        <v>18.881509999999999</v>
      </c>
      <c r="AG36" s="65">
        <v>18.924294</v>
      </c>
      <c r="AH36" s="65">
        <v>18.966850000000001</v>
      </c>
      <c r="AI36" s="65">
        <v>19.014807000000001</v>
      </c>
      <c r="AJ36" s="65">
        <v>19.058449</v>
      </c>
      <c r="AK36" s="65">
        <v>19.098658</v>
      </c>
      <c r="AL36" s="65">
        <v>19.147366000000002</v>
      </c>
      <c r="AM36" s="13">
        <v>6.7100000000000005E-4</v>
      </c>
    </row>
    <row r="37" spans="1:39" ht="15" customHeight="1" x14ac:dyDescent="0.25">
      <c r="A37" s="7" t="s">
        <v>1136</v>
      </c>
      <c r="B37" s="11" t="s">
        <v>1137</v>
      </c>
      <c r="C37" s="65">
        <v>78.557434000000001</v>
      </c>
      <c r="D37" s="65">
        <v>72.998253000000005</v>
      </c>
      <c r="E37" s="65">
        <v>73.042770000000004</v>
      </c>
      <c r="F37" s="65">
        <v>71.589827999999997</v>
      </c>
      <c r="G37" s="65">
        <v>72.464111000000003</v>
      </c>
      <c r="H37" s="65">
        <v>72.049712999999997</v>
      </c>
      <c r="I37" s="65">
        <v>69.813637</v>
      </c>
      <c r="J37" s="65">
        <v>68.816733999999997</v>
      </c>
      <c r="K37" s="65">
        <v>68.193580999999995</v>
      </c>
      <c r="L37" s="65">
        <v>68.187950000000001</v>
      </c>
      <c r="M37" s="65">
        <v>67.879752999999994</v>
      </c>
      <c r="N37" s="65">
        <v>66.298820000000006</v>
      </c>
      <c r="O37" s="65">
        <v>64.996262000000002</v>
      </c>
      <c r="P37" s="65">
        <v>63.712105000000001</v>
      </c>
      <c r="Q37" s="65">
        <v>62.561171999999999</v>
      </c>
      <c r="R37" s="65">
        <v>61.235576999999999</v>
      </c>
      <c r="S37" s="65">
        <v>59.887256999999998</v>
      </c>
      <c r="T37" s="65">
        <v>58.715076000000003</v>
      </c>
      <c r="U37" s="65">
        <v>57.522263000000002</v>
      </c>
      <c r="V37" s="65">
        <v>56.608482000000002</v>
      </c>
      <c r="W37" s="65">
        <v>55.912880000000001</v>
      </c>
      <c r="X37" s="65">
        <v>55.015079</v>
      </c>
      <c r="Y37" s="65">
        <v>54.344368000000003</v>
      </c>
      <c r="Z37" s="65">
        <v>53.689869000000002</v>
      </c>
      <c r="AA37" s="65">
        <v>52.891025999999997</v>
      </c>
      <c r="AB37" s="65">
        <v>51.994072000000003</v>
      </c>
      <c r="AC37" s="65">
        <v>51.284077000000003</v>
      </c>
      <c r="AD37" s="65">
        <v>50.649075000000003</v>
      </c>
      <c r="AE37" s="65">
        <v>50.230392000000002</v>
      </c>
      <c r="AF37" s="65">
        <v>49.863739000000002</v>
      </c>
      <c r="AG37" s="65">
        <v>49.565196999999998</v>
      </c>
      <c r="AH37" s="65">
        <v>49.234772</v>
      </c>
      <c r="AI37" s="65">
        <v>48.951842999999997</v>
      </c>
      <c r="AJ37" s="65">
        <v>48.582740999999999</v>
      </c>
      <c r="AK37" s="65">
        <v>48.250439</v>
      </c>
      <c r="AL37" s="65">
        <v>48.116405</v>
      </c>
      <c r="AM37" s="13">
        <v>-1.2184E-2</v>
      </c>
    </row>
    <row r="38" spans="1:39" ht="15" customHeight="1" x14ac:dyDescent="0.25">
      <c r="A38" s="7" t="s">
        <v>1138</v>
      </c>
      <c r="B38" s="11" t="s">
        <v>1107</v>
      </c>
      <c r="C38" s="65">
        <v>28.811485000000001</v>
      </c>
      <c r="D38" s="65">
        <v>28.353110999999998</v>
      </c>
      <c r="E38" s="65">
        <v>28.530069000000001</v>
      </c>
      <c r="F38" s="65">
        <v>28.304237000000001</v>
      </c>
      <c r="G38" s="65">
        <v>28.377998000000002</v>
      </c>
      <c r="H38" s="65">
        <v>28.311584</v>
      </c>
      <c r="I38" s="65">
        <v>28.06212</v>
      </c>
      <c r="J38" s="65">
        <v>28.080597000000001</v>
      </c>
      <c r="K38" s="65">
        <v>28.190231000000001</v>
      </c>
      <c r="L38" s="65">
        <v>28.384293</v>
      </c>
      <c r="M38" s="65">
        <v>28.530159000000001</v>
      </c>
      <c r="N38" s="65">
        <v>28.617100000000001</v>
      </c>
      <c r="O38" s="65">
        <v>28.695540999999999</v>
      </c>
      <c r="P38" s="65">
        <v>28.789180999999999</v>
      </c>
      <c r="Q38" s="65">
        <v>28.920587999999999</v>
      </c>
      <c r="R38" s="65">
        <v>29.033719999999999</v>
      </c>
      <c r="S38" s="65">
        <v>29.133728000000001</v>
      </c>
      <c r="T38" s="65">
        <v>29.265502999999999</v>
      </c>
      <c r="U38" s="65">
        <v>29.397265999999998</v>
      </c>
      <c r="V38" s="65">
        <v>29.574542999999998</v>
      </c>
      <c r="W38" s="65">
        <v>29.764112000000001</v>
      </c>
      <c r="X38" s="65">
        <v>29.894076999999999</v>
      </c>
      <c r="Y38" s="65">
        <v>30.047668000000002</v>
      </c>
      <c r="Z38" s="65">
        <v>30.213148</v>
      </c>
      <c r="AA38" s="65">
        <v>30.328029999999998</v>
      </c>
      <c r="AB38" s="65">
        <v>30.448775999999999</v>
      </c>
      <c r="AC38" s="65">
        <v>30.601889</v>
      </c>
      <c r="AD38" s="65">
        <v>30.747561999999999</v>
      </c>
      <c r="AE38" s="65">
        <v>30.915265999999999</v>
      </c>
      <c r="AF38" s="65">
        <v>31.082336000000002</v>
      </c>
      <c r="AG38" s="65">
        <v>31.254570000000001</v>
      </c>
      <c r="AH38" s="65">
        <v>31.413848999999999</v>
      </c>
      <c r="AI38" s="65">
        <v>31.576716999999999</v>
      </c>
      <c r="AJ38" s="65">
        <v>31.716452</v>
      </c>
      <c r="AK38" s="65">
        <v>31.846439</v>
      </c>
      <c r="AL38" s="65">
        <v>32.005859000000001</v>
      </c>
      <c r="AM38" s="13">
        <v>3.571E-3</v>
      </c>
    </row>
    <row r="39" spans="1:39" ht="15" customHeight="1" x14ac:dyDescent="0.25">
      <c r="A39" s="7" t="s">
        <v>1139</v>
      </c>
      <c r="B39" s="11" t="s">
        <v>1113</v>
      </c>
      <c r="C39" s="65">
        <v>79.077010999999999</v>
      </c>
      <c r="D39" s="65">
        <v>71.604042000000007</v>
      </c>
      <c r="E39" s="65">
        <v>70.409180000000006</v>
      </c>
      <c r="F39" s="65">
        <v>68.256698999999998</v>
      </c>
      <c r="G39" s="65">
        <v>68.657494</v>
      </c>
      <c r="H39" s="65">
        <v>67.000846999999993</v>
      </c>
      <c r="I39" s="65">
        <v>63.963608000000001</v>
      </c>
      <c r="J39" s="65">
        <v>62.325252999999996</v>
      </c>
      <c r="K39" s="65">
        <v>61.266677999999999</v>
      </c>
      <c r="L39" s="65">
        <v>60.899375999999997</v>
      </c>
      <c r="M39" s="65">
        <v>60.412360999999997</v>
      </c>
      <c r="N39" s="65">
        <v>59.918564000000003</v>
      </c>
      <c r="O39" s="65">
        <v>59.676448999999998</v>
      </c>
      <c r="P39" s="65">
        <v>59.438144999999999</v>
      </c>
      <c r="Q39" s="65">
        <v>59.30489</v>
      </c>
      <c r="R39" s="65">
        <v>56.534962</v>
      </c>
      <c r="S39" s="65">
        <v>54.059097000000001</v>
      </c>
      <c r="T39" s="65">
        <v>52.002518000000002</v>
      </c>
      <c r="U39" s="65">
        <v>50.118155999999999</v>
      </c>
      <c r="V39" s="65">
        <v>48.633983999999998</v>
      </c>
      <c r="W39" s="65">
        <v>47.445971999999998</v>
      </c>
      <c r="X39" s="65">
        <v>46.204783999999997</v>
      </c>
      <c r="Y39" s="65">
        <v>45.254215000000002</v>
      </c>
      <c r="Z39" s="65">
        <v>44.399276999999998</v>
      </c>
      <c r="AA39" s="65">
        <v>43.484543000000002</v>
      </c>
      <c r="AB39" s="65">
        <v>42.113281000000001</v>
      </c>
      <c r="AC39" s="65">
        <v>40.957123000000003</v>
      </c>
      <c r="AD39" s="65">
        <v>39.945296999999997</v>
      </c>
      <c r="AE39" s="65">
        <v>39.181415999999999</v>
      </c>
      <c r="AF39" s="65">
        <v>38.509028999999998</v>
      </c>
      <c r="AG39" s="65">
        <v>37.930016000000002</v>
      </c>
      <c r="AH39" s="65">
        <v>37.360542000000002</v>
      </c>
      <c r="AI39" s="65">
        <v>36.85548</v>
      </c>
      <c r="AJ39" s="65">
        <v>36.313994999999998</v>
      </c>
      <c r="AK39" s="65">
        <v>35.831229999999998</v>
      </c>
      <c r="AL39" s="65">
        <v>35.521518999999998</v>
      </c>
      <c r="AM39" s="13">
        <v>-2.0407000000000002E-2</v>
      </c>
    </row>
    <row r="40" spans="1:39" ht="15" customHeight="1" x14ac:dyDescent="0.25">
      <c r="A40" s="7" t="s">
        <v>1140</v>
      </c>
      <c r="B40" s="11" t="s">
        <v>1105</v>
      </c>
      <c r="C40" s="65">
        <v>95.706481999999994</v>
      </c>
      <c r="D40" s="65">
        <v>89.838425000000001</v>
      </c>
      <c r="E40" s="65">
        <v>90.958175999999995</v>
      </c>
      <c r="F40" s="65">
        <v>89.184700000000007</v>
      </c>
      <c r="G40" s="65">
        <v>90.534003999999996</v>
      </c>
      <c r="H40" s="65">
        <v>90.768630999999999</v>
      </c>
      <c r="I40" s="65">
        <v>88.734084999999993</v>
      </c>
      <c r="J40" s="65">
        <v>88.001244</v>
      </c>
      <c r="K40" s="65">
        <v>87.701706000000001</v>
      </c>
      <c r="L40" s="65">
        <v>88.163353000000001</v>
      </c>
      <c r="M40" s="65">
        <v>88.334380999999993</v>
      </c>
      <c r="N40" s="65">
        <v>88.407211000000004</v>
      </c>
      <c r="O40" s="65">
        <v>88.739151000000007</v>
      </c>
      <c r="P40" s="65">
        <v>89.000907999999995</v>
      </c>
      <c r="Q40" s="65">
        <v>89.392348999999996</v>
      </c>
      <c r="R40" s="65">
        <v>89.283248999999998</v>
      </c>
      <c r="S40" s="65">
        <v>89.053261000000006</v>
      </c>
      <c r="T40" s="65">
        <v>89.010009999999994</v>
      </c>
      <c r="U40" s="65">
        <v>88.898528999999996</v>
      </c>
      <c r="V40" s="65">
        <v>89.139647999999994</v>
      </c>
      <c r="W40" s="65">
        <v>89.665733000000003</v>
      </c>
      <c r="X40" s="65">
        <v>89.790886</v>
      </c>
      <c r="Y40" s="65">
        <v>90.210228000000001</v>
      </c>
      <c r="Z40" s="65">
        <v>90.591758999999996</v>
      </c>
      <c r="AA40" s="65">
        <v>90.669242999999994</v>
      </c>
      <c r="AB40" s="65">
        <v>90.665610999999998</v>
      </c>
      <c r="AC40" s="65">
        <v>90.849525</v>
      </c>
      <c r="AD40" s="65">
        <v>91.03434</v>
      </c>
      <c r="AE40" s="65">
        <v>91.532425000000003</v>
      </c>
      <c r="AF40" s="65">
        <v>92.074614999999994</v>
      </c>
      <c r="AG40" s="65">
        <v>92.697013999999996</v>
      </c>
      <c r="AH40" s="65">
        <v>93.194121999999993</v>
      </c>
      <c r="AI40" s="65">
        <v>93.698554999999999</v>
      </c>
      <c r="AJ40" s="65">
        <v>93.938987999999995</v>
      </c>
      <c r="AK40" s="65">
        <v>94.155051999999998</v>
      </c>
      <c r="AL40" s="65">
        <v>94.664733999999996</v>
      </c>
      <c r="AM40" s="13">
        <v>1.5399999999999999E-3</v>
      </c>
    </row>
    <row r="41" spans="1:39" ht="15" customHeight="1" x14ac:dyDescent="0.25">
      <c r="A41" s="7" t="s">
        <v>1141</v>
      </c>
      <c r="B41" s="11" t="s">
        <v>1142</v>
      </c>
      <c r="C41" s="65">
        <v>55.129447999999996</v>
      </c>
      <c r="D41" s="65">
        <v>49.768242000000001</v>
      </c>
      <c r="E41" s="65">
        <v>48.499405000000003</v>
      </c>
      <c r="F41" s="65">
        <v>46.379897999999997</v>
      </c>
      <c r="G41" s="65">
        <v>46.063842999999999</v>
      </c>
      <c r="H41" s="65">
        <v>45.157004999999998</v>
      </c>
      <c r="I41" s="65">
        <v>43.197524999999999</v>
      </c>
      <c r="J41" s="65">
        <v>42.113171000000001</v>
      </c>
      <c r="K41" s="65">
        <v>41.293083000000003</v>
      </c>
      <c r="L41" s="65">
        <v>40.890484000000001</v>
      </c>
      <c r="M41" s="65">
        <v>40.430560999999997</v>
      </c>
      <c r="N41" s="65">
        <v>40.014439000000003</v>
      </c>
      <c r="O41" s="65">
        <v>39.736972999999999</v>
      </c>
      <c r="P41" s="65">
        <v>39.515217</v>
      </c>
      <c r="Q41" s="65">
        <v>39.387016000000003</v>
      </c>
      <c r="R41" s="65">
        <v>39.188991999999999</v>
      </c>
      <c r="S41" s="65">
        <v>38.969681000000001</v>
      </c>
      <c r="T41" s="65">
        <v>38.870235000000001</v>
      </c>
      <c r="U41" s="65">
        <v>38.713028000000001</v>
      </c>
      <c r="V41" s="65">
        <v>38.682896</v>
      </c>
      <c r="W41" s="65">
        <v>38.821326999999997</v>
      </c>
      <c r="X41" s="65">
        <v>38.772472</v>
      </c>
      <c r="Y41" s="65">
        <v>38.835712000000001</v>
      </c>
      <c r="Z41" s="65">
        <v>38.801051999999999</v>
      </c>
      <c r="AA41" s="65">
        <v>38.622031999999997</v>
      </c>
      <c r="AB41" s="65">
        <v>38.357796</v>
      </c>
      <c r="AC41" s="65">
        <v>38.157631000000002</v>
      </c>
      <c r="AD41" s="65">
        <v>37.804313999999998</v>
      </c>
      <c r="AE41" s="65">
        <v>37.570320000000002</v>
      </c>
      <c r="AF41" s="65">
        <v>37.209784999999997</v>
      </c>
      <c r="AG41" s="65">
        <v>36.803299000000003</v>
      </c>
      <c r="AH41" s="65">
        <v>36.197823</v>
      </c>
      <c r="AI41" s="65">
        <v>35.451819999999998</v>
      </c>
      <c r="AJ41" s="65">
        <v>34.457970000000003</v>
      </c>
      <c r="AK41" s="65">
        <v>33.310065999999999</v>
      </c>
      <c r="AL41" s="65">
        <v>32.115391000000002</v>
      </c>
      <c r="AM41" s="13">
        <v>-1.2801E-2</v>
      </c>
    </row>
    <row r="42" spans="1:39" ht="15" customHeight="1" x14ac:dyDescent="0.25">
      <c r="A42" s="7" t="s">
        <v>1143</v>
      </c>
      <c r="B42" s="11" t="s">
        <v>1144</v>
      </c>
      <c r="C42" s="65">
        <v>33.946617000000003</v>
      </c>
      <c r="D42" s="65">
        <v>32.320793000000002</v>
      </c>
      <c r="E42" s="65">
        <v>32.983677</v>
      </c>
      <c r="F42" s="65">
        <v>32.824699000000003</v>
      </c>
      <c r="G42" s="65">
        <v>33.593398999999998</v>
      </c>
      <c r="H42" s="65">
        <v>33.854140999999998</v>
      </c>
      <c r="I42" s="65">
        <v>33.333495999999997</v>
      </c>
      <c r="J42" s="65">
        <v>33.436176000000003</v>
      </c>
      <c r="K42" s="65">
        <v>33.757542000000001</v>
      </c>
      <c r="L42" s="65">
        <v>34.504168999999997</v>
      </c>
      <c r="M42" s="65">
        <v>35.222225000000002</v>
      </c>
      <c r="N42" s="65">
        <v>36.022010999999999</v>
      </c>
      <c r="O42" s="65">
        <v>36.874813000000003</v>
      </c>
      <c r="P42" s="65">
        <v>37.614047999999997</v>
      </c>
      <c r="Q42" s="65">
        <v>38.364303999999997</v>
      </c>
      <c r="R42" s="65">
        <v>38.962353</v>
      </c>
      <c r="S42" s="65">
        <v>39.444592</v>
      </c>
      <c r="T42" s="65">
        <v>39.951881</v>
      </c>
      <c r="U42" s="65">
        <v>40.406104999999997</v>
      </c>
      <c r="V42" s="65">
        <v>40.927394999999997</v>
      </c>
      <c r="W42" s="65">
        <v>41.602488999999998</v>
      </c>
      <c r="X42" s="65">
        <v>42.080795000000002</v>
      </c>
      <c r="Y42" s="65">
        <v>42.685077999999997</v>
      </c>
      <c r="Z42" s="65">
        <v>43.225388000000002</v>
      </c>
      <c r="AA42" s="65">
        <v>43.647506999999997</v>
      </c>
      <c r="AB42" s="65">
        <v>44.086857000000002</v>
      </c>
      <c r="AC42" s="65">
        <v>44.600731000000003</v>
      </c>
      <c r="AD42" s="65">
        <v>45.168765999999998</v>
      </c>
      <c r="AE42" s="65">
        <v>45.888325000000002</v>
      </c>
      <c r="AF42" s="65">
        <v>46.669186000000003</v>
      </c>
      <c r="AG42" s="65">
        <v>47.570663000000003</v>
      </c>
      <c r="AH42" s="65">
        <v>48.447636000000003</v>
      </c>
      <c r="AI42" s="65">
        <v>49.377960000000002</v>
      </c>
      <c r="AJ42" s="65">
        <v>50.247787000000002</v>
      </c>
      <c r="AK42" s="65">
        <v>51.223095000000001</v>
      </c>
      <c r="AL42" s="65">
        <v>52.400387000000002</v>
      </c>
      <c r="AM42" s="13">
        <v>1.4312999999999999E-2</v>
      </c>
    </row>
    <row r="43" spans="1:39" ht="15" customHeight="1" x14ac:dyDescent="0.25">
      <c r="A43" s="7" t="s">
        <v>1145</v>
      </c>
      <c r="B43" s="11" t="s">
        <v>1146</v>
      </c>
      <c r="C43" s="65">
        <v>321.92529300000001</v>
      </c>
      <c r="D43" s="65">
        <v>314.51483200000001</v>
      </c>
      <c r="E43" s="65">
        <v>318.41223100000002</v>
      </c>
      <c r="F43" s="65">
        <v>316.53326399999997</v>
      </c>
      <c r="G43" s="65">
        <v>323.439392</v>
      </c>
      <c r="H43" s="65">
        <v>327.61657700000001</v>
      </c>
      <c r="I43" s="65">
        <v>326.20056199999999</v>
      </c>
      <c r="J43" s="65">
        <v>328.28143299999999</v>
      </c>
      <c r="K43" s="65">
        <v>331.636414</v>
      </c>
      <c r="L43" s="65">
        <v>337.21020499999997</v>
      </c>
      <c r="M43" s="65">
        <v>341.896118</v>
      </c>
      <c r="N43" s="65">
        <v>346.38983200000001</v>
      </c>
      <c r="O43" s="65">
        <v>351.63092</v>
      </c>
      <c r="P43" s="65">
        <v>356.699524</v>
      </c>
      <c r="Q43" s="65">
        <v>362.13696299999998</v>
      </c>
      <c r="R43" s="65">
        <v>366.79913299999998</v>
      </c>
      <c r="S43" s="65">
        <v>370.84527600000001</v>
      </c>
      <c r="T43" s="65">
        <v>375.56643700000001</v>
      </c>
      <c r="U43" s="65">
        <v>380.38980099999998</v>
      </c>
      <c r="V43" s="65">
        <v>386.19986</v>
      </c>
      <c r="W43" s="65">
        <v>393.052887</v>
      </c>
      <c r="X43" s="65">
        <v>398.33605999999997</v>
      </c>
      <c r="Y43" s="65">
        <v>405.07019000000003</v>
      </c>
      <c r="Z43" s="65">
        <v>411.75195300000001</v>
      </c>
      <c r="AA43" s="65">
        <v>417.44683800000001</v>
      </c>
      <c r="AB43" s="65">
        <v>423.30612200000002</v>
      </c>
      <c r="AC43" s="65">
        <v>429.95413200000002</v>
      </c>
      <c r="AD43" s="65">
        <v>436.781158</v>
      </c>
      <c r="AE43" s="65">
        <v>445.00412</v>
      </c>
      <c r="AF43" s="65">
        <v>453.64321899999999</v>
      </c>
      <c r="AG43" s="65">
        <v>462.56353799999999</v>
      </c>
      <c r="AH43" s="65">
        <v>471.24340799999999</v>
      </c>
      <c r="AI43" s="65">
        <v>480.080444</v>
      </c>
      <c r="AJ43" s="65">
        <v>488.17431599999998</v>
      </c>
      <c r="AK43" s="65">
        <v>496.34710699999999</v>
      </c>
      <c r="AL43" s="65">
        <v>505.84356700000001</v>
      </c>
      <c r="AM43" s="13">
        <v>1.4074E-2</v>
      </c>
    </row>
    <row r="44" spans="1:39" ht="15" customHeight="1" x14ac:dyDescent="0.25">
      <c r="A44" s="7" t="s">
        <v>1147</v>
      </c>
      <c r="B44" s="10" t="s">
        <v>1148</v>
      </c>
      <c r="C44" s="142">
        <v>916.99316399999998</v>
      </c>
      <c r="D44" s="142">
        <v>877.77960199999995</v>
      </c>
      <c r="E44" s="142">
        <v>878.90130599999998</v>
      </c>
      <c r="F44" s="142">
        <v>868.75787400000002</v>
      </c>
      <c r="G44" s="142">
        <v>877.54345699999999</v>
      </c>
      <c r="H44" s="142">
        <v>876.78539999999998</v>
      </c>
      <c r="I44" s="142">
        <v>861.509277</v>
      </c>
      <c r="J44" s="142">
        <v>857.51129200000003</v>
      </c>
      <c r="K44" s="142">
        <v>857.30114700000001</v>
      </c>
      <c r="L44" s="142">
        <v>863.050659</v>
      </c>
      <c r="M44" s="142">
        <v>866.70056199999999</v>
      </c>
      <c r="N44" s="142">
        <v>868.668274</v>
      </c>
      <c r="O44" s="142">
        <v>872.52429199999995</v>
      </c>
      <c r="P44" s="142">
        <v>876.05218500000001</v>
      </c>
      <c r="Q44" s="142">
        <v>880.58648700000003</v>
      </c>
      <c r="R44" s="142">
        <v>880.56677200000001</v>
      </c>
      <c r="S44" s="142">
        <v>879.82226600000001</v>
      </c>
      <c r="T44" s="142">
        <v>880.91570999999999</v>
      </c>
      <c r="U44" s="142">
        <v>882.06195100000002</v>
      </c>
      <c r="V44" s="142">
        <v>885.77459699999997</v>
      </c>
      <c r="W44" s="142">
        <v>891.77801499999998</v>
      </c>
      <c r="X44" s="142">
        <v>894.63391100000001</v>
      </c>
      <c r="Y44" s="142">
        <v>900.29162599999995</v>
      </c>
      <c r="Z44" s="142">
        <v>905.90582300000005</v>
      </c>
      <c r="AA44" s="142">
        <v>909.41662599999995</v>
      </c>
      <c r="AB44" s="142">
        <v>912.35815400000001</v>
      </c>
      <c r="AC44" s="142">
        <v>917.13195800000005</v>
      </c>
      <c r="AD44" s="142">
        <v>922.23828100000003</v>
      </c>
      <c r="AE44" s="142">
        <v>930.027466</v>
      </c>
      <c r="AF44" s="142">
        <v>938.32843000000003</v>
      </c>
      <c r="AG44" s="142">
        <v>947.21722399999999</v>
      </c>
      <c r="AH44" s="142">
        <v>955.35015899999996</v>
      </c>
      <c r="AI44" s="142">
        <v>963.71691899999996</v>
      </c>
      <c r="AJ44" s="142">
        <v>970.40411400000005</v>
      </c>
      <c r="AK44" s="142">
        <v>977.21545400000002</v>
      </c>
      <c r="AL44" s="142">
        <v>986.49694799999997</v>
      </c>
      <c r="AM44" s="15">
        <v>3.4399999999999999E-3</v>
      </c>
    </row>
    <row r="47" spans="1:39" ht="15" customHeight="1" x14ac:dyDescent="0.25">
      <c r="B47" s="10" t="s">
        <v>1149</v>
      </c>
    </row>
    <row r="48" spans="1:39" ht="15" customHeight="1" x14ac:dyDescent="0.25">
      <c r="B48" s="10" t="s">
        <v>1150</v>
      </c>
    </row>
    <row r="49" spans="1:39" ht="15" customHeight="1" x14ac:dyDescent="0.25">
      <c r="A49" s="7" t="s">
        <v>1151</v>
      </c>
      <c r="B49" s="11" t="s">
        <v>1152</v>
      </c>
      <c r="C49" s="65">
        <v>255.461533</v>
      </c>
      <c r="D49" s="65">
        <v>248.55810500000001</v>
      </c>
      <c r="E49" s="65">
        <v>244.019623</v>
      </c>
      <c r="F49" s="65">
        <v>249.58161899999999</v>
      </c>
      <c r="G49" s="65">
        <v>252.904785</v>
      </c>
      <c r="H49" s="65">
        <v>251.403854</v>
      </c>
      <c r="I49" s="65">
        <v>249.96614099999999</v>
      </c>
      <c r="J49" s="65">
        <v>250.83909600000001</v>
      </c>
      <c r="K49" s="65">
        <v>250.26710499999999</v>
      </c>
      <c r="L49" s="65">
        <v>249.685822</v>
      </c>
      <c r="M49" s="65">
        <v>248.99475100000001</v>
      </c>
      <c r="N49" s="65">
        <v>247.32084699999999</v>
      </c>
      <c r="O49" s="65">
        <v>243.13703899999999</v>
      </c>
      <c r="P49" s="65">
        <v>242.239395</v>
      </c>
      <c r="Q49" s="65">
        <v>243.04205300000001</v>
      </c>
      <c r="R49" s="65">
        <v>243.67480499999999</v>
      </c>
      <c r="S49" s="65">
        <v>242.96893299999999</v>
      </c>
      <c r="T49" s="65">
        <v>243.49075300000001</v>
      </c>
      <c r="U49" s="65">
        <v>243.19901999999999</v>
      </c>
      <c r="V49" s="65">
        <v>243.688354</v>
      </c>
      <c r="W49" s="65">
        <v>243.79997299999999</v>
      </c>
      <c r="X49" s="65">
        <v>246.145172</v>
      </c>
      <c r="Y49" s="65">
        <v>247.10200499999999</v>
      </c>
      <c r="Z49" s="65">
        <v>246.685562</v>
      </c>
      <c r="AA49" s="65">
        <v>248.61054999999999</v>
      </c>
      <c r="AB49" s="65">
        <v>249.12690699999999</v>
      </c>
      <c r="AC49" s="65">
        <v>247.902771</v>
      </c>
      <c r="AD49" s="65">
        <v>248.65315200000001</v>
      </c>
      <c r="AE49" s="65">
        <v>247.28501900000001</v>
      </c>
      <c r="AF49" s="65">
        <v>247.71566799999999</v>
      </c>
      <c r="AG49" s="65">
        <v>248.769531</v>
      </c>
      <c r="AH49" s="65">
        <v>249.67532299999999</v>
      </c>
      <c r="AI49" s="65">
        <v>248.75186199999999</v>
      </c>
      <c r="AJ49" s="65">
        <v>246.899002</v>
      </c>
      <c r="AK49" s="65">
        <v>246.96159399999999</v>
      </c>
      <c r="AL49" s="65">
        <v>247.76179500000001</v>
      </c>
      <c r="AM49" s="13">
        <v>-9.3999999999999994E-5</v>
      </c>
    </row>
    <row r="50" spans="1:39" ht="15" customHeight="1" x14ac:dyDescent="0.25">
      <c r="A50" s="7" t="s">
        <v>1153</v>
      </c>
      <c r="B50" s="11" t="s">
        <v>1154</v>
      </c>
      <c r="C50" s="65">
        <v>93.174591000000007</v>
      </c>
      <c r="D50" s="65">
        <v>92.194999999999993</v>
      </c>
      <c r="E50" s="65">
        <v>91.987999000000002</v>
      </c>
      <c r="F50" s="65">
        <v>94.105362</v>
      </c>
      <c r="G50" s="65">
        <v>97.034499999999994</v>
      </c>
      <c r="H50" s="65">
        <v>98.776947000000007</v>
      </c>
      <c r="I50" s="65">
        <v>99.883835000000005</v>
      </c>
      <c r="J50" s="65">
        <v>101.826813</v>
      </c>
      <c r="K50" s="65">
        <v>103.83187100000001</v>
      </c>
      <c r="L50" s="65">
        <v>105.572723</v>
      </c>
      <c r="M50" s="65">
        <v>106.93151899999999</v>
      </c>
      <c r="N50" s="65">
        <v>108.10833700000001</v>
      </c>
      <c r="O50" s="65">
        <v>109.753784</v>
      </c>
      <c r="P50" s="65">
        <v>111.13439200000001</v>
      </c>
      <c r="Q50" s="65">
        <v>112.710449</v>
      </c>
      <c r="R50" s="65">
        <v>114.30972300000001</v>
      </c>
      <c r="S50" s="65">
        <v>115.555222</v>
      </c>
      <c r="T50" s="65">
        <v>116.92542299999999</v>
      </c>
      <c r="U50" s="65">
        <v>118.297928</v>
      </c>
      <c r="V50" s="65">
        <v>119.929153</v>
      </c>
      <c r="W50" s="65">
        <v>121.752533</v>
      </c>
      <c r="X50" s="65">
        <v>123.44255800000001</v>
      </c>
      <c r="Y50" s="65">
        <v>125.189926</v>
      </c>
      <c r="Z50" s="65">
        <v>127.02767900000001</v>
      </c>
      <c r="AA50" s="65">
        <v>128.712189</v>
      </c>
      <c r="AB50" s="65">
        <v>130.37896699999999</v>
      </c>
      <c r="AC50" s="65">
        <v>132.042328</v>
      </c>
      <c r="AD50" s="65">
        <v>133.72233600000001</v>
      </c>
      <c r="AE50" s="65">
        <v>135.75062600000001</v>
      </c>
      <c r="AF50" s="65">
        <v>137.83753999999999</v>
      </c>
      <c r="AG50" s="65">
        <v>139.898605</v>
      </c>
      <c r="AH50" s="65">
        <v>141.98056</v>
      </c>
      <c r="AI50" s="65">
        <v>144.10000600000001</v>
      </c>
      <c r="AJ50" s="65">
        <v>146.12257399999999</v>
      </c>
      <c r="AK50" s="65">
        <v>148.132507</v>
      </c>
      <c r="AL50" s="65">
        <v>150.55355800000001</v>
      </c>
      <c r="AM50" s="13">
        <v>1.4527999999999999E-2</v>
      </c>
    </row>
    <row r="51" spans="1:39" ht="15" customHeight="1" x14ac:dyDescent="0.25">
      <c r="A51" s="7" t="s">
        <v>1155</v>
      </c>
      <c r="B51" s="11" t="s">
        <v>1156</v>
      </c>
      <c r="C51" s="65">
        <v>68.352142000000001</v>
      </c>
      <c r="D51" s="65">
        <v>64.449173000000002</v>
      </c>
      <c r="E51" s="65">
        <v>61.376480000000001</v>
      </c>
      <c r="F51" s="65">
        <v>61.030991</v>
      </c>
      <c r="G51" s="65">
        <v>61.004683999999997</v>
      </c>
      <c r="H51" s="65">
        <v>60.678890000000003</v>
      </c>
      <c r="I51" s="65">
        <v>59.934013</v>
      </c>
      <c r="J51" s="65">
        <v>59.635703999999997</v>
      </c>
      <c r="K51" s="65">
        <v>59.549056999999998</v>
      </c>
      <c r="L51" s="65">
        <v>58.923611000000001</v>
      </c>
      <c r="M51" s="65">
        <v>57.578643999999997</v>
      </c>
      <c r="N51" s="65">
        <v>56.008609999999997</v>
      </c>
      <c r="O51" s="65">
        <v>55.196959999999997</v>
      </c>
      <c r="P51" s="65">
        <v>54.098728000000001</v>
      </c>
      <c r="Q51" s="65">
        <v>52.730518000000004</v>
      </c>
      <c r="R51" s="65">
        <v>50.940353000000002</v>
      </c>
      <c r="S51" s="65">
        <v>49.262897000000002</v>
      </c>
      <c r="T51" s="65">
        <v>48.212291999999998</v>
      </c>
      <c r="U51" s="65">
        <v>47.411247000000003</v>
      </c>
      <c r="V51" s="65">
        <v>46.582321</v>
      </c>
      <c r="W51" s="65">
        <v>45.781509</v>
      </c>
      <c r="X51" s="65">
        <v>44.883975999999997</v>
      </c>
      <c r="Y51" s="65">
        <v>44.360844</v>
      </c>
      <c r="Z51" s="65">
        <v>43.919144000000003</v>
      </c>
      <c r="AA51" s="65">
        <v>43.146670999999998</v>
      </c>
      <c r="AB51" s="65">
        <v>42.524127999999997</v>
      </c>
      <c r="AC51" s="65">
        <v>42.090041999999997</v>
      </c>
      <c r="AD51" s="65">
        <v>41.767746000000002</v>
      </c>
      <c r="AE51" s="65">
        <v>41.465004</v>
      </c>
      <c r="AF51" s="65">
        <v>41.070380999999998</v>
      </c>
      <c r="AG51" s="65">
        <v>40.755130999999999</v>
      </c>
      <c r="AH51" s="65">
        <v>40.308441000000002</v>
      </c>
      <c r="AI51" s="65">
        <v>39.722926999999999</v>
      </c>
      <c r="AJ51" s="65">
        <v>39.223830999999997</v>
      </c>
      <c r="AK51" s="65">
        <v>38.708710000000004</v>
      </c>
      <c r="AL51" s="65">
        <v>38.257010999999999</v>
      </c>
      <c r="AM51" s="13">
        <v>-1.5223E-2</v>
      </c>
    </row>
    <row r="52" spans="1:39" ht="15" customHeight="1" x14ac:dyDescent="0.25">
      <c r="A52" s="7" t="s">
        <v>1157</v>
      </c>
      <c r="B52" s="11" t="s">
        <v>685</v>
      </c>
      <c r="C52" s="65">
        <v>251.98468</v>
      </c>
      <c r="D52" s="65">
        <v>255.08419799999999</v>
      </c>
      <c r="E52" s="65">
        <v>273.16760299999999</v>
      </c>
      <c r="F52" s="65">
        <v>288.53234900000001</v>
      </c>
      <c r="G52" s="65">
        <v>303.82403599999998</v>
      </c>
      <c r="H52" s="65">
        <v>309.63330100000002</v>
      </c>
      <c r="I52" s="65">
        <v>315.49789399999997</v>
      </c>
      <c r="J52" s="65">
        <v>325.036652</v>
      </c>
      <c r="K52" s="65">
        <v>333.88439899999997</v>
      </c>
      <c r="L52" s="65">
        <v>339.913025</v>
      </c>
      <c r="M52" s="65">
        <v>344.03625499999998</v>
      </c>
      <c r="N52" s="65">
        <v>348.87631199999998</v>
      </c>
      <c r="O52" s="65">
        <v>349.863831</v>
      </c>
      <c r="P52" s="65">
        <v>349.31512500000002</v>
      </c>
      <c r="Q52" s="65">
        <v>349.9151</v>
      </c>
      <c r="R52" s="65">
        <v>350.77963299999999</v>
      </c>
      <c r="S52" s="65">
        <v>350.98547400000001</v>
      </c>
      <c r="T52" s="65">
        <v>351.15792800000003</v>
      </c>
      <c r="U52" s="65">
        <v>349.94210800000002</v>
      </c>
      <c r="V52" s="65">
        <v>351.04684400000002</v>
      </c>
      <c r="W52" s="65">
        <v>351.76223800000002</v>
      </c>
      <c r="X52" s="65">
        <v>352.20812999999998</v>
      </c>
      <c r="Y52" s="65">
        <v>352.40896600000002</v>
      </c>
      <c r="Z52" s="65">
        <v>353.02346799999998</v>
      </c>
      <c r="AA52" s="65">
        <v>354.33300800000001</v>
      </c>
      <c r="AB52" s="65">
        <v>354.439728</v>
      </c>
      <c r="AC52" s="65">
        <v>353.49548299999998</v>
      </c>
      <c r="AD52" s="65">
        <v>351.93182400000001</v>
      </c>
      <c r="AE52" s="65">
        <v>351.57086199999998</v>
      </c>
      <c r="AF52" s="65">
        <v>351.19912699999998</v>
      </c>
      <c r="AG52" s="65">
        <v>350.70486499999998</v>
      </c>
      <c r="AH52" s="65">
        <v>349.51547199999999</v>
      </c>
      <c r="AI52" s="65">
        <v>350.44860799999998</v>
      </c>
      <c r="AJ52" s="65">
        <v>350.79663099999999</v>
      </c>
      <c r="AK52" s="65">
        <v>351.20107999999999</v>
      </c>
      <c r="AL52" s="65">
        <v>353.01611300000002</v>
      </c>
      <c r="AM52" s="13">
        <v>9.6019999999999994E-3</v>
      </c>
    </row>
    <row r="53" spans="1:39" ht="15" customHeight="1" x14ac:dyDescent="0.25">
      <c r="A53" s="7" t="s">
        <v>1158</v>
      </c>
      <c r="B53" s="11" t="s">
        <v>1159</v>
      </c>
      <c r="C53" s="65">
        <v>14.900402</v>
      </c>
      <c r="D53" s="65">
        <v>15.251792</v>
      </c>
      <c r="E53" s="65">
        <v>14.118085000000001</v>
      </c>
      <c r="F53" s="65">
        <v>15.204183</v>
      </c>
      <c r="G53" s="65">
        <v>15.435167</v>
      </c>
      <c r="H53" s="65">
        <v>15.490852</v>
      </c>
      <c r="I53" s="65">
        <v>15.642821</v>
      </c>
      <c r="J53" s="65">
        <v>15.904978</v>
      </c>
      <c r="K53" s="65">
        <v>16.212927000000001</v>
      </c>
      <c r="L53" s="65">
        <v>16.334147999999999</v>
      </c>
      <c r="M53" s="65">
        <v>16.253342</v>
      </c>
      <c r="N53" s="65">
        <v>16.104647</v>
      </c>
      <c r="O53" s="65">
        <v>15.986995</v>
      </c>
      <c r="P53" s="65">
        <v>15.788967</v>
      </c>
      <c r="Q53" s="65">
        <v>15.631069</v>
      </c>
      <c r="R53" s="65">
        <v>15.576582999999999</v>
      </c>
      <c r="S53" s="65">
        <v>15.386633</v>
      </c>
      <c r="T53" s="65">
        <v>15.064515</v>
      </c>
      <c r="U53" s="65">
        <v>14.866719</v>
      </c>
      <c r="V53" s="65">
        <v>14.99715</v>
      </c>
      <c r="W53" s="65">
        <v>15.170347</v>
      </c>
      <c r="X53" s="65">
        <v>15.217841999999999</v>
      </c>
      <c r="Y53" s="65">
        <v>15.204589</v>
      </c>
      <c r="Z53" s="65">
        <v>15.209327999999999</v>
      </c>
      <c r="AA53" s="65">
        <v>15.113712</v>
      </c>
      <c r="AB53" s="65">
        <v>15.11285</v>
      </c>
      <c r="AC53" s="65">
        <v>15.135567</v>
      </c>
      <c r="AD53" s="65">
        <v>15.033913</v>
      </c>
      <c r="AE53" s="65">
        <v>15.085025999999999</v>
      </c>
      <c r="AF53" s="65">
        <v>15.219756</v>
      </c>
      <c r="AG53" s="65">
        <v>15.328806</v>
      </c>
      <c r="AH53" s="65">
        <v>15.445496</v>
      </c>
      <c r="AI53" s="65">
        <v>15.447637</v>
      </c>
      <c r="AJ53" s="65">
        <v>15.415404000000001</v>
      </c>
      <c r="AK53" s="65">
        <v>15.387060999999999</v>
      </c>
      <c r="AL53" s="65">
        <v>15.413766000000001</v>
      </c>
      <c r="AM53" s="13">
        <v>3.1100000000000002E-4</v>
      </c>
    </row>
    <row r="54" spans="1:39" ht="15" customHeight="1" x14ac:dyDescent="0.25">
      <c r="A54" s="7" t="s">
        <v>1160</v>
      </c>
      <c r="B54" s="11" t="s">
        <v>709</v>
      </c>
      <c r="C54" s="65">
        <v>25.081420999999999</v>
      </c>
      <c r="D54" s="65">
        <v>25.937747999999999</v>
      </c>
      <c r="E54" s="65">
        <v>27.841307</v>
      </c>
      <c r="F54" s="65">
        <v>29.006547999999999</v>
      </c>
      <c r="G54" s="65">
        <v>29.680754</v>
      </c>
      <c r="H54" s="65">
        <v>29.925481999999999</v>
      </c>
      <c r="I54" s="65">
        <v>30.688461</v>
      </c>
      <c r="J54" s="65">
        <v>31.463280000000001</v>
      </c>
      <c r="K54" s="65">
        <v>32.04081</v>
      </c>
      <c r="L54" s="65">
        <v>32.454802999999998</v>
      </c>
      <c r="M54" s="65">
        <v>32.652099999999997</v>
      </c>
      <c r="N54" s="65">
        <v>32.897167000000003</v>
      </c>
      <c r="O54" s="65">
        <v>33.094802999999999</v>
      </c>
      <c r="P54" s="65">
        <v>33.120635999999998</v>
      </c>
      <c r="Q54" s="65">
        <v>33.120967999999998</v>
      </c>
      <c r="R54" s="65">
        <v>33.227485999999999</v>
      </c>
      <c r="S54" s="65">
        <v>32.840060999999999</v>
      </c>
      <c r="T54" s="65">
        <v>32.657291000000001</v>
      </c>
      <c r="U54" s="65">
        <v>32.854725000000002</v>
      </c>
      <c r="V54" s="65">
        <v>33.310569999999998</v>
      </c>
      <c r="W54" s="65">
        <v>33.793652000000002</v>
      </c>
      <c r="X54" s="65">
        <v>34.194496000000001</v>
      </c>
      <c r="Y54" s="65">
        <v>34.645287000000003</v>
      </c>
      <c r="Z54" s="65">
        <v>35.108589000000002</v>
      </c>
      <c r="AA54" s="65">
        <v>35.595692</v>
      </c>
      <c r="AB54" s="65">
        <v>36.198157999999999</v>
      </c>
      <c r="AC54" s="65">
        <v>36.798893</v>
      </c>
      <c r="AD54" s="65">
        <v>37.279021999999998</v>
      </c>
      <c r="AE54" s="65">
        <v>38.069454</v>
      </c>
      <c r="AF54" s="65">
        <v>38.905918</v>
      </c>
      <c r="AG54" s="65">
        <v>39.625045999999998</v>
      </c>
      <c r="AH54" s="65">
        <v>40.386662000000001</v>
      </c>
      <c r="AI54" s="65">
        <v>41.045475000000003</v>
      </c>
      <c r="AJ54" s="65">
        <v>41.621712000000002</v>
      </c>
      <c r="AK54" s="65">
        <v>42.214100000000002</v>
      </c>
      <c r="AL54" s="65">
        <v>42.975746000000001</v>
      </c>
      <c r="AM54" s="13">
        <v>1.4962E-2</v>
      </c>
    </row>
    <row r="55" spans="1:39" ht="15" customHeight="1" x14ac:dyDescent="0.25">
      <c r="A55" s="7" t="s">
        <v>1161</v>
      </c>
      <c r="B55" s="11" t="s">
        <v>1162</v>
      </c>
      <c r="C55" s="65">
        <v>113.613663</v>
      </c>
      <c r="D55" s="65">
        <v>107.38587200000001</v>
      </c>
      <c r="E55" s="65">
        <v>105.704193</v>
      </c>
      <c r="F55" s="65">
        <v>100.35952</v>
      </c>
      <c r="G55" s="65">
        <v>100.06800800000001</v>
      </c>
      <c r="H55" s="65">
        <v>101.52525300000001</v>
      </c>
      <c r="I55" s="65">
        <v>104.071602</v>
      </c>
      <c r="J55" s="65">
        <v>105.262619</v>
      </c>
      <c r="K55" s="65">
        <v>104.74597199999999</v>
      </c>
      <c r="L55" s="65">
        <v>103.025955</v>
      </c>
      <c r="M55" s="65">
        <v>100.02572600000001</v>
      </c>
      <c r="N55" s="65">
        <v>96.011261000000005</v>
      </c>
      <c r="O55" s="65">
        <v>93.549850000000006</v>
      </c>
      <c r="P55" s="65">
        <v>90.649399000000003</v>
      </c>
      <c r="Q55" s="65">
        <v>88.514403999999999</v>
      </c>
      <c r="R55" s="65">
        <v>86.349975999999998</v>
      </c>
      <c r="S55" s="65">
        <v>83.172927999999999</v>
      </c>
      <c r="T55" s="65">
        <v>80.868210000000005</v>
      </c>
      <c r="U55" s="65">
        <v>80.047989000000001</v>
      </c>
      <c r="V55" s="65">
        <v>78.486900000000006</v>
      </c>
      <c r="W55" s="65">
        <v>77.391814999999994</v>
      </c>
      <c r="X55" s="65">
        <v>75.4739</v>
      </c>
      <c r="Y55" s="65">
        <v>74.810410000000005</v>
      </c>
      <c r="Z55" s="65">
        <v>74.580146999999997</v>
      </c>
      <c r="AA55" s="65">
        <v>73.038321999999994</v>
      </c>
      <c r="AB55" s="65">
        <v>71.427711000000002</v>
      </c>
      <c r="AC55" s="65">
        <v>69.679496999999998</v>
      </c>
      <c r="AD55" s="65">
        <v>68.488747000000004</v>
      </c>
      <c r="AE55" s="65">
        <v>67.600448999999998</v>
      </c>
      <c r="AF55" s="65">
        <v>66.968010000000007</v>
      </c>
      <c r="AG55" s="65">
        <v>66.579825999999997</v>
      </c>
      <c r="AH55" s="65">
        <v>66.375457999999995</v>
      </c>
      <c r="AI55" s="65">
        <v>65.938522000000006</v>
      </c>
      <c r="AJ55" s="65">
        <v>65.919974999999994</v>
      </c>
      <c r="AK55" s="65">
        <v>65.747748999999999</v>
      </c>
      <c r="AL55" s="65">
        <v>65.657944000000001</v>
      </c>
      <c r="AM55" s="13">
        <v>-1.4364999999999999E-2</v>
      </c>
    </row>
    <row r="56" spans="1:39" ht="15" customHeight="1" x14ac:dyDescent="0.25">
      <c r="A56" s="7" t="s">
        <v>1163</v>
      </c>
      <c r="B56" s="11" t="s">
        <v>1164</v>
      </c>
      <c r="C56" s="65">
        <v>39.199043000000003</v>
      </c>
      <c r="D56" s="65">
        <v>36.003081999999999</v>
      </c>
      <c r="E56" s="65">
        <v>35.748634000000003</v>
      </c>
      <c r="F56" s="65">
        <v>35.601630999999998</v>
      </c>
      <c r="G56" s="65">
        <v>35.843521000000003</v>
      </c>
      <c r="H56" s="65">
        <v>36.352066000000001</v>
      </c>
      <c r="I56" s="65">
        <v>36.403846999999999</v>
      </c>
      <c r="J56" s="65">
        <v>36.258147999999998</v>
      </c>
      <c r="K56" s="65">
        <v>36.349815</v>
      </c>
      <c r="L56" s="65">
        <v>36.703476000000002</v>
      </c>
      <c r="M56" s="65">
        <v>36.363078999999999</v>
      </c>
      <c r="N56" s="65">
        <v>35.598151999999999</v>
      </c>
      <c r="O56" s="65">
        <v>35.366016000000002</v>
      </c>
      <c r="P56" s="65">
        <v>34.953533</v>
      </c>
      <c r="Q56" s="65">
        <v>34.618870000000001</v>
      </c>
      <c r="R56" s="65">
        <v>34.069915999999999</v>
      </c>
      <c r="S56" s="65">
        <v>33.316879</v>
      </c>
      <c r="T56" s="65">
        <v>32.982559000000002</v>
      </c>
      <c r="U56" s="65">
        <v>33.065024999999999</v>
      </c>
      <c r="V56" s="65">
        <v>33.203789</v>
      </c>
      <c r="W56" s="65">
        <v>33.257942</v>
      </c>
      <c r="X56" s="65">
        <v>33.162520999999998</v>
      </c>
      <c r="Y56" s="65">
        <v>33.295676999999998</v>
      </c>
      <c r="Z56" s="65">
        <v>33.667019000000003</v>
      </c>
      <c r="AA56" s="65">
        <v>33.627521999999999</v>
      </c>
      <c r="AB56" s="65">
        <v>33.778979999999997</v>
      </c>
      <c r="AC56" s="65">
        <v>33.737372999999998</v>
      </c>
      <c r="AD56" s="65">
        <v>33.663871999999998</v>
      </c>
      <c r="AE56" s="65">
        <v>33.634391999999998</v>
      </c>
      <c r="AF56" s="65">
        <v>33.541718000000003</v>
      </c>
      <c r="AG56" s="65">
        <v>33.288803000000001</v>
      </c>
      <c r="AH56" s="65">
        <v>32.995811000000003</v>
      </c>
      <c r="AI56" s="65">
        <v>32.817726</v>
      </c>
      <c r="AJ56" s="65">
        <v>32.577266999999999</v>
      </c>
      <c r="AK56" s="65">
        <v>32.354385000000001</v>
      </c>
      <c r="AL56" s="65">
        <v>32.163189000000003</v>
      </c>
      <c r="AM56" s="13">
        <v>-3.3119999999999998E-3</v>
      </c>
    </row>
    <row r="57" spans="1:39" ht="15" customHeight="1" x14ac:dyDescent="0.25">
      <c r="A57" s="7" t="s">
        <v>1165</v>
      </c>
      <c r="B57" s="11" t="s">
        <v>1166</v>
      </c>
      <c r="C57" s="65">
        <v>31.587195999999999</v>
      </c>
      <c r="D57" s="65">
        <v>30.158218000000002</v>
      </c>
      <c r="E57" s="65">
        <v>29.437662</v>
      </c>
      <c r="F57" s="65">
        <v>29.693484999999999</v>
      </c>
      <c r="G57" s="65">
        <v>30.678750999999998</v>
      </c>
      <c r="H57" s="65">
        <v>31.583169999999999</v>
      </c>
      <c r="I57" s="65">
        <v>32.325226000000001</v>
      </c>
      <c r="J57" s="65">
        <v>33.058132000000001</v>
      </c>
      <c r="K57" s="65">
        <v>33.641201000000002</v>
      </c>
      <c r="L57" s="65">
        <v>33.927371999999998</v>
      </c>
      <c r="M57" s="65">
        <v>33.526802000000004</v>
      </c>
      <c r="N57" s="65">
        <v>32.886341000000002</v>
      </c>
      <c r="O57" s="65">
        <v>33.059497999999998</v>
      </c>
      <c r="P57" s="65">
        <v>33.215857999999997</v>
      </c>
      <c r="Q57" s="65">
        <v>33.153441999999998</v>
      </c>
      <c r="R57" s="65">
        <v>33.091380999999998</v>
      </c>
      <c r="S57" s="65">
        <v>33.107886999999998</v>
      </c>
      <c r="T57" s="65">
        <v>33.227229999999999</v>
      </c>
      <c r="U57" s="65">
        <v>33.813552999999999</v>
      </c>
      <c r="V57" s="65">
        <v>33.885337999999997</v>
      </c>
      <c r="W57" s="65">
        <v>33.958286000000001</v>
      </c>
      <c r="X57" s="65">
        <v>33.741425</v>
      </c>
      <c r="Y57" s="65">
        <v>33.934479000000003</v>
      </c>
      <c r="Z57" s="65">
        <v>34.166451000000002</v>
      </c>
      <c r="AA57" s="65">
        <v>34.009300000000003</v>
      </c>
      <c r="AB57" s="65">
        <v>34.120719999999999</v>
      </c>
      <c r="AC57" s="65">
        <v>34.336055999999999</v>
      </c>
      <c r="AD57" s="65">
        <v>34.418011</v>
      </c>
      <c r="AE57" s="65">
        <v>34.528796999999997</v>
      </c>
      <c r="AF57" s="65">
        <v>34.651417000000002</v>
      </c>
      <c r="AG57" s="65">
        <v>34.919933</v>
      </c>
      <c r="AH57" s="65">
        <v>35.191516999999997</v>
      </c>
      <c r="AI57" s="65">
        <v>35.272919000000002</v>
      </c>
      <c r="AJ57" s="65">
        <v>35.539676999999998</v>
      </c>
      <c r="AK57" s="65">
        <v>35.792549000000001</v>
      </c>
      <c r="AL57" s="65">
        <v>36.010387000000001</v>
      </c>
      <c r="AM57" s="13">
        <v>5.2300000000000003E-3</v>
      </c>
    </row>
    <row r="58" spans="1:39" ht="15" customHeight="1" x14ac:dyDescent="0.25">
      <c r="A58" s="7" t="s">
        <v>1167</v>
      </c>
      <c r="B58" s="11" t="s">
        <v>1168</v>
      </c>
      <c r="C58" s="65">
        <v>16.884692999999999</v>
      </c>
      <c r="D58" s="65">
        <v>15.906394000000001</v>
      </c>
      <c r="E58" s="65">
        <v>15.469741000000001</v>
      </c>
      <c r="F58" s="65">
        <v>15.91943</v>
      </c>
      <c r="G58" s="65">
        <v>16.686057999999999</v>
      </c>
      <c r="H58" s="65">
        <v>17.571853999999998</v>
      </c>
      <c r="I58" s="65">
        <v>18.437487000000001</v>
      </c>
      <c r="J58" s="65">
        <v>19.283183999999999</v>
      </c>
      <c r="K58" s="65">
        <v>19.994962999999998</v>
      </c>
      <c r="L58" s="65">
        <v>20.708769</v>
      </c>
      <c r="M58" s="65">
        <v>21.133886</v>
      </c>
      <c r="N58" s="65">
        <v>21.205490000000001</v>
      </c>
      <c r="O58" s="65">
        <v>21.454317</v>
      </c>
      <c r="P58" s="65">
        <v>21.683073</v>
      </c>
      <c r="Q58" s="65">
        <v>21.912431999999999</v>
      </c>
      <c r="R58" s="65">
        <v>22.135729000000001</v>
      </c>
      <c r="S58" s="65">
        <v>22.240473000000001</v>
      </c>
      <c r="T58" s="65">
        <v>22.443595999999999</v>
      </c>
      <c r="U58" s="65">
        <v>22.877898999999999</v>
      </c>
      <c r="V58" s="65">
        <v>23.296330999999999</v>
      </c>
      <c r="W58" s="65">
        <v>23.655014000000001</v>
      </c>
      <c r="X58" s="65">
        <v>23.919979000000001</v>
      </c>
      <c r="Y58" s="65">
        <v>24.347943999999998</v>
      </c>
      <c r="Z58" s="65">
        <v>24.974854000000001</v>
      </c>
      <c r="AA58" s="65">
        <v>25.362148000000001</v>
      </c>
      <c r="AB58" s="65">
        <v>25.746572</v>
      </c>
      <c r="AC58" s="65">
        <v>26.289539000000001</v>
      </c>
      <c r="AD58" s="65">
        <v>26.851610000000001</v>
      </c>
      <c r="AE58" s="65">
        <v>27.433530999999999</v>
      </c>
      <c r="AF58" s="65">
        <v>27.918323999999998</v>
      </c>
      <c r="AG58" s="65">
        <v>28.344449999999998</v>
      </c>
      <c r="AH58" s="65">
        <v>28.774843000000001</v>
      </c>
      <c r="AI58" s="65">
        <v>29.163195000000002</v>
      </c>
      <c r="AJ58" s="65">
        <v>29.494692000000001</v>
      </c>
      <c r="AK58" s="65">
        <v>29.903587000000002</v>
      </c>
      <c r="AL58" s="65">
        <v>30.411128999999999</v>
      </c>
      <c r="AM58" s="13">
        <v>1.9244000000000001E-2</v>
      </c>
    </row>
    <row r="59" spans="1:39" ht="15" customHeight="1" x14ac:dyDescent="0.25">
      <c r="A59" s="7" t="s">
        <v>1169</v>
      </c>
      <c r="B59" s="11" t="s">
        <v>1170</v>
      </c>
      <c r="C59" s="65">
        <v>18.095085000000001</v>
      </c>
      <c r="D59" s="65">
        <v>16.941096999999999</v>
      </c>
      <c r="E59" s="65">
        <v>16.550131</v>
      </c>
      <c r="F59" s="65">
        <v>17.384785000000001</v>
      </c>
      <c r="G59" s="65">
        <v>17.825281</v>
      </c>
      <c r="H59" s="65">
        <v>18.049468999999998</v>
      </c>
      <c r="I59" s="65">
        <v>18.053221000000001</v>
      </c>
      <c r="J59" s="65">
        <v>18.298403</v>
      </c>
      <c r="K59" s="65">
        <v>18.542292</v>
      </c>
      <c r="L59" s="65">
        <v>18.909834</v>
      </c>
      <c r="M59" s="65">
        <v>19.075489000000001</v>
      </c>
      <c r="N59" s="65">
        <v>18.998664999999999</v>
      </c>
      <c r="O59" s="65">
        <v>19.170459999999999</v>
      </c>
      <c r="P59" s="65">
        <v>19.391076999999999</v>
      </c>
      <c r="Q59" s="65">
        <v>19.575855000000001</v>
      </c>
      <c r="R59" s="65">
        <v>19.646806999999999</v>
      </c>
      <c r="S59" s="65">
        <v>19.747456</v>
      </c>
      <c r="T59" s="65">
        <v>19.920553000000002</v>
      </c>
      <c r="U59" s="65">
        <v>20.166</v>
      </c>
      <c r="V59" s="65">
        <v>20.447932999999999</v>
      </c>
      <c r="W59" s="65">
        <v>20.745889999999999</v>
      </c>
      <c r="X59" s="65">
        <v>20.920486</v>
      </c>
      <c r="Y59" s="65">
        <v>21.195001999999999</v>
      </c>
      <c r="Z59" s="65">
        <v>21.499565</v>
      </c>
      <c r="AA59" s="65">
        <v>21.669806000000001</v>
      </c>
      <c r="AB59" s="65">
        <v>21.794222000000001</v>
      </c>
      <c r="AC59" s="65">
        <v>21.998705000000001</v>
      </c>
      <c r="AD59" s="65">
        <v>22.246637</v>
      </c>
      <c r="AE59" s="65">
        <v>22.515716999999999</v>
      </c>
      <c r="AF59" s="65">
        <v>22.739614</v>
      </c>
      <c r="AG59" s="65">
        <v>22.942879000000001</v>
      </c>
      <c r="AH59" s="65">
        <v>23.131201000000001</v>
      </c>
      <c r="AI59" s="65">
        <v>23.325125</v>
      </c>
      <c r="AJ59" s="65">
        <v>23.515684</v>
      </c>
      <c r="AK59" s="65">
        <v>23.751594999999998</v>
      </c>
      <c r="AL59" s="65">
        <v>24.051210000000001</v>
      </c>
      <c r="AM59" s="13">
        <v>1.0359999999999999E-2</v>
      </c>
    </row>
    <row r="60" spans="1:39" ht="15" customHeight="1" x14ac:dyDescent="0.25">
      <c r="A60" s="7" t="s">
        <v>1171</v>
      </c>
      <c r="B60" s="11" t="s">
        <v>1172</v>
      </c>
      <c r="C60" s="65">
        <v>34.830063000000003</v>
      </c>
      <c r="D60" s="65">
        <v>34.235748000000001</v>
      </c>
      <c r="E60" s="65">
        <v>35.923240999999997</v>
      </c>
      <c r="F60" s="65">
        <v>36.516632000000001</v>
      </c>
      <c r="G60" s="65">
        <v>37.974139999999998</v>
      </c>
      <c r="H60" s="65">
        <v>38.445098999999999</v>
      </c>
      <c r="I60" s="65">
        <v>38.014094999999998</v>
      </c>
      <c r="J60" s="65">
        <v>37.749282999999998</v>
      </c>
      <c r="K60" s="65">
        <v>37.904991000000003</v>
      </c>
      <c r="L60" s="65">
        <v>38.085552</v>
      </c>
      <c r="M60" s="65">
        <v>37.867310000000003</v>
      </c>
      <c r="N60" s="65">
        <v>37.7346</v>
      </c>
      <c r="O60" s="65">
        <v>38.079445</v>
      </c>
      <c r="P60" s="65">
        <v>38.204566999999997</v>
      </c>
      <c r="Q60" s="65">
        <v>38.318519999999999</v>
      </c>
      <c r="R60" s="65">
        <v>38.369087</v>
      </c>
      <c r="S60" s="65">
        <v>38.172854999999998</v>
      </c>
      <c r="T60" s="65">
        <v>38.245235000000001</v>
      </c>
      <c r="U60" s="65">
        <v>38.549647999999998</v>
      </c>
      <c r="V60" s="65">
        <v>39.038628000000003</v>
      </c>
      <c r="W60" s="65">
        <v>39.715446</v>
      </c>
      <c r="X60" s="65">
        <v>40.140613999999999</v>
      </c>
      <c r="Y60" s="65">
        <v>40.792534000000003</v>
      </c>
      <c r="Z60" s="65">
        <v>41.668545000000002</v>
      </c>
      <c r="AA60" s="65">
        <v>42.144772000000003</v>
      </c>
      <c r="AB60" s="65">
        <v>42.622559000000003</v>
      </c>
      <c r="AC60" s="65">
        <v>43.052315</v>
      </c>
      <c r="AD60" s="65">
        <v>43.663322000000001</v>
      </c>
      <c r="AE60" s="65">
        <v>44.581108</v>
      </c>
      <c r="AF60" s="65">
        <v>45.355373</v>
      </c>
      <c r="AG60" s="65">
        <v>46.067791</v>
      </c>
      <c r="AH60" s="65">
        <v>46.870368999999997</v>
      </c>
      <c r="AI60" s="65">
        <v>47.561526999999998</v>
      </c>
      <c r="AJ60" s="65">
        <v>48.249381999999997</v>
      </c>
      <c r="AK60" s="65">
        <v>49.039718999999998</v>
      </c>
      <c r="AL60" s="65">
        <v>50.021102999999997</v>
      </c>
      <c r="AM60" s="13">
        <v>1.1214999999999999E-2</v>
      </c>
    </row>
    <row r="61" spans="1:39" ht="15" customHeight="1" x14ac:dyDescent="0.25">
      <c r="A61" s="7" t="s">
        <v>1173</v>
      </c>
      <c r="B61" s="11" t="s">
        <v>1174</v>
      </c>
      <c r="C61" s="65">
        <v>8.9316770000000005</v>
      </c>
      <c r="D61" s="65">
        <v>8.6232050000000005</v>
      </c>
      <c r="E61" s="65">
        <v>8.7748240000000006</v>
      </c>
      <c r="F61" s="65">
        <v>8.9936769999999999</v>
      </c>
      <c r="G61" s="65">
        <v>9.2660929999999997</v>
      </c>
      <c r="H61" s="65">
        <v>9.4383859999999995</v>
      </c>
      <c r="I61" s="65">
        <v>9.5118609999999997</v>
      </c>
      <c r="J61" s="65">
        <v>9.7147249999999996</v>
      </c>
      <c r="K61" s="65">
        <v>9.9385139999999996</v>
      </c>
      <c r="L61" s="65">
        <v>10.173297</v>
      </c>
      <c r="M61" s="65">
        <v>10.306801999999999</v>
      </c>
      <c r="N61" s="65">
        <v>10.337667</v>
      </c>
      <c r="O61" s="65">
        <v>10.458947999999999</v>
      </c>
      <c r="P61" s="65">
        <v>10.611618</v>
      </c>
      <c r="Q61" s="65">
        <v>10.759026</v>
      </c>
      <c r="R61" s="65">
        <v>10.853138</v>
      </c>
      <c r="S61" s="65">
        <v>10.942717999999999</v>
      </c>
      <c r="T61" s="65">
        <v>11.074584</v>
      </c>
      <c r="U61" s="65">
        <v>11.217465000000001</v>
      </c>
      <c r="V61" s="65">
        <v>11.409743000000001</v>
      </c>
      <c r="W61" s="65">
        <v>11.629701000000001</v>
      </c>
      <c r="X61" s="65">
        <v>11.803248</v>
      </c>
      <c r="Y61" s="65">
        <v>11.995088000000001</v>
      </c>
      <c r="Z61" s="65">
        <v>12.201344000000001</v>
      </c>
      <c r="AA61" s="65">
        <v>12.364997000000001</v>
      </c>
      <c r="AB61" s="65">
        <v>12.531376</v>
      </c>
      <c r="AC61" s="65">
        <v>12.726188</v>
      </c>
      <c r="AD61" s="65">
        <v>12.926392999999999</v>
      </c>
      <c r="AE61" s="65">
        <v>13.174158</v>
      </c>
      <c r="AF61" s="65">
        <v>13.410926</v>
      </c>
      <c r="AG61" s="65">
        <v>13.64207</v>
      </c>
      <c r="AH61" s="65">
        <v>13.814049000000001</v>
      </c>
      <c r="AI61" s="65">
        <v>13.993394</v>
      </c>
      <c r="AJ61" s="65">
        <v>14.188488</v>
      </c>
      <c r="AK61" s="65">
        <v>14.433056000000001</v>
      </c>
      <c r="AL61" s="65">
        <v>14.716189999999999</v>
      </c>
      <c r="AM61" s="13">
        <v>1.5845000000000001E-2</v>
      </c>
    </row>
    <row r="62" spans="1:39" ht="15" customHeight="1" x14ac:dyDescent="0.25">
      <c r="A62" s="7" t="s">
        <v>1175</v>
      </c>
      <c r="B62" s="11" t="s">
        <v>1176</v>
      </c>
      <c r="C62" s="65">
        <v>13.757362000000001</v>
      </c>
      <c r="D62" s="65">
        <v>13.320088</v>
      </c>
      <c r="E62" s="65">
        <v>13.562232</v>
      </c>
      <c r="F62" s="65">
        <v>14.333364</v>
      </c>
      <c r="G62" s="65">
        <v>14.698608</v>
      </c>
      <c r="H62" s="65">
        <v>14.878132000000001</v>
      </c>
      <c r="I62" s="65">
        <v>15.051553</v>
      </c>
      <c r="J62" s="65">
        <v>15.590465</v>
      </c>
      <c r="K62" s="65">
        <v>16.165223999999998</v>
      </c>
      <c r="L62" s="65">
        <v>16.669218000000001</v>
      </c>
      <c r="M62" s="65">
        <v>16.99221</v>
      </c>
      <c r="N62" s="65">
        <v>17.115321999999999</v>
      </c>
      <c r="O62" s="65">
        <v>17.151572999999999</v>
      </c>
      <c r="P62" s="65">
        <v>17.138241000000001</v>
      </c>
      <c r="Q62" s="65">
        <v>17.130257</v>
      </c>
      <c r="R62" s="65">
        <v>17.076537999999999</v>
      </c>
      <c r="S62" s="65">
        <v>16.987303000000001</v>
      </c>
      <c r="T62" s="65">
        <v>16.883949000000001</v>
      </c>
      <c r="U62" s="65">
        <v>16.856487000000001</v>
      </c>
      <c r="V62" s="65">
        <v>17.063541000000001</v>
      </c>
      <c r="W62" s="65">
        <v>17.392793999999999</v>
      </c>
      <c r="X62" s="65">
        <v>17.673517</v>
      </c>
      <c r="Y62" s="65">
        <v>17.970078999999998</v>
      </c>
      <c r="Z62" s="65">
        <v>18.264406000000001</v>
      </c>
      <c r="AA62" s="65">
        <v>18.518916999999998</v>
      </c>
      <c r="AB62" s="65">
        <v>18.707695000000001</v>
      </c>
      <c r="AC62" s="65">
        <v>18.880244999999999</v>
      </c>
      <c r="AD62" s="65">
        <v>19.065087999999999</v>
      </c>
      <c r="AE62" s="65">
        <v>19.390474000000001</v>
      </c>
      <c r="AF62" s="65">
        <v>19.749813</v>
      </c>
      <c r="AG62" s="65">
        <v>20.082495000000002</v>
      </c>
      <c r="AH62" s="65">
        <v>20.360233000000001</v>
      </c>
      <c r="AI62" s="65">
        <v>20.538077999999999</v>
      </c>
      <c r="AJ62" s="65">
        <v>20.606286999999998</v>
      </c>
      <c r="AK62" s="65">
        <v>20.722496</v>
      </c>
      <c r="AL62" s="65">
        <v>20.888127999999998</v>
      </c>
      <c r="AM62" s="13">
        <v>1.3321E-2</v>
      </c>
    </row>
    <row r="63" spans="1:39" ht="15" customHeight="1" x14ac:dyDescent="0.25">
      <c r="A63" s="7" t="s">
        <v>1177</v>
      </c>
      <c r="B63" s="11" t="s">
        <v>1178</v>
      </c>
      <c r="C63" s="65">
        <v>32.668357999999998</v>
      </c>
      <c r="D63" s="65">
        <v>30.737728000000001</v>
      </c>
      <c r="E63" s="65">
        <v>30.473661</v>
      </c>
      <c r="F63" s="65">
        <v>31.420733999999999</v>
      </c>
      <c r="G63" s="65">
        <v>32.850613000000003</v>
      </c>
      <c r="H63" s="65">
        <v>33.426723000000003</v>
      </c>
      <c r="I63" s="65">
        <v>33.597408000000001</v>
      </c>
      <c r="J63" s="65">
        <v>34.235309999999998</v>
      </c>
      <c r="K63" s="65">
        <v>34.959457</v>
      </c>
      <c r="L63" s="65">
        <v>35.605026000000002</v>
      </c>
      <c r="M63" s="65">
        <v>36.055430999999999</v>
      </c>
      <c r="N63" s="65">
        <v>36.510978999999999</v>
      </c>
      <c r="O63" s="65">
        <v>36.959732000000002</v>
      </c>
      <c r="P63" s="65">
        <v>37.206825000000002</v>
      </c>
      <c r="Q63" s="65">
        <v>37.570503000000002</v>
      </c>
      <c r="R63" s="65">
        <v>37.974136000000001</v>
      </c>
      <c r="S63" s="65">
        <v>38.176540000000003</v>
      </c>
      <c r="T63" s="65">
        <v>38.465786000000001</v>
      </c>
      <c r="U63" s="65">
        <v>38.786617</v>
      </c>
      <c r="V63" s="65">
        <v>39.310012999999998</v>
      </c>
      <c r="W63" s="65">
        <v>39.911994999999997</v>
      </c>
      <c r="X63" s="65">
        <v>40.412852999999998</v>
      </c>
      <c r="Y63" s="65">
        <v>40.985999999999997</v>
      </c>
      <c r="Z63" s="65">
        <v>41.587806999999998</v>
      </c>
      <c r="AA63" s="65">
        <v>42.151161000000002</v>
      </c>
      <c r="AB63" s="65">
        <v>42.750762999999999</v>
      </c>
      <c r="AC63" s="65">
        <v>43.375450000000001</v>
      </c>
      <c r="AD63" s="65">
        <v>44.019683999999998</v>
      </c>
      <c r="AE63" s="65">
        <v>44.893307</v>
      </c>
      <c r="AF63" s="65">
        <v>45.763134000000001</v>
      </c>
      <c r="AG63" s="65">
        <v>46.575778999999997</v>
      </c>
      <c r="AH63" s="65">
        <v>47.407966999999999</v>
      </c>
      <c r="AI63" s="65">
        <v>48.246203999999999</v>
      </c>
      <c r="AJ63" s="65">
        <v>49.030906999999999</v>
      </c>
      <c r="AK63" s="65">
        <v>49.820019000000002</v>
      </c>
      <c r="AL63" s="65">
        <v>50.901618999999997</v>
      </c>
      <c r="AM63" s="13">
        <v>1.4945999999999999E-2</v>
      </c>
    </row>
    <row r="64" spans="1:39" ht="15" customHeight="1" x14ac:dyDescent="0.25">
      <c r="A64" s="7" t="s">
        <v>1179</v>
      </c>
      <c r="B64" s="11" t="s">
        <v>1180</v>
      </c>
      <c r="C64" s="65">
        <v>122.666901</v>
      </c>
      <c r="D64" s="65">
        <v>118.79014599999999</v>
      </c>
      <c r="E64" s="65">
        <v>118.483452</v>
      </c>
      <c r="F64" s="65">
        <v>117.474152</v>
      </c>
      <c r="G64" s="65">
        <v>118.463509</v>
      </c>
      <c r="H64" s="65">
        <v>118.95575700000001</v>
      </c>
      <c r="I64" s="65">
        <v>118.453491</v>
      </c>
      <c r="J64" s="65">
        <v>119.316216</v>
      </c>
      <c r="K64" s="65">
        <v>120.583809</v>
      </c>
      <c r="L64" s="65">
        <v>122.030357</v>
      </c>
      <c r="M64" s="65">
        <v>122.673653</v>
      </c>
      <c r="N64" s="65">
        <v>122.648994</v>
      </c>
      <c r="O64" s="65">
        <v>122.93296100000001</v>
      </c>
      <c r="P64" s="65">
        <v>122.74157</v>
      </c>
      <c r="Q64" s="65">
        <v>122.400513</v>
      </c>
      <c r="R64" s="65">
        <v>121.951538</v>
      </c>
      <c r="S64" s="65">
        <v>121.166916</v>
      </c>
      <c r="T64" s="65">
        <v>120.573418</v>
      </c>
      <c r="U64" s="65">
        <v>120.21073199999999</v>
      </c>
      <c r="V64" s="65">
        <v>120.17094400000001</v>
      </c>
      <c r="W64" s="65">
        <v>120.142174</v>
      </c>
      <c r="X64" s="65">
        <v>119.864738</v>
      </c>
      <c r="Y64" s="65">
        <v>120.121323</v>
      </c>
      <c r="Z64" s="65">
        <v>120.729523</v>
      </c>
      <c r="AA64" s="65">
        <v>120.607063</v>
      </c>
      <c r="AB64" s="65">
        <v>120.49191999999999</v>
      </c>
      <c r="AC64" s="65">
        <v>120.79921</v>
      </c>
      <c r="AD64" s="65">
        <v>121.196213</v>
      </c>
      <c r="AE64" s="65">
        <v>121.863945</v>
      </c>
      <c r="AF64" s="65">
        <v>122.511253</v>
      </c>
      <c r="AG64" s="65">
        <v>123.026741</v>
      </c>
      <c r="AH64" s="65">
        <v>123.443871</v>
      </c>
      <c r="AI64" s="65">
        <v>123.85279800000001</v>
      </c>
      <c r="AJ64" s="65">
        <v>124.17913799999999</v>
      </c>
      <c r="AK64" s="65">
        <v>124.56710099999999</v>
      </c>
      <c r="AL64" s="65">
        <v>125.266335</v>
      </c>
      <c r="AM64" s="13">
        <v>1.562E-3</v>
      </c>
    </row>
    <row r="65" spans="1:39" ht="15" customHeight="1" x14ac:dyDescent="0.25">
      <c r="A65" s="7" t="s">
        <v>1181</v>
      </c>
      <c r="B65" s="10" t="s">
        <v>1182</v>
      </c>
      <c r="C65" s="142">
        <v>1141.1888429999999</v>
      </c>
      <c r="D65" s="142">
        <v>1113.5776370000001</v>
      </c>
      <c r="E65" s="142">
        <v>1122.6389160000001</v>
      </c>
      <c r="F65" s="142">
        <v>1145.1583250000001</v>
      </c>
      <c r="G65" s="142">
        <v>1174.2384030000001</v>
      </c>
      <c r="H65" s="142">
        <v>1186.135254</v>
      </c>
      <c r="I65" s="142">
        <v>1195.5329589999999</v>
      </c>
      <c r="J65" s="142">
        <v>1213.4730219999999</v>
      </c>
      <c r="K65" s="142">
        <v>1228.612427</v>
      </c>
      <c r="L65" s="142">
        <v>1238.7230219999999</v>
      </c>
      <c r="M65" s="142">
        <v>1240.4670410000001</v>
      </c>
      <c r="N65" s="142">
        <v>1238.3634030000001</v>
      </c>
      <c r="O65" s="142">
        <v>1235.2163089999999</v>
      </c>
      <c r="P65" s="142">
        <v>1231.492798</v>
      </c>
      <c r="Q65" s="142">
        <v>1231.104004</v>
      </c>
      <c r="R65" s="142">
        <v>1230.0268550000001</v>
      </c>
      <c r="S65" s="142">
        <v>1224.03125</v>
      </c>
      <c r="T65" s="142">
        <v>1222.193237</v>
      </c>
      <c r="U65" s="142">
        <v>1222.163086</v>
      </c>
      <c r="V65" s="142">
        <v>1225.8675539999999</v>
      </c>
      <c r="W65" s="142">
        <v>1229.8614500000001</v>
      </c>
      <c r="X65" s="142">
        <v>1233.205322</v>
      </c>
      <c r="Y65" s="142">
        <v>1238.360107</v>
      </c>
      <c r="Z65" s="142">
        <v>1244.3133539999999</v>
      </c>
      <c r="AA65" s="142">
        <v>1249.005737</v>
      </c>
      <c r="AB65" s="142">
        <v>1251.7532960000001</v>
      </c>
      <c r="AC65" s="142">
        <v>1252.3397219999999</v>
      </c>
      <c r="AD65" s="142">
        <v>1254.927612</v>
      </c>
      <c r="AE65" s="142">
        <v>1258.841919</v>
      </c>
      <c r="AF65" s="142">
        <v>1264.5579829999999</v>
      </c>
      <c r="AG65" s="142">
        <v>1270.552856</v>
      </c>
      <c r="AH65" s="142">
        <v>1275.677246</v>
      </c>
      <c r="AI65" s="142">
        <v>1280.2260739999999</v>
      </c>
      <c r="AJ65" s="142">
        <v>1283.380615</v>
      </c>
      <c r="AK65" s="142">
        <v>1288.737427</v>
      </c>
      <c r="AL65" s="142">
        <v>1298.0654300000001</v>
      </c>
      <c r="AM65" s="15">
        <v>4.5189999999999996E-3</v>
      </c>
    </row>
    <row r="66" spans="1:39" ht="15" customHeight="1" x14ac:dyDescent="0.25">
      <c r="B66" s="10" t="s">
        <v>1183</v>
      </c>
    </row>
    <row r="67" spans="1:39" ht="15" customHeight="1" x14ac:dyDescent="0.25">
      <c r="A67" s="7" t="s">
        <v>1184</v>
      </c>
      <c r="B67" s="11" t="s">
        <v>1185</v>
      </c>
      <c r="C67" s="65">
        <v>86.617050000000006</v>
      </c>
      <c r="D67" s="65">
        <v>82.437804999999997</v>
      </c>
      <c r="E67" s="65">
        <v>79.803223000000003</v>
      </c>
      <c r="F67" s="65">
        <v>82.724936999999997</v>
      </c>
      <c r="G67" s="65">
        <v>84.497574</v>
      </c>
      <c r="H67" s="65">
        <v>84.899269000000004</v>
      </c>
      <c r="I67" s="65">
        <v>85.000465000000005</v>
      </c>
      <c r="J67" s="65">
        <v>85.617828000000003</v>
      </c>
      <c r="K67" s="65">
        <v>86.717117000000002</v>
      </c>
      <c r="L67" s="65">
        <v>87.610564999999994</v>
      </c>
      <c r="M67" s="65">
        <v>88.198227000000003</v>
      </c>
      <c r="N67" s="65">
        <v>88.177306999999999</v>
      </c>
      <c r="O67" s="65">
        <v>88.294685000000001</v>
      </c>
      <c r="P67" s="65">
        <v>88.273567</v>
      </c>
      <c r="Q67" s="65">
        <v>88.274901999999997</v>
      </c>
      <c r="R67" s="65">
        <v>88.173507999999998</v>
      </c>
      <c r="S67" s="65">
        <v>88.099402999999995</v>
      </c>
      <c r="T67" s="65">
        <v>88.325218000000007</v>
      </c>
      <c r="U67" s="65">
        <v>88.323104999999998</v>
      </c>
      <c r="V67" s="65">
        <v>88.469939999999994</v>
      </c>
      <c r="W67" s="65">
        <v>88.647757999999996</v>
      </c>
      <c r="X67" s="65">
        <v>88.724936999999997</v>
      </c>
      <c r="Y67" s="65">
        <v>88.931083999999998</v>
      </c>
      <c r="Z67" s="65">
        <v>89.269210999999999</v>
      </c>
      <c r="AA67" s="65">
        <v>89.508347000000001</v>
      </c>
      <c r="AB67" s="65">
        <v>89.677413999999999</v>
      </c>
      <c r="AC67" s="65">
        <v>89.856330999999997</v>
      </c>
      <c r="AD67" s="65">
        <v>90.133499</v>
      </c>
      <c r="AE67" s="65">
        <v>90.528564000000003</v>
      </c>
      <c r="AF67" s="65">
        <v>90.841094999999996</v>
      </c>
      <c r="AG67" s="65">
        <v>91.062568999999996</v>
      </c>
      <c r="AH67" s="65">
        <v>91.297241</v>
      </c>
      <c r="AI67" s="65">
        <v>91.589637999999994</v>
      </c>
      <c r="AJ67" s="65">
        <v>91.896529999999998</v>
      </c>
      <c r="AK67" s="65">
        <v>92.254501000000005</v>
      </c>
      <c r="AL67" s="65">
        <v>92.724434000000002</v>
      </c>
      <c r="AM67" s="13">
        <v>3.4640000000000001E-3</v>
      </c>
    </row>
    <row r="68" spans="1:39" ht="15" customHeight="1" x14ac:dyDescent="0.25">
      <c r="A68" s="7" t="s">
        <v>1186</v>
      </c>
      <c r="B68" s="11" t="s">
        <v>1187</v>
      </c>
      <c r="C68" s="65">
        <v>69.352233999999996</v>
      </c>
      <c r="D68" s="65">
        <v>67.847153000000006</v>
      </c>
      <c r="E68" s="65">
        <v>66.899733999999995</v>
      </c>
      <c r="F68" s="65">
        <v>72.218185000000005</v>
      </c>
      <c r="G68" s="65">
        <v>74.115318000000002</v>
      </c>
      <c r="H68" s="65">
        <v>75.053451999999993</v>
      </c>
      <c r="I68" s="65">
        <v>75.748322000000002</v>
      </c>
      <c r="J68" s="65">
        <v>77.159949999999995</v>
      </c>
      <c r="K68" s="65">
        <v>78.529197999999994</v>
      </c>
      <c r="L68" s="65">
        <v>79.478950999999995</v>
      </c>
      <c r="M68" s="65">
        <v>79.937743999999995</v>
      </c>
      <c r="N68" s="65">
        <v>79.72081</v>
      </c>
      <c r="O68" s="65">
        <v>79.813125999999997</v>
      </c>
      <c r="P68" s="65">
        <v>80.184089999999998</v>
      </c>
      <c r="Q68" s="65">
        <v>80.637787000000003</v>
      </c>
      <c r="R68" s="65">
        <v>81.600516999999996</v>
      </c>
      <c r="S68" s="65">
        <v>82.354149000000007</v>
      </c>
      <c r="T68" s="65">
        <v>82.217147999999995</v>
      </c>
      <c r="U68" s="65">
        <v>82.278267</v>
      </c>
      <c r="V68" s="65">
        <v>83.823036000000002</v>
      </c>
      <c r="W68" s="65">
        <v>85.498374999999996</v>
      </c>
      <c r="X68" s="65">
        <v>86.590286000000006</v>
      </c>
      <c r="Y68" s="65">
        <v>87.404640000000001</v>
      </c>
      <c r="Z68" s="65">
        <v>88.554717999999994</v>
      </c>
      <c r="AA68" s="65">
        <v>89.023048000000003</v>
      </c>
      <c r="AB68" s="65">
        <v>89.671745000000001</v>
      </c>
      <c r="AC68" s="65">
        <v>90.610939000000002</v>
      </c>
      <c r="AD68" s="65">
        <v>91.114929000000004</v>
      </c>
      <c r="AE68" s="65">
        <v>92.378258000000002</v>
      </c>
      <c r="AF68" s="65">
        <v>93.786841999999993</v>
      </c>
      <c r="AG68" s="65">
        <v>95.071586999999994</v>
      </c>
      <c r="AH68" s="65">
        <v>96.491309999999999</v>
      </c>
      <c r="AI68" s="65">
        <v>97.731444999999994</v>
      </c>
      <c r="AJ68" s="65">
        <v>98.455528000000001</v>
      </c>
      <c r="AK68" s="65">
        <v>99.119743</v>
      </c>
      <c r="AL68" s="65">
        <v>100.24820699999999</v>
      </c>
      <c r="AM68" s="13">
        <v>1.1547999999999999E-2</v>
      </c>
    </row>
    <row r="69" spans="1:39" ht="15" customHeight="1" x14ac:dyDescent="0.25">
      <c r="A69" s="7" t="s">
        <v>1188</v>
      </c>
      <c r="B69" s="11" t="s">
        <v>1189</v>
      </c>
      <c r="C69" s="65">
        <v>112.505585</v>
      </c>
      <c r="D69" s="65">
        <v>99.332076999999998</v>
      </c>
      <c r="E69" s="65">
        <v>98.165863000000002</v>
      </c>
      <c r="F69" s="65">
        <v>101.970657</v>
      </c>
      <c r="G69" s="65">
        <v>106.12809799999999</v>
      </c>
      <c r="H69" s="65">
        <v>107.938675</v>
      </c>
      <c r="I69" s="65">
        <v>108.005379</v>
      </c>
      <c r="J69" s="65">
        <v>109.095726</v>
      </c>
      <c r="K69" s="65">
        <v>110.223175</v>
      </c>
      <c r="L69" s="65">
        <v>111.225899</v>
      </c>
      <c r="M69" s="65">
        <v>111.593903</v>
      </c>
      <c r="N69" s="65">
        <v>111.81146200000001</v>
      </c>
      <c r="O69" s="65">
        <v>111.829453</v>
      </c>
      <c r="P69" s="65">
        <v>111.64357</v>
      </c>
      <c r="Q69" s="65">
        <v>111.724632</v>
      </c>
      <c r="R69" s="65">
        <v>111.374245</v>
      </c>
      <c r="S69" s="65">
        <v>110.775116</v>
      </c>
      <c r="T69" s="65">
        <v>110.376724</v>
      </c>
      <c r="U69" s="65">
        <v>109.989906</v>
      </c>
      <c r="V69" s="65">
        <v>110.27195</v>
      </c>
      <c r="W69" s="65">
        <v>110.80574</v>
      </c>
      <c r="X69" s="65">
        <v>111.14582799999999</v>
      </c>
      <c r="Y69" s="65">
        <v>111.70005</v>
      </c>
      <c r="Z69" s="65">
        <v>112.274727</v>
      </c>
      <c r="AA69" s="65">
        <v>112.685638</v>
      </c>
      <c r="AB69" s="65">
        <v>112.793724</v>
      </c>
      <c r="AC69" s="65">
        <v>113.104828</v>
      </c>
      <c r="AD69" s="65">
        <v>113.365593</v>
      </c>
      <c r="AE69" s="65">
        <v>113.98204800000001</v>
      </c>
      <c r="AF69" s="65">
        <v>114.662773</v>
      </c>
      <c r="AG69" s="65">
        <v>115.25550800000001</v>
      </c>
      <c r="AH69" s="65">
        <v>115.771896</v>
      </c>
      <c r="AI69" s="65">
        <v>116.27853399999999</v>
      </c>
      <c r="AJ69" s="65">
        <v>116.63114899999999</v>
      </c>
      <c r="AK69" s="65">
        <v>116.98157500000001</v>
      </c>
      <c r="AL69" s="65">
        <v>117.693054</v>
      </c>
      <c r="AM69" s="13">
        <v>5.0010000000000002E-3</v>
      </c>
    </row>
    <row r="70" spans="1:39" ht="15" customHeight="1" x14ac:dyDescent="0.25">
      <c r="A70" s="7" t="s">
        <v>1190</v>
      </c>
      <c r="B70" s="10" t="s">
        <v>1191</v>
      </c>
      <c r="C70" s="142">
        <v>268.47485399999999</v>
      </c>
      <c r="D70" s="142">
        <v>249.61703499999999</v>
      </c>
      <c r="E70" s="142">
        <v>244.86882</v>
      </c>
      <c r="F70" s="142">
        <v>256.91375699999998</v>
      </c>
      <c r="G70" s="142">
        <v>264.74096700000001</v>
      </c>
      <c r="H70" s="142">
        <v>267.89141799999999</v>
      </c>
      <c r="I70" s="142">
        <v>268.75414999999998</v>
      </c>
      <c r="J70" s="142">
        <v>271.87350500000002</v>
      </c>
      <c r="K70" s="142">
        <v>275.46948200000003</v>
      </c>
      <c r="L70" s="142">
        <v>278.31539900000001</v>
      </c>
      <c r="M70" s="142">
        <v>279.72985799999998</v>
      </c>
      <c r="N70" s="142">
        <v>279.70959499999998</v>
      </c>
      <c r="O70" s="142">
        <v>279.93725599999999</v>
      </c>
      <c r="P70" s="142">
        <v>280.10122699999999</v>
      </c>
      <c r="Q70" s="142">
        <v>280.63732900000002</v>
      </c>
      <c r="R70" s="142">
        <v>281.14825400000001</v>
      </c>
      <c r="S70" s="142">
        <v>281.22866800000003</v>
      </c>
      <c r="T70" s="142">
        <v>280.91906699999998</v>
      </c>
      <c r="U70" s="142">
        <v>280.59127799999999</v>
      </c>
      <c r="V70" s="142">
        <v>282.564911</v>
      </c>
      <c r="W70" s="142">
        <v>284.95187399999998</v>
      </c>
      <c r="X70" s="142">
        <v>286.46105999999997</v>
      </c>
      <c r="Y70" s="142">
        <v>288.03576700000002</v>
      </c>
      <c r="Z70" s="142">
        <v>290.09866299999999</v>
      </c>
      <c r="AA70" s="142">
        <v>291.21704099999999</v>
      </c>
      <c r="AB70" s="142">
        <v>292.14288299999998</v>
      </c>
      <c r="AC70" s="142">
        <v>293.57208300000002</v>
      </c>
      <c r="AD70" s="142">
        <v>294.614014</v>
      </c>
      <c r="AE70" s="142">
        <v>296.88888500000002</v>
      </c>
      <c r="AF70" s="142">
        <v>299.29070999999999</v>
      </c>
      <c r="AG70" s="142">
        <v>301.38964800000002</v>
      </c>
      <c r="AH70" s="142">
        <v>303.56042500000001</v>
      </c>
      <c r="AI70" s="142">
        <v>305.59960899999999</v>
      </c>
      <c r="AJ70" s="142">
        <v>306.98321499999997</v>
      </c>
      <c r="AK70" s="142">
        <v>308.35580399999998</v>
      </c>
      <c r="AL70" s="142">
        <v>310.66570999999999</v>
      </c>
      <c r="AM70" s="15">
        <v>6.4559999999999999E-3</v>
      </c>
    </row>
    <row r="71" spans="1:39" ht="15" customHeight="1" x14ac:dyDescent="0.25">
      <c r="A71" s="7" t="s">
        <v>1192</v>
      </c>
      <c r="B71" s="11" t="s">
        <v>1127</v>
      </c>
      <c r="C71" s="65">
        <v>28.027832</v>
      </c>
      <c r="D71" s="65">
        <v>72.627441000000005</v>
      </c>
      <c r="E71" s="65">
        <v>78.660645000000002</v>
      </c>
      <c r="F71" s="65">
        <v>81.622924999999995</v>
      </c>
      <c r="G71" s="65">
        <v>84.578734999999995</v>
      </c>
      <c r="H71" s="65">
        <v>89.568359000000001</v>
      </c>
      <c r="I71" s="65">
        <v>90.689941000000005</v>
      </c>
      <c r="J71" s="65">
        <v>92.495850000000004</v>
      </c>
      <c r="K71" s="65">
        <v>94.637816999999998</v>
      </c>
      <c r="L71" s="65">
        <v>97.481689000000003</v>
      </c>
      <c r="M71" s="65">
        <v>99.352783000000002</v>
      </c>
      <c r="N71" s="65">
        <v>101.609253</v>
      </c>
      <c r="O71" s="65">
        <v>102.019775</v>
      </c>
      <c r="P71" s="65">
        <v>103.53686500000001</v>
      </c>
      <c r="Q71" s="65">
        <v>104.55371100000001</v>
      </c>
      <c r="R71" s="65">
        <v>104.26660200000001</v>
      </c>
      <c r="S71" s="65">
        <v>104.899536</v>
      </c>
      <c r="T71" s="65">
        <v>105.427612</v>
      </c>
      <c r="U71" s="65">
        <v>106.11938499999999</v>
      </c>
      <c r="V71" s="65">
        <v>107.09777800000001</v>
      </c>
      <c r="W71" s="65">
        <v>109.412964</v>
      </c>
      <c r="X71" s="65">
        <v>111.23803700000001</v>
      </c>
      <c r="Y71" s="65">
        <v>112.928589</v>
      </c>
      <c r="Z71" s="65">
        <v>113.899292</v>
      </c>
      <c r="AA71" s="65">
        <v>115.038208</v>
      </c>
      <c r="AB71" s="65">
        <v>115.83496100000001</v>
      </c>
      <c r="AC71" s="65">
        <v>116.505005</v>
      </c>
      <c r="AD71" s="65">
        <v>116.70959499999999</v>
      </c>
      <c r="AE71" s="65">
        <v>116.782349</v>
      </c>
      <c r="AF71" s="65">
        <v>117.24438499999999</v>
      </c>
      <c r="AG71" s="65">
        <v>118.10449199999999</v>
      </c>
      <c r="AH71" s="65">
        <v>118.840942</v>
      </c>
      <c r="AI71" s="65">
        <v>119.63305699999999</v>
      </c>
      <c r="AJ71" s="65">
        <v>120.55896</v>
      </c>
      <c r="AK71" s="65">
        <v>121.634277</v>
      </c>
      <c r="AL71" s="65">
        <v>122.36547899999999</v>
      </c>
      <c r="AM71" s="13">
        <v>1.5462E-2</v>
      </c>
    </row>
    <row r="72" spans="1:39" ht="15" customHeight="1" x14ac:dyDescent="0.25">
      <c r="A72" s="7" t="s">
        <v>1193</v>
      </c>
      <c r="B72" s="10" t="s">
        <v>1194</v>
      </c>
      <c r="C72" s="142">
        <v>1437.6915280000001</v>
      </c>
      <c r="D72" s="142">
        <v>1435.822144</v>
      </c>
      <c r="E72" s="142">
        <v>1446.1683350000001</v>
      </c>
      <c r="F72" s="142">
        <v>1483.6949460000001</v>
      </c>
      <c r="G72" s="142">
        <v>1523.5581050000001</v>
      </c>
      <c r="H72" s="142">
        <v>1543.594971</v>
      </c>
      <c r="I72" s="142">
        <v>1554.9770510000001</v>
      </c>
      <c r="J72" s="142">
        <v>1577.8424070000001</v>
      </c>
      <c r="K72" s="142">
        <v>1598.7197269999999</v>
      </c>
      <c r="L72" s="142">
        <v>1614.5201420000001</v>
      </c>
      <c r="M72" s="142">
        <v>1619.549683</v>
      </c>
      <c r="N72" s="142">
        <v>1619.682251</v>
      </c>
      <c r="O72" s="142">
        <v>1617.1733400000001</v>
      </c>
      <c r="P72" s="142">
        <v>1615.1308590000001</v>
      </c>
      <c r="Q72" s="142">
        <v>1616.295044</v>
      </c>
      <c r="R72" s="142">
        <v>1615.44165</v>
      </c>
      <c r="S72" s="142">
        <v>1610.1594239999999</v>
      </c>
      <c r="T72" s="142">
        <v>1608.5399170000001</v>
      </c>
      <c r="U72" s="142">
        <v>1608.873779</v>
      </c>
      <c r="V72" s="142">
        <v>1615.5302730000001</v>
      </c>
      <c r="W72" s="142">
        <v>1624.226318</v>
      </c>
      <c r="X72" s="142">
        <v>1630.904419</v>
      </c>
      <c r="Y72" s="142">
        <v>1639.3244629999999</v>
      </c>
      <c r="Z72" s="142">
        <v>1648.311279</v>
      </c>
      <c r="AA72" s="142">
        <v>1655.260986</v>
      </c>
      <c r="AB72" s="142">
        <v>1659.7312010000001</v>
      </c>
      <c r="AC72" s="142">
        <v>1662.41687</v>
      </c>
      <c r="AD72" s="142">
        <v>1666.251221</v>
      </c>
      <c r="AE72" s="142">
        <v>1672.5131839999999</v>
      </c>
      <c r="AF72" s="142">
        <v>1681.093018</v>
      </c>
      <c r="AG72" s="142">
        <v>1690.0469969999999</v>
      </c>
      <c r="AH72" s="142">
        <v>1698.0786129999999</v>
      </c>
      <c r="AI72" s="142">
        <v>1705.45874</v>
      </c>
      <c r="AJ72" s="142">
        <v>1710.9227289999999</v>
      </c>
      <c r="AK72" s="142">
        <v>1718.727539</v>
      </c>
      <c r="AL72" s="142">
        <v>1731.0966800000001</v>
      </c>
      <c r="AM72" s="15">
        <v>5.5160000000000001E-3</v>
      </c>
    </row>
    <row r="74" spans="1:39" ht="15" customHeight="1" x14ac:dyDescent="0.25">
      <c r="B74" s="10" t="s">
        <v>470</v>
      </c>
    </row>
    <row r="75" spans="1:39" ht="15" customHeight="1" x14ac:dyDescent="0.25">
      <c r="A75" s="7" t="s">
        <v>1195</v>
      </c>
      <c r="B75" s="11" t="s">
        <v>1196</v>
      </c>
      <c r="C75" s="65">
        <v>1063.0864260000001</v>
      </c>
      <c r="D75" s="65">
        <v>1061.4838870000001</v>
      </c>
      <c r="E75" s="65">
        <v>1068.8447269999999</v>
      </c>
      <c r="F75" s="65">
        <v>1070.978638</v>
      </c>
      <c r="G75" s="65">
        <v>1064.3823239999999</v>
      </c>
      <c r="H75" s="65">
        <v>1053.7700199999999</v>
      </c>
      <c r="I75" s="65">
        <v>1038.1103519999999</v>
      </c>
      <c r="J75" s="65">
        <v>1018.861328</v>
      </c>
      <c r="K75" s="65">
        <v>995.48754899999994</v>
      </c>
      <c r="L75" s="65">
        <v>969.48651099999995</v>
      </c>
      <c r="M75" s="65">
        <v>942.29180899999994</v>
      </c>
      <c r="N75" s="65">
        <v>920.73950200000002</v>
      </c>
      <c r="O75" s="65">
        <v>901.80059800000004</v>
      </c>
      <c r="P75" s="65">
        <v>885.78216599999996</v>
      </c>
      <c r="Q75" s="65">
        <v>871.56933600000002</v>
      </c>
      <c r="R75" s="65">
        <v>858.24871800000005</v>
      </c>
      <c r="S75" s="65">
        <v>845.99475099999995</v>
      </c>
      <c r="T75" s="65">
        <v>835.23443599999996</v>
      </c>
      <c r="U75" s="65">
        <v>826.48846400000002</v>
      </c>
      <c r="V75" s="65">
        <v>819.16558799999996</v>
      </c>
      <c r="W75" s="65">
        <v>812.94561799999997</v>
      </c>
      <c r="X75" s="65">
        <v>808.59063700000002</v>
      </c>
      <c r="Y75" s="65">
        <v>805.52319299999999</v>
      </c>
      <c r="Z75" s="65">
        <v>803.887024</v>
      </c>
      <c r="AA75" s="65">
        <v>802.33288600000003</v>
      </c>
      <c r="AB75" s="65">
        <v>801.22717299999999</v>
      </c>
      <c r="AC75" s="65">
        <v>801.07855199999995</v>
      </c>
      <c r="AD75" s="65">
        <v>802.24920699999996</v>
      </c>
      <c r="AE75" s="65">
        <v>804.268372</v>
      </c>
      <c r="AF75" s="65">
        <v>806.32116699999995</v>
      </c>
      <c r="AG75" s="65">
        <v>808.542419</v>
      </c>
      <c r="AH75" s="65">
        <v>811.050659</v>
      </c>
      <c r="AI75" s="65">
        <v>813.23870799999997</v>
      </c>
      <c r="AJ75" s="65">
        <v>816.07074</v>
      </c>
      <c r="AK75" s="65">
        <v>820.07665999999995</v>
      </c>
      <c r="AL75" s="65">
        <v>824.841858</v>
      </c>
      <c r="AM75" s="13">
        <v>-7.391E-3</v>
      </c>
    </row>
    <row r="76" spans="1:39" ht="15" customHeight="1" x14ac:dyDescent="0.25">
      <c r="A76" s="7" t="s">
        <v>1197</v>
      </c>
      <c r="B76" s="11" t="s">
        <v>1198</v>
      </c>
      <c r="C76" s="65">
        <v>58.572403000000001</v>
      </c>
      <c r="D76" s="65">
        <v>59.445168000000002</v>
      </c>
      <c r="E76" s="65">
        <v>62.450671999999997</v>
      </c>
      <c r="F76" s="65">
        <v>61.841659999999997</v>
      </c>
      <c r="G76" s="65">
        <v>60.961925999999998</v>
      </c>
      <c r="H76" s="65">
        <v>60.160373999999997</v>
      </c>
      <c r="I76" s="65">
        <v>59.650748999999998</v>
      </c>
      <c r="J76" s="65">
        <v>59.011294999999997</v>
      </c>
      <c r="K76" s="65">
        <v>58.310924999999997</v>
      </c>
      <c r="L76" s="65">
        <v>57.544319000000002</v>
      </c>
      <c r="M76" s="65">
        <v>56.989291999999999</v>
      </c>
      <c r="N76" s="65">
        <v>56.287360999999997</v>
      </c>
      <c r="O76" s="65">
        <v>55.818294999999999</v>
      </c>
      <c r="P76" s="65">
        <v>55.504787</v>
      </c>
      <c r="Q76" s="65">
        <v>55.198234999999997</v>
      </c>
      <c r="R76" s="65">
        <v>54.819527000000001</v>
      </c>
      <c r="S76" s="65">
        <v>54.605716999999999</v>
      </c>
      <c r="T76" s="65">
        <v>54.353588000000002</v>
      </c>
      <c r="U76" s="65">
        <v>54.369883999999999</v>
      </c>
      <c r="V76" s="65">
        <v>54.579650999999998</v>
      </c>
      <c r="W76" s="65">
        <v>54.885863999999998</v>
      </c>
      <c r="X76" s="65">
        <v>55.185702999999997</v>
      </c>
      <c r="Y76" s="65">
        <v>55.640082999999997</v>
      </c>
      <c r="Z76" s="65">
        <v>56.310378999999998</v>
      </c>
      <c r="AA76" s="65">
        <v>56.782288000000001</v>
      </c>
      <c r="AB76" s="65">
        <v>57.330523999999997</v>
      </c>
      <c r="AC76" s="65">
        <v>57.955188999999997</v>
      </c>
      <c r="AD76" s="65">
        <v>58.694881000000002</v>
      </c>
      <c r="AE76" s="65">
        <v>59.645583999999999</v>
      </c>
      <c r="AF76" s="65">
        <v>60.479221000000003</v>
      </c>
      <c r="AG76" s="65">
        <v>61.236834999999999</v>
      </c>
      <c r="AH76" s="65">
        <v>62.008758999999998</v>
      </c>
      <c r="AI76" s="65">
        <v>62.618369999999999</v>
      </c>
      <c r="AJ76" s="65">
        <v>63.222416000000003</v>
      </c>
      <c r="AK76" s="65">
        <v>63.978839999999998</v>
      </c>
      <c r="AL76" s="65">
        <v>64.658752000000007</v>
      </c>
      <c r="AM76" s="13">
        <v>2.4759999999999999E-3</v>
      </c>
    </row>
    <row r="77" spans="1:39" ht="15" customHeight="1" x14ac:dyDescent="0.25">
      <c r="A77" s="7" t="s">
        <v>1199</v>
      </c>
      <c r="B77" s="11" t="s">
        <v>1200</v>
      </c>
      <c r="C77" s="65">
        <v>17.567679999999999</v>
      </c>
      <c r="D77" s="65">
        <v>17.491287</v>
      </c>
      <c r="E77" s="65">
        <v>17.495999999999999</v>
      </c>
      <c r="F77" s="65">
        <v>17.544087999999999</v>
      </c>
      <c r="G77" s="65">
        <v>17.569690999999999</v>
      </c>
      <c r="H77" s="65">
        <v>17.599802</v>
      </c>
      <c r="I77" s="65">
        <v>17.676949</v>
      </c>
      <c r="J77" s="65">
        <v>17.744595</v>
      </c>
      <c r="K77" s="65">
        <v>17.805465999999999</v>
      </c>
      <c r="L77" s="65">
        <v>17.863651000000001</v>
      </c>
      <c r="M77" s="65">
        <v>17.906583999999999</v>
      </c>
      <c r="N77" s="65">
        <v>17.953363</v>
      </c>
      <c r="O77" s="65">
        <v>17.987843000000002</v>
      </c>
      <c r="P77" s="65">
        <v>18.020949999999999</v>
      </c>
      <c r="Q77" s="65">
        <v>18.050117</v>
      </c>
      <c r="R77" s="65">
        <v>18.074158000000001</v>
      </c>
      <c r="S77" s="65">
        <v>18.091673</v>
      </c>
      <c r="T77" s="65">
        <v>18.103729000000001</v>
      </c>
      <c r="U77" s="65">
        <v>18.117747999999999</v>
      </c>
      <c r="V77" s="65">
        <v>18.130521999999999</v>
      </c>
      <c r="W77" s="65">
        <v>18.143968999999998</v>
      </c>
      <c r="X77" s="65">
        <v>18.152812999999998</v>
      </c>
      <c r="Y77" s="65">
        <v>18.161987</v>
      </c>
      <c r="Z77" s="65">
        <v>18.171299000000001</v>
      </c>
      <c r="AA77" s="65">
        <v>18.176832000000001</v>
      </c>
      <c r="AB77" s="65">
        <v>18.177399000000001</v>
      </c>
      <c r="AC77" s="65">
        <v>18.177150999999999</v>
      </c>
      <c r="AD77" s="65">
        <v>18.179735000000001</v>
      </c>
      <c r="AE77" s="65">
        <v>18.186775000000001</v>
      </c>
      <c r="AF77" s="65">
        <v>18.189425</v>
      </c>
      <c r="AG77" s="65">
        <v>18.189926</v>
      </c>
      <c r="AH77" s="65">
        <v>18.189036999999999</v>
      </c>
      <c r="AI77" s="65">
        <v>18.179006999999999</v>
      </c>
      <c r="AJ77" s="65">
        <v>18.173698000000002</v>
      </c>
      <c r="AK77" s="65">
        <v>18.169664000000001</v>
      </c>
      <c r="AL77" s="65">
        <v>18.166643000000001</v>
      </c>
      <c r="AM77" s="13">
        <v>1.1150000000000001E-3</v>
      </c>
    </row>
    <row r="78" spans="1:39" ht="15" customHeight="1" x14ac:dyDescent="0.25">
      <c r="A78" s="7" t="s">
        <v>1201</v>
      </c>
      <c r="B78" s="11" t="s">
        <v>1202</v>
      </c>
      <c r="C78" s="65">
        <v>388.234467</v>
      </c>
      <c r="D78" s="65">
        <v>378.52084400000001</v>
      </c>
      <c r="E78" s="65">
        <v>387.04162600000001</v>
      </c>
      <c r="F78" s="65">
        <v>387.51297</v>
      </c>
      <c r="G78" s="65">
        <v>386.76394699999997</v>
      </c>
      <c r="H78" s="65">
        <v>387.65924100000001</v>
      </c>
      <c r="I78" s="65">
        <v>390.84396400000003</v>
      </c>
      <c r="J78" s="65">
        <v>393.62365699999998</v>
      </c>
      <c r="K78" s="65">
        <v>395.52606200000002</v>
      </c>
      <c r="L78" s="65">
        <v>395.95068400000002</v>
      </c>
      <c r="M78" s="65">
        <v>393.09204099999999</v>
      </c>
      <c r="N78" s="65">
        <v>388.212402</v>
      </c>
      <c r="O78" s="65">
        <v>384.154785</v>
      </c>
      <c r="P78" s="65">
        <v>380.204498</v>
      </c>
      <c r="Q78" s="65">
        <v>376.18139600000001</v>
      </c>
      <c r="R78" s="65">
        <v>372.14111300000002</v>
      </c>
      <c r="S78" s="65">
        <v>367.97167999999999</v>
      </c>
      <c r="T78" s="65">
        <v>364.05239899999998</v>
      </c>
      <c r="U78" s="65">
        <v>362.08291600000001</v>
      </c>
      <c r="V78" s="65">
        <v>361.90863000000002</v>
      </c>
      <c r="W78" s="65">
        <v>362.78695699999997</v>
      </c>
      <c r="X78" s="65">
        <v>363.72488399999997</v>
      </c>
      <c r="Y78" s="65">
        <v>365.90182499999997</v>
      </c>
      <c r="Z78" s="65">
        <v>369.37649499999998</v>
      </c>
      <c r="AA78" s="65">
        <v>372.19986</v>
      </c>
      <c r="AB78" s="65">
        <v>374.586884</v>
      </c>
      <c r="AC78" s="65">
        <v>377.96298200000001</v>
      </c>
      <c r="AD78" s="65">
        <v>382.03771999999998</v>
      </c>
      <c r="AE78" s="65">
        <v>387.47210699999999</v>
      </c>
      <c r="AF78" s="65">
        <v>392.87085000000002</v>
      </c>
      <c r="AG78" s="65">
        <v>397.890289</v>
      </c>
      <c r="AH78" s="65">
        <v>403.03286700000001</v>
      </c>
      <c r="AI78" s="65">
        <v>407.74945100000002</v>
      </c>
      <c r="AJ78" s="65">
        <v>412.70410199999998</v>
      </c>
      <c r="AK78" s="65">
        <v>418.35214200000001</v>
      </c>
      <c r="AL78" s="65">
        <v>424.391144</v>
      </c>
      <c r="AM78" s="13">
        <v>3.3700000000000002E-3</v>
      </c>
    </row>
    <row r="79" spans="1:39" ht="15" customHeight="1" x14ac:dyDescent="0.25">
      <c r="A79" s="7" t="s">
        <v>1203</v>
      </c>
      <c r="B79" s="11" t="s">
        <v>1204</v>
      </c>
      <c r="C79" s="65">
        <v>4.8313269999999999</v>
      </c>
      <c r="D79" s="65">
        <v>4.7502240000000002</v>
      </c>
      <c r="E79" s="65">
        <v>4.8213569999999999</v>
      </c>
      <c r="F79" s="65">
        <v>4.8471830000000002</v>
      </c>
      <c r="G79" s="65">
        <v>4.9488979999999998</v>
      </c>
      <c r="H79" s="65">
        <v>5.0114479999999997</v>
      </c>
      <c r="I79" s="65">
        <v>4.995514</v>
      </c>
      <c r="J79" s="65">
        <v>5.0332679999999996</v>
      </c>
      <c r="K79" s="65">
        <v>5.0863759999999996</v>
      </c>
      <c r="L79" s="65">
        <v>5.1657250000000001</v>
      </c>
      <c r="M79" s="65">
        <v>5.2253020000000001</v>
      </c>
      <c r="N79" s="65">
        <v>5.2753069999999997</v>
      </c>
      <c r="O79" s="65">
        <v>5.3367990000000001</v>
      </c>
      <c r="P79" s="65">
        <v>5.395213</v>
      </c>
      <c r="Q79" s="65">
        <v>5.4494749999999996</v>
      </c>
      <c r="R79" s="65">
        <v>5.4846579999999996</v>
      </c>
      <c r="S79" s="65">
        <v>5.5087469999999996</v>
      </c>
      <c r="T79" s="65">
        <v>5.5413079999999999</v>
      </c>
      <c r="U79" s="65">
        <v>5.5776329999999996</v>
      </c>
      <c r="V79" s="65">
        <v>5.6255249999999997</v>
      </c>
      <c r="W79" s="65">
        <v>5.6863429999999999</v>
      </c>
      <c r="X79" s="65">
        <v>5.7237799999999996</v>
      </c>
      <c r="Y79" s="65">
        <v>5.7774999999999999</v>
      </c>
      <c r="Z79" s="65">
        <v>5.8294750000000004</v>
      </c>
      <c r="AA79" s="65">
        <v>5.861694</v>
      </c>
      <c r="AB79" s="65">
        <v>5.8901820000000003</v>
      </c>
      <c r="AC79" s="65">
        <v>5.924874</v>
      </c>
      <c r="AD79" s="65">
        <v>5.9588770000000002</v>
      </c>
      <c r="AE79" s="65">
        <v>6.0048560000000002</v>
      </c>
      <c r="AF79" s="65">
        <v>6.049906</v>
      </c>
      <c r="AG79" s="65">
        <v>6.0976330000000001</v>
      </c>
      <c r="AH79" s="65">
        <v>6.1383000000000001</v>
      </c>
      <c r="AI79" s="65">
        <v>6.1775080000000004</v>
      </c>
      <c r="AJ79" s="65">
        <v>6.2063930000000003</v>
      </c>
      <c r="AK79" s="65">
        <v>6.2358710000000004</v>
      </c>
      <c r="AL79" s="65">
        <v>6.2750120000000003</v>
      </c>
      <c r="AM79" s="13">
        <v>8.2209999999999991E-3</v>
      </c>
    </row>
    <row r="80" spans="1:39" ht="15" customHeight="1" x14ac:dyDescent="0.25">
      <c r="A80" s="7" t="s">
        <v>1205</v>
      </c>
      <c r="B80" s="11" t="s">
        <v>1206</v>
      </c>
      <c r="C80" s="65">
        <v>37.933743</v>
      </c>
      <c r="D80" s="65">
        <v>36.384979000000001</v>
      </c>
      <c r="E80" s="65">
        <v>36.550694</v>
      </c>
      <c r="F80" s="65">
        <v>36.628227000000003</v>
      </c>
      <c r="G80" s="65">
        <v>37.513267999999997</v>
      </c>
      <c r="H80" s="65">
        <v>38.093941000000001</v>
      </c>
      <c r="I80" s="65">
        <v>38.532398000000001</v>
      </c>
      <c r="J80" s="65">
        <v>39.318638</v>
      </c>
      <c r="K80" s="65">
        <v>39.674025999999998</v>
      </c>
      <c r="L80" s="65">
        <v>39.485076999999997</v>
      </c>
      <c r="M80" s="65">
        <v>39.619522000000003</v>
      </c>
      <c r="N80" s="65">
        <v>39.112510999999998</v>
      </c>
      <c r="O80" s="65">
        <v>38.852832999999997</v>
      </c>
      <c r="P80" s="65">
        <v>38.371281000000003</v>
      </c>
      <c r="Q80" s="65">
        <v>37.974224</v>
      </c>
      <c r="R80" s="65">
        <v>37.619456999999997</v>
      </c>
      <c r="S80" s="65">
        <v>37.076424000000003</v>
      </c>
      <c r="T80" s="65">
        <v>36.404933999999997</v>
      </c>
      <c r="U80" s="65">
        <v>36.079715999999998</v>
      </c>
      <c r="V80" s="65">
        <v>35.670177000000002</v>
      </c>
      <c r="W80" s="65">
        <v>35.451618000000003</v>
      </c>
      <c r="X80" s="65">
        <v>35.094479</v>
      </c>
      <c r="Y80" s="65">
        <v>34.836063000000003</v>
      </c>
      <c r="Z80" s="65">
        <v>34.542693999999997</v>
      </c>
      <c r="AA80" s="65">
        <v>34.523350000000001</v>
      </c>
      <c r="AB80" s="65">
        <v>34.072848999999998</v>
      </c>
      <c r="AC80" s="65">
        <v>33.896434999999997</v>
      </c>
      <c r="AD80" s="65">
        <v>33.751185999999997</v>
      </c>
      <c r="AE80" s="65">
        <v>33.647579</v>
      </c>
      <c r="AF80" s="65">
        <v>33.525879000000003</v>
      </c>
      <c r="AG80" s="65">
        <v>33.390853999999997</v>
      </c>
      <c r="AH80" s="65">
        <v>33.258595</v>
      </c>
      <c r="AI80" s="65">
        <v>33.120387999999998</v>
      </c>
      <c r="AJ80" s="65">
        <v>33.002068000000001</v>
      </c>
      <c r="AK80" s="65">
        <v>32.909408999999997</v>
      </c>
      <c r="AL80" s="65">
        <v>32.842498999999997</v>
      </c>
      <c r="AM80" s="13">
        <v>-3.0079999999999998E-3</v>
      </c>
    </row>
    <row r="81" spans="1:39" ht="15" customHeight="1" x14ac:dyDescent="0.25">
      <c r="A81" s="7" t="s">
        <v>1207</v>
      </c>
      <c r="B81" s="11" t="s">
        <v>1208</v>
      </c>
      <c r="C81" s="65">
        <v>7.2053419999999999</v>
      </c>
      <c r="D81" s="65">
        <v>6.954847</v>
      </c>
      <c r="E81" s="65">
        <v>6.8111699999999997</v>
      </c>
      <c r="F81" s="65">
        <v>6.6261190000000001</v>
      </c>
      <c r="G81" s="65">
        <v>6.3907920000000003</v>
      </c>
      <c r="H81" s="65">
        <v>6.1374240000000002</v>
      </c>
      <c r="I81" s="65">
        <v>5.9999969999999996</v>
      </c>
      <c r="J81" s="65">
        <v>5.8715679999999999</v>
      </c>
      <c r="K81" s="65">
        <v>5.7402480000000002</v>
      </c>
      <c r="L81" s="65">
        <v>5.5911619999999997</v>
      </c>
      <c r="M81" s="65">
        <v>5.4038339999999998</v>
      </c>
      <c r="N81" s="65">
        <v>5.1857240000000004</v>
      </c>
      <c r="O81" s="65">
        <v>4.982335</v>
      </c>
      <c r="P81" s="65">
        <v>4.7801980000000004</v>
      </c>
      <c r="Q81" s="65">
        <v>4.5868919999999997</v>
      </c>
      <c r="R81" s="65">
        <v>4.3916459999999997</v>
      </c>
      <c r="S81" s="65">
        <v>4.2590240000000001</v>
      </c>
      <c r="T81" s="65">
        <v>4.1208410000000004</v>
      </c>
      <c r="U81" s="65">
        <v>3.9925799999999998</v>
      </c>
      <c r="V81" s="65">
        <v>3.8833380000000002</v>
      </c>
      <c r="W81" s="65">
        <v>3.7772190000000001</v>
      </c>
      <c r="X81" s="65">
        <v>3.6633930000000001</v>
      </c>
      <c r="Y81" s="65">
        <v>3.5467040000000001</v>
      </c>
      <c r="Z81" s="65">
        <v>3.4358840000000002</v>
      </c>
      <c r="AA81" s="65">
        <v>3.3176450000000002</v>
      </c>
      <c r="AB81" s="65">
        <v>3.198366</v>
      </c>
      <c r="AC81" s="65">
        <v>3.1184660000000002</v>
      </c>
      <c r="AD81" s="65">
        <v>3.0442819999999999</v>
      </c>
      <c r="AE81" s="65">
        <v>2.9855969999999998</v>
      </c>
      <c r="AF81" s="65">
        <v>2.9258289999999998</v>
      </c>
      <c r="AG81" s="65">
        <v>2.8642099999999999</v>
      </c>
      <c r="AH81" s="65">
        <v>2.8086769999999999</v>
      </c>
      <c r="AI81" s="65">
        <v>2.751817</v>
      </c>
      <c r="AJ81" s="65">
        <v>2.6964329999999999</v>
      </c>
      <c r="AK81" s="65">
        <v>2.646379</v>
      </c>
      <c r="AL81" s="65">
        <v>2.602922</v>
      </c>
      <c r="AM81" s="13">
        <v>-2.8492E-2</v>
      </c>
    </row>
    <row r="82" spans="1:39" ht="15" customHeight="1" x14ac:dyDescent="0.25">
      <c r="A82" s="7" t="s">
        <v>1209</v>
      </c>
      <c r="B82" s="11" t="s">
        <v>1210</v>
      </c>
      <c r="C82" s="65">
        <v>51.610424000000002</v>
      </c>
      <c r="D82" s="65">
        <v>61.428950999999998</v>
      </c>
      <c r="E82" s="65">
        <v>51.205452000000001</v>
      </c>
      <c r="F82" s="65">
        <v>51.498829000000001</v>
      </c>
      <c r="G82" s="65">
        <v>52.395434999999999</v>
      </c>
      <c r="H82" s="65">
        <v>50.972225000000002</v>
      </c>
      <c r="I82" s="65">
        <v>51.650455000000001</v>
      </c>
      <c r="J82" s="65">
        <v>52.528838999999998</v>
      </c>
      <c r="K82" s="65">
        <v>53.354103000000002</v>
      </c>
      <c r="L82" s="65">
        <v>54.409996</v>
      </c>
      <c r="M82" s="65">
        <v>55.063102999999998</v>
      </c>
      <c r="N82" s="65">
        <v>55.915424000000002</v>
      </c>
      <c r="O82" s="65">
        <v>56.583447</v>
      </c>
      <c r="P82" s="65">
        <v>57.437828000000003</v>
      </c>
      <c r="Q82" s="65">
        <v>58.306292999999997</v>
      </c>
      <c r="R82" s="65">
        <v>59.175282000000003</v>
      </c>
      <c r="S82" s="65">
        <v>60.042743999999999</v>
      </c>
      <c r="T82" s="65">
        <v>60.893687999999997</v>
      </c>
      <c r="U82" s="65">
        <v>61.916065000000003</v>
      </c>
      <c r="V82" s="65">
        <v>62.753962999999999</v>
      </c>
      <c r="W82" s="65">
        <v>63.836731</v>
      </c>
      <c r="X82" s="65">
        <v>64.632216999999997</v>
      </c>
      <c r="Y82" s="65">
        <v>65.479904000000005</v>
      </c>
      <c r="Z82" s="65">
        <v>65.959129000000004</v>
      </c>
      <c r="AA82" s="65">
        <v>66.679558</v>
      </c>
      <c r="AB82" s="65">
        <v>67.272720000000007</v>
      </c>
      <c r="AC82" s="65">
        <v>67.821586999999994</v>
      </c>
      <c r="AD82" s="65">
        <v>68.456603999999999</v>
      </c>
      <c r="AE82" s="65">
        <v>69.066574000000003</v>
      </c>
      <c r="AF82" s="65">
        <v>69.816460000000006</v>
      </c>
      <c r="AG82" s="65">
        <v>70.523169999999993</v>
      </c>
      <c r="AH82" s="65">
        <v>71.171004999999994</v>
      </c>
      <c r="AI82" s="65">
        <v>71.787955999999994</v>
      </c>
      <c r="AJ82" s="65">
        <v>72.347724999999997</v>
      </c>
      <c r="AK82" s="65">
        <v>73.081969999999998</v>
      </c>
      <c r="AL82" s="65">
        <v>73.808616999999998</v>
      </c>
      <c r="AM82" s="13">
        <v>5.4140000000000004E-3</v>
      </c>
    </row>
    <row r="83" spans="1:39" ht="15" customHeight="1" x14ac:dyDescent="0.25">
      <c r="A83" s="7" t="s">
        <v>1211</v>
      </c>
      <c r="B83" s="11" t="s">
        <v>1212</v>
      </c>
      <c r="C83" s="65">
        <v>16.791096</v>
      </c>
      <c r="D83" s="65">
        <v>16.858446000000001</v>
      </c>
      <c r="E83" s="65">
        <v>17.101148999999999</v>
      </c>
      <c r="F83" s="65">
        <v>17.355606000000002</v>
      </c>
      <c r="G83" s="65">
        <v>17.578194</v>
      </c>
      <c r="H83" s="65">
        <v>17.789379</v>
      </c>
      <c r="I83" s="65">
        <v>18.000309000000001</v>
      </c>
      <c r="J83" s="65">
        <v>18.187280999999999</v>
      </c>
      <c r="K83" s="65">
        <v>18.354374</v>
      </c>
      <c r="L83" s="65">
        <v>18.509922</v>
      </c>
      <c r="M83" s="65">
        <v>18.651602</v>
      </c>
      <c r="N83" s="65">
        <v>18.800910999999999</v>
      </c>
      <c r="O83" s="65">
        <v>18.947254000000001</v>
      </c>
      <c r="P83" s="65">
        <v>19.101088000000001</v>
      </c>
      <c r="Q83" s="65">
        <v>19.242920000000002</v>
      </c>
      <c r="R83" s="65">
        <v>19.371320999999998</v>
      </c>
      <c r="S83" s="65">
        <v>19.484857999999999</v>
      </c>
      <c r="T83" s="65">
        <v>19.596657</v>
      </c>
      <c r="U83" s="65">
        <v>19.721722</v>
      </c>
      <c r="V83" s="65">
        <v>19.840294</v>
      </c>
      <c r="W83" s="65">
        <v>19.959606000000001</v>
      </c>
      <c r="X83" s="65">
        <v>20.064869000000002</v>
      </c>
      <c r="Y83" s="65">
        <v>20.173812999999999</v>
      </c>
      <c r="Z83" s="65">
        <v>20.285226999999999</v>
      </c>
      <c r="AA83" s="65">
        <v>20.383879</v>
      </c>
      <c r="AB83" s="65">
        <v>20.475840000000002</v>
      </c>
      <c r="AC83" s="65">
        <v>20.566828000000001</v>
      </c>
      <c r="AD83" s="65">
        <v>20.663916</v>
      </c>
      <c r="AE83" s="65">
        <v>20.760805000000001</v>
      </c>
      <c r="AF83" s="65">
        <v>20.852201000000001</v>
      </c>
      <c r="AG83" s="65">
        <v>20.941842999999999</v>
      </c>
      <c r="AH83" s="65">
        <v>21.029902</v>
      </c>
      <c r="AI83" s="65">
        <v>21.103552000000001</v>
      </c>
      <c r="AJ83" s="65">
        <v>21.181363999999999</v>
      </c>
      <c r="AK83" s="65">
        <v>21.262796000000002</v>
      </c>
      <c r="AL83" s="65">
        <v>21.359186000000001</v>
      </c>
      <c r="AM83" s="13">
        <v>6.9839999999999998E-3</v>
      </c>
    </row>
    <row r="84" spans="1:39" ht="15" customHeight="1" x14ac:dyDescent="0.25">
      <c r="A84" s="7" t="s">
        <v>1213</v>
      </c>
      <c r="B84" s="11" t="s">
        <v>1214</v>
      </c>
      <c r="C84" s="65">
        <v>167.50456199999999</v>
      </c>
      <c r="D84" s="65">
        <v>167.60022000000001</v>
      </c>
      <c r="E84" s="65">
        <v>170.939224</v>
      </c>
      <c r="F84" s="65">
        <v>174.44331399999999</v>
      </c>
      <c r="G84" s="65">
        <v>177.50903299999999</v>
      </c>
      <c r="H84" s="65">
        <v>181.136246</v>
      </c>
      <c r="I84" s="65">
        <v>185.35382100000001</v>
      </c>
      <c r="J84" s="65">
        <v>189.52986100000001</v>
      </c>
      <c r="K84" s="65">
        <v>193.33085600000001</v>
      </c>
      <c r="L84" s="65">
        <v>197.19615200000001</v>
      </c>
      <c r="M84" s="65">
        <v>200.92875699999999</v>
      </c>
      <c r="N84" s="65">
        <v>204.178146</v>
      </c>
      <c r="O84" s="65">
        <v>207.62037699999999</v>
      </c>
      <c r="P84" s="65">
        <v>211.257507</v>
      </c>
      <c r="Q84" s="65">
        <v>214.44154399999999</v>
      </c>
      <c r="R84" s="65">
        <v>217.144867</v>
      </c>
      <c r="S84" s="65">
        <v>219.765579</v>
      </c>
      <c r="T84" s="65">
        <v>222.57591199999999</v>
      </c>
      <c r="U84" s="65">
        <v>225.81613200000001</v>
      </c>
      <c r="V84" s="65">
        <v>229.33431999999999</v>
      </c>
      <c r="W84" s="65">
        <v>233.009613</v>
      </c>
      <c r="X84" s="65">
        <v>236.64212000000001</v>
      </c>
      <c r="Y84" s="65">
        <v>240.25874300000001</v>
      </c>
      <c r="Z84" s="65">
        <v>244.23973100000001</v>
      </c>
      <c r="AA84" s="65">
        <v>247.95275899999999</v>
      </c>
      <c r="AB84" s="65">
        <v>251.403931</v>
      </c>
      <c r="AC84" s="65">
        <v>254.86431899999999</v>
      </c>
      <c r="AD84" s="65">
        <v>258.50711100000001</v>
      </c>
      <c r="AE84" s="65">
        <v>262.194366</v>
      </c>
      <c r="AF84" s="65">
        <v>265.82669099999998</v>
      </c>
      <c r="AG84" s="65">
        <v>269.56957999999997</v>
      </c>
      <c r="AH84" s="65">
        <v>273.30105600000002</v>
      </c>
      <c r="AI84" s="65">
        <v>276.77648900000003</v>
      </c>
      <c r="AJ84" s="65">
        <v>280.15780599999999</v>
      </c>
      <c r="AK84" s="65">
        <v>283.73165899999998</v>
      </c>
      <c r="AL84" s="65">
        <v>287.340149</v>
      </c>
      <c r="AM84" s="13">
        <v>1.5982E-2</v>
      </c>
    </row>
    <row r="85" spans="1:39" ht="15" customHeight="1" x14ac:dyDescent="0.25">
      <c r="A85" s="7" t="s">
        <v>1215</v>
      </c>
      <c r="B85" s="11" t="s">
        <v>1216</v>
      </c>
      <c r="C85" s="65">
        <v>46.002727999999998</v>
      </c>
      <c r="D85" s="65">
        <v>46.641869</v>
      </c>
      <c r="E85" s="65">
        <v>45.720416999999998</v>
      </c>
      <c r="F85" s="65">
        <v>45.387721999999997</v>
      </c>
      <c r="G85" s="65">
        <v>45.088042999999999</v>
      </c>
      <c r="H85" s="65">
        <v>44.971283</v>
      </c>
      <c r="I85" s="65">
        <v>44.938152000000002</v>
      </c>
      <c r="J85" s="65">
        <v>45.006618000000003</v>
      </c>
      <c r="K85" s="65">
        <v>45.112045000000002</v>
      </c>
      <c r="L85" s="65">
        <v>45.216602000000002</v>
      </c>
      <c r="M85" s="65">
        <v>45.318302000000003</v>
      </c>
      <c r="N85" s="65">
        <v>45.430968999999997</v>
      </c>
      <c r="O85" s="65">
        <v>45.729022999999998</v>
      </c>
      <c r="P85" s="65">
        <v>46.235664</v>
      </c>
      <c r="Q85" s="65">
        <v>46.761783999999999</v>
      </c>
      <c r="R85" s="65">
        <v>47.307651999999997</v>
      </c>
      <c r="S85" s="65">
        <v>47.869801000000002</v>
      </c>
      <c r="T85" s="65">
        <v>48.453837999999998</v>
      </c>
      <c r="U85" s="65">
        <v>49.058776999999999</v>
      </c>
      <c r="V85" s="65">
        <v>49.685955</v>
      </c>
      <c r="W85" s="65">
        <v>50.336086000000002</v>
      </c>
      <c r="X85" s="65">
        <v>51.003151000000003</v>
      </c>
      <c r="Y85" s="65">
        <v>51.695652000000003</v>
      </c>
      <c r="Z85" s="65">
        <v>52.406112999999998</v>
      </c>
      <c r="AA85" s="65">
        <v>53.133719999999997</v>
      </c>
      <c r="AB85" s="65">
        <v>53.876961000000001</v>
      </c>
      <c r="AC85" s="65">
        <v>54.636119999999998</v>
      </c>
      <c r="AD85" s="65">
        <v>55.410457999999998</v>
      </c>
      <c r="AE85" s="65">
        <v>56.200333000000001</v>
      </c>
      <c r="AF85" s="65">
        <v>57.000731999999999</v>
      </c>
      <c r="AG85" s="65">
        <v>57.811709999999998</v>
      </c>
      <c r="AH85" s="65">
        <v>58.627704999999999</v>
      </c>
      <c r="AI85" s="65">
        <v>59.451397</v>
      </c>
      <c r="AJ85" s="65">
        <v>60.293014999999997</v>
      </c>
      <c r="AK85" s="65">
        <v>61.145747999999998</v>
      </c>
      <c r="AL85" s="65">
        <v>62.008780999999999</v>
      </c>
      <c r="AM85" s="13">
        <v>8.4110000000000001E-3</v>
      </c>
    </row>
    <row r="86" spans="1:39" ht="15" customHeight="1" x14ac:dyDescent="0.25">
      <c r="A86" s="7" t="s">
        <v>1217</v>
      </c>
      <c r="B86" s="11" t="s">
        <v>1218</v>
      </c>
      <c r="C86" s="65">
        <v>4.963781</v>
      </c>
      <c r="D86" s="65">
        <v>5.0087910000000004</v>
      </c>
      <c r="E86" s="65">
        <v>5.0517839999999996</v>
      </c>
      <c r="F86" s="65">
        <v>5.0761440000000002</v>
      </c>
      <c r="G86" s="65">
        <v>5.0842200000000002</v>
      </c>
      <c r="H86" s="65">
        <v>5.0752179999999996</v>
      </c>
      <c r="I86" s="65">
        <v>5.072648</v>
      </c>
      <c r="J86" s="65">
        <v>5.0745519999999997</v>
      </c>
      <c r="K86" s="65">
        <v>5.074624</v>
      </c>
      <c r="L86" s="65">
        <v>5.0800210000000003</v>
      </c>
      <c r="M86" s="65">
        <v>5.0875440000000003</v>
      </c>
      <c r="N86" s="65">
        <v>5.0898389999999996</v>
      </c>
      <c r="O86" s="65">
        <v>5.0894820000000003</v>
      </c>
      <c r="P86" s="65">
        <v>5.0938949999999998</v>
      </c>
      <c r="Q86" s="65">
        <v>5.0994710000000003</v>
      </c>
      <c r="R86" s="65">
        <v>5.1022679999999996</v>
      </c>
      <c r="S86" s="65">
        <v>5.103491</v>
      </c>
      <c r="T86" s="65">
        <v>5.1066580000000004</v>
      </c>
      <c r="U86" s="65">
        <v>5.1117319999999999</v>
      </c>
      <c r="V86" s="65">
        <v>5.1216020000000002</v>
      </c>
      <c r="W86" s="65">
        <v>5.1326349999999996</v>
      </c>
      <c r="X86" s="65">
        <v>5.1442199999999998</v>
      </c>
      <c r="Y86" s="65">
        <v>5.1539739999999998</v>
      </c>
      <c r="Z86" s="65">
        <v>5.1656310000000003</v>
      </c>
      <c r="AA86" s="65">
        <v>5.1704790000000003</v>
      </c>
      <c r="AB86" s="65">
        <v>5.1725310000000002</v>
      </c>
      <c r="AC86" s="65">
        <v>5.1747110000000003</v>
      </c>
      <c r="AD86" s="65">
        <v>5.1788210000000001</v>
      </c>
      <c r="AE86" s="65">
        <v>5.1827050000000003</v>
      </c>
      <c r="AF86" s="65">
        <v>5.1878840000000004</v>
      </c>
      <c r="AG86" s="65">
        <v>5.1968209999999999</v>
      </c>
      <c r="AH86" s="65">
        <v>5.2069520000000002</v>
      </c>
      <c r="AI86" s="65">
        <v>5.2125279999999998</v>
      </c>
      <c r="AJ86" s="65">
        <v>5.217873</v>
      </c>
      <c r="AK86" s="65">
        <v>5.2251349999999999</v>
      </c>
      <c r="AL86" s="65">
        <v>5.2337540000000002</v>
      </c>
      <c r="AM86" s="13">
        <v>1.2930000000000001E-3</v>
      </c>
    </row>
    <row r="87" spans="1:39" ht="15" customHeight="1" x14ac:dyDescent="0.25">
      <c r="A87" s="7" t="s">
        <v>1219</v>
      </c>
      <c r="B87" s="11" t="s">
        <v>1220</v>
      </c>
      <c r="C87" s="65">
        <v>36.700423999999998</v>
      </c>
      <c r="D87" s="65">
        <v>36.565337999999997</v>
      </c>
      <c r="E87" s="65">
        <v>34.725676999999997</v>
      </c>
      <c r="F87" s="65">
        <v>35.709403999999999</v>
      </c>
      <c r="G87" s="65">
        <v>36.002243</v>
      </c>
      <c r="H87" s="65">
        <v>36.436870999999996</v>
      </c>
      <c r="I87" s="65">
        <v>36.109695000000002</v>
      </c>
      <c r="J87" s="65">
        <v>36.282314</v>
      </c>
      <c r="K87" s="65">
        <v>36.652690999999997</v>
      </c>
      <c r="L87" s="65">
        <v>37.010826000000002</v>
      </c>
      <c r="M87" s="65">
        <v>37.323234999999997</v>
      </c>
      <c r="N87" s="65">
        <v>37.536903000000002</v>
      </c>
      <c r="O87" s="65">
        <v>37.514961</v>
      </c>
      <c r="P87" s="65">
        <v>37.663006000000003</v>
      </c>
      <c r="Q87" s="65">
        <v>37.74588</v>
      </c>
      <c r="R87" s="65">
        <v>37.750422999999998</v>
      </c>
      <c r="S87" s="65">
        <v>37.786053000000003</v>
      </c>
      <c r="T87" s="65">
        <v>37.940215999999999</v>
      </c>
      <c r="U87" s="65">
        <v>38.143802999999998</v>
      </c>
      <c r="V87" s="65">
        <v>38.455813999999997</v>
      </c>
      <c r="W87" s="65">
        <v>38.90654</v>
      </c>
      <c r="X87" s="65">
        <v>39.278931</v>
      </c>
      <c r="Y87" s="65">
        <v>39.614319000000002</v>
      </c>
      <c r="Z87" s="65">
        <v>39.917251999999998</v>
      </c>
      <c r="AA87" s="65">
        <v>40.319705999999996</v>
      </c>
      <c r="AB87" s="65">
        <v>40.535553</v>
      </c>
      <c r="AC87" s="65">
        <v>40.795734000000003</v>
      </c>
      <c r="AD87" s="65">
        <v>40.938175000000001</v>
      </c>
      <c r="AE87" s="65">
        <v>41.159942999999998</v>
      </c>
      <c r="AF87" s="65">
        <v>41.480941999999999</v>
      </c>
      <c r="AG87" s="65">
        <v>41.805934999999998</v>
      </c>
      <c r="AH87" s="65">
        <v>42.058723000000001</v>
      </c>
      <c r="AI87" s="65">
        <v>42.331260999999998</v>
      </c>
      <c r="AJ87" s="65">
        <v>42.552399000000001</v>
      </c>
      <c r="AK87" s="65">
        <v>42.753760999999997</v>
      </c>
      <c r="AL87" s="65">
        <v>43.036667000000001</v>
      </c>
      <c r="AM87" s="13">
        <v>4.8040000000000001E-3</v>
      </c>
    </row>
    <row r="88" spans="1:39" ht="15" customHeight="1" x14ac:dyDescent="0.25">
      <c r="A88" s="7" t="s">
        <v>1221</v>
      </c>
      <c r="B88" s="11" t="s">
        <v>1127</v>
      </c>
      <c r="C88" s="65">
        <v>-37.379395000000002</v>
      </c>
      <c r="D88" s="65">
        <v>-32.774048000000001</v>
      </c>
      <c r="E88" s="65">
        <v>-43.755859000000001</v>
      </c>
      <c r="F88" s="65">
        <v>-38.473998999999999</v>
      </c>
      <c r="G88" s="65">
        <v>-32.729979999999998</v>
      </c>
      <c r="H88" s="65">
        <v>-31.963622999999998</v>
      </c>
      <c r="I88" s="65">
        <v>-30.672118999999999</v>
      </c>
      <c r="J88" s="65">
        <v>-29.226685</v>
      </c>
      <c r="K88" s="65">
        <v>-27.532104</v>
      </c>
      <c r="L88" s="65">
        <v>-25.307617</v>
      </c>
      <c r="M88" s="65">
        <v>-22.965332</v>
      </c>
      <c r="N88" s="65">
        <v>-20.910522</v>
      </c>
      <c r="O88" s="65">
        <v>-19.132446000000002</v>
      </c>
      <c r="P88" s="65">
        <v>-17.361694</v>
      </c>
      <c r="Q88" s="65">
        <v>-15.704712000000001</v>
      </c>
      <c r="R88" s="65">
        <v>-14.199218999999999</v>
      </c>
      <c r="S88" s="65">
        <v>-12.709716999999999</v>
      </c>
      <c r="T88" s="65">
        <v>-11.273192999999999</v>
      </c>
      <c r="U88" s="65">
        <v>-10.037108999999999</v>
      </c>
      <c r="V88" s="65">
        <v>-8.8643800000000006</v>
      </c>
      <c r="W88" s="65">
        <v>-7.850098</v>
      </c>
      <c r="X88" s="65">
        <v>-7.0460209999999996</v>
      </c>
      <c r="Y88" s="65">
        <v>-6.365723</v>
      </c>
      <c r="Z88" s="65">
        <v>-5.7254639999999997</v>
      </c>
      <c r="AA88" s="65">
        <v>-5.1458740000000001</v>
      </c>
      <c r="AB88" s="65">
        <v>-4.4650879999999997</v>
      </c>
      <c r="AC88" s="65">
        <v>-4.0665279999999999</v>
      </c>
      <c r="AD88" s="65">
        <v>-3.6713870000000002</v>
      </c>
      <c r="AE88" s="65">
        <v>-3.3939210000000002</v>
      </c>
      <c r="AF88" s="65">
        <v>-3.1467290000000001</v>
      </c>
      <c r="AG88" s="65">
        <v>-2.9123540000000001</v>
      </c>
      <c r="AH88" s="65">
        <v>-2.7456049999999999</v>
      </c>
      <c r="AI88" s="65">
        <v>-2.557007</v>
      </c>
      <c r="AJ88" s="65">
        <v>-2.3968509999999998</v>
      </c>
      <c r="AK88" s="65">
        <v>-2.2845460000000002</v>
      </c>
      <c r="AL88" s="65">
        <v>-2.2418209999999998</v>
      </c>
      <c r="AM88" s="13">
        <v>-7.5860999999999998E-2</v>
      </c>
    </row>
    <row r="89" spans="1:39" ht="15" customHeight="1" x14ac:dyDescent="0.25">
      <c r="A89" s="7" t="s">
        <v>1222</v>
      </c>
      <c r="B89" s="10" t="s">
        <v>1223</v>
      </c>
      <c r="C89" s="142">
        <v>1863.6248780000001</v>
      </c>
      <c r="D89" s="142">
        <v>1866.360962</v>
      </c>
      <c r="E89" s="142">
        <v>1865.0040280000001</v>
      </c>
      <c r="F89" s="142">
        <v>1876.9758300000001</v>
      </c>
      <c r="G89" s="142">
        <v>1879.4578859999999</v>
      </c>
      <c r="H89" s="142">
        <v>1872.8498540000001</v>
      </c>
      <c r="I89" s="142">
        <v>1866.262939</v>
      </c>
      <c r="J89" s="142">
        <v>1856.847168</v>
      </c>
      <c r="K89" s="142">
        <v>1841.9772949999999</v>
      </c>
      <c r="L89" s="142">
        <v>1823.2030030000001</v>
      </c>
      <c r="M89" s="142">
        <v>1799.935547</v>
      </c>
      <c r="N89" s="142">
        <v>1778.8077390000001</v>
      </c>
      <c r="O89" s="142">
        <v>1761.2857670000001</v>
      </c>
      <c r="P89" s="142">
        <v>1747.486572</v>
      </c>
      <c r="Q89" s="142">
        <v>1734.9027100000001</v>
      </c>
      <c r="R89" s="142">
        <v>1722.431885</v>
      </c>
      <c r="S89" s="142">
        <v>1710.850586</v>
      </c>
      <c r="T89" s="142">
        <v>1701.104736</v>
      </c>
      <c r="U89" s="142">
        <v>1696.440063</v>
      </c>
      <c r="V89" s="142">
        <v>1695.290894</v>
      </c>
      <c r="W89" s="142">
        <v>1697.008789</v>
      </c>
      <c r="X89" s="142">
        <v>1699.855225</v>
      </c>
      <c r="Y89" s="142">
        <v>1705.3980710000001</v>
      </c>
      <c r="Z89" s="142">
        <v>1713.801025</v>
      </c>
      <c r="AA89" s="142">
        <v>1721.6889650000001</v>
      </c>
      <c r="AB89" s="142">
        <v>1728.755737</v>
      </c>
      <c r="AC89" s="142">
        <v>1737.9063719999999</v>
      </c>
      <c r="AD89" s="142">
        <v>1749.3995359999999</v>
      </c>
      <c r="AE89" s="142">
        <v>1763.3819579999999</v>
      </c>
      <c r="AF89" s="142">
        <v>1777.380737</v>
      </c>
      <c r="AG89" s="142">
        <v>1791.1489260000001</v>
      </c>
      <c r="AH89" s="142">
        <v>1805.1365969999999</v>
      </c>
      <c r="AI89" s="142">
        <v>1817.9414059999999</v>
      </c>
      <c r="AJ89" s="142">
        <v>1831.429077</v>
      </c>
      <c r="AK89" s="142">
        <v>1847.2854</v>
      </c>
      <c r="AL89" s="142">
        <v>1864.3238530000001</v>
      </c>
      <c r="AM89" s="15">
        <v>-3.1999999999999999E-5</v>
      </c>
    </row>
    <row r="92" spans="1:39" ht="15" customHeight="1" x14ac:dyDescent="0.25">
      <c r="B92" s="10" t="s">
        <v>1224</v>
      </c>
    </row>
    <row r="93" spans="1:39" ht="15" customHeight="1" x14ac:dyDescent="0.25">
      <c r="A93" s="7" t="s">
        <v>1225</v>
      </c>
      <c r="B93" s="11" t="s">
        <v>1226</v>
      </c>
      <c r="C93" s="65">
        <v>194.41035500000001</v>
      </c>
      <c r="D93" s="65">
        <v>174.74148600000001</v>
      </c>
      <c r="E93" s="65">
        <v>172.69464099999999</v>
      </c>
      <c r="F93" s="65">
        <v>178.05265800000001</v>
      </c>
      <c r="G93" s="65">
        <v>181.787994</v>
      </c>
      <c r="H93" s="65">
        <v>183.694244</v>
      </c>
      <c r="I93" s="65">
        <v>185.49929800000001</v>
      </c>
      <c r="J93" s="65">
        <v>188.357178</v>
      </c>
      <c r="K93" s="65">
        <v>190.73979199999999</v>
      </c>
      <c r="L93" s="65">
        <v>192.36367799999999</v>
      </c>
      <c r="M93" s="65">
        <v>192.44390899999999</v>
      </c>
      <c r="N93" s="65">
        <v>193.37129200000001</v>
      </c>
      <c r="O93" s="65">
        <v>196.13504</v>
      </c>
      <c r="P93" s="65">
        <v>196.166687</v>
      </c>
      <c r="Q93" s="65">
        <v>196.532455</v>
      </c>
      <c r="R93" s="65">
        <v>195.876419</v>
      </c>
      <c r="S93" s="65">
        <v>195.600311</v>
      </c>
      <c r="T93" s="65">
        <v>195.46743799999999</v>
      </c>
      <c r="U93" s="65">
        <v>194.49546799999999</v>
      </c>
      <c r="V93" s="65">
        <v>194.29109199999999</v>
      </c>
      <c r="W93" s="65">
        <v>194.71676600000001</v>
      </c>
      <c r="X93" s="65">
        <v>194.82020600000001</v>
      </c>
      <c r="Y93" s="65">
        <v>195.13473500000001</v>
      </c>
      <c r="Z93" s="65">
        <v>197.293533</v>
      </c>
      <c r="AA93" s="65">
        <v>198.17643699999999</v>
      </c>
      <c r="AB93" s="65">
        <v>198.62681599999999</v>
      </c>
      <c r="AC93" s="65">
        <v>199.13288900000001</v>
      </c>
      <c r="AD93" s="65">
        <v>200.80088799999999</v>
      </c>
      <c r="AE93" s="65">
        <v>202.05422999999999</v>
      </c>
      <c r="AF93" s="65">
        <v>203.56764200000001</v>
      </c>
      <c r="AG93" s="65">
        <v>204.877411</v>
      </c>
      <c r="AH93" s="65">
        <v>205.79887400000001</v>
      </c>
      <c r="AI93" s="65">
        <v>205.856537</v>
      </c>
      <c r="AJ93" s="65">
        <v>206.98576399999999</v>
      </c>
      <c r="AK93" s="65">
        <v>206.72950700000001</v>
      </c>
      <c r="AL93" s="65">
        <v>207.48855599999999</v>
      </c>
      <c r="AM93" s="13">
        <v>5.0650000000000001E-3</v>
      </c>
    </row>
    <row r="94" spans="1:39" ht="15" customHeight="1" x14ac:dyDescent="0.25">
      <c r="A94" s="7" t="s">
        <v>1227</v>
      </c>
      <c r="B94" s="11" t="s">
        <v>1228</v>
      </c>
      <c r="C94" s="65">
        <v>19.735082999999999</v>
      </c>
      <c r="D94" s="65">
        <v>9.3808790000000002</v>
      </c>
      <c r="E94" s="65">
        <v>8.5265679999999993</v>
      </c>
      <c r="F94" s="65">
        <v>10.350289</v>
      </c>
      <c r="G94" s="65">
        <v>12.378386000000001</v>
      </c>
      <c r="H94" s="65">
        <v>12.995229999999999</v>
      </c>
      <c r="I94" s="65">
        <v>12.890193999999999</v>
      </c>
      <c r="J94" s="65">
        <v>13.654609000000001</v>
      </c>
      <c r="K94" s="65">
        <v>13.742839999999999</v>
      </c>
      <c r="L94" s="65">
        <v>14.519384000000001</v>
      </c>
      <c r="M94" s="65">
        <v>15.021212</v>
      </c>
      <c r="N94" s="65">
        <v>16.807825000000001</v>
      </c>
      <c r="O94" s="65">
        <v>19.197952000000001</v>
      </c>
      <c r="P94" s="65">
        <v>19.300093</v>
      </c>
      <c r="Q94" s="65">
        <v>20.116306000000002</v>
      </c>
      <c r="R94" s="65">
        <v>20.409586000000001</v>
      </c>
      <c r="S94" s="65">
        <v>20.643180999999998</v>
      </c>
      <c r="T94" s="65">
        <v>21.152211999999999</v>
      </c>
      <c r="U94" s="65">
        <v>20.356731</v>
      </c>
      <c r="V94" s="65">
        <v>20.171837</v>
      </c>
      <c r="W94" s="65">
        <v>20.514790000000001</v>
      </c>
      <c r="X94" s="65">
        <v>20.416723000000001</v>
      </c>
      <c r="Y94" s="65">
        <v>19.924292000000001</v>
      </c>
      <c r="Z94" s="65">
        <v>21.037019999999998</v>
      </c>
      <c r="AA94" s="65">
        <v>21.321005</v>
      </c>
      <c r="AB94" s="65">
        <v>21.138864999999999</v>
      </c>
      <c r="AC94" s="65">
        <v>20.664375</v>
      </c>
      <c r="AD94" s="65">
        <v>21.275766000000001</v>
      </c>
      <c r="AE94" s="65">
        <v>21.367266000000001</v>
      </c>
      <c r="AF94" s="65">
        <v>21.896737999999999</v>
      </c>
      <c r="AG94" s="65">
        <v>22.275824</v>
      </c>
      <c r="AH94" s="65">
        <v>22.431318000000001</v>
      </c>
      <c r="AI94" s="65">
        <v>22.062777000000001</v>
      </c>
      <c r="AJ94" s="65">
        <v>22.834340999999998</v>
      </c>
      <c r="AK94" s="65">
        <v>22.078880000000002</v>
      </c>
      <c r="AL94" s="65">
        <v>22.412728999999999</v>
      </c>
      <c r="AM94" s="13">
        <v>2.5947000000000001E-2</v>
      </c>
    </row>
    <row r="95" spans="1:39" ht="15" customHeight="1" x14ac:dyDescent="0.25">
      <c r="A95" s="7" t="s">
        <v>1229</v>
      </c>
      <c r="B95" s="11" t="s">
        <v>1230</v>
      </c>
      <c r="C95" s="65">
        <v>174.675262</v>
      </c>
      <c r="D95" s="65">
        <v>165.36061100000001</v>
      </c>
      <c r="E95" s="65">
        <v>164.16807600000001</v>
      </c>
      <c r="F95" s="65">
        <v>167.70237700000001</v>
      </c>
      <c r="G95" s="65">
        <v>169.40960699999999</v>
      </c>
      <c r="H95" s="65">
        <v>170.69901999999999</v>
      </c>
      <c r="I95" s="65">
        <v>172.60910000000001</v>
      </c>
      <c r="J95" s="65">
        <v>174.70257599999999</v>
      </c>
      <c r="K95" s="65">
        <v>176.996948</v>
      </c>
      <c r="L95" s="65">
        <v>177.84429900000001</v>
      </c>
      <c r="M95" s="65">
        <v>177.422684</v>
      </c>
      <c r="N95" s="65">
        <v>176.56347700000001</v>
      </c>
      <c r="O95" s="65">
        <v>176.937073</v>
      </c>
      <c r="P95" s="65">
        <v>176.866592</v>
      </c>
      <c r="Q95" s="65">
        <v>176.41615300000001</v>
      </c>
      <c r="R95" s="65">
        <v>175.46684300000001</v>
      </c>
      <c r="S95" s="65">
        <v>174.957123</v>
      </c>
      <c r="T95" s="65">
        <v>174.31521599999999</v>
      </c>
      <c r="U95" s="65">
        <v>174.13874799999999</v>
      </c>
      <c r="V95" s="65">
        <v>174.11926299999999</v>
      </c>
      <c r="W95" s="65">
        <v>174.20198099999999</v>
      </c>
      <c r="X95" s="65">
        <v>174.40347299999999</v>
      </c>
      <c r="Y95" s="65">
        <v>175.21044900000001</v>
      </c>
      <c r="Z95" s="65">
        <v>176.256516</v>
      </c>
      <c r="AA95" s="65">
        <v>176.855423</v>
      </c>
      <c r="AB95" s="65">
        <v>177.48796100000001</v>
      </c>
      <c r="AC95" s="65">
        <v>178.46852100000001</v>
      </c>
      <c r="AD95" s="65">
        <v>179.525116</v>
      </c>
      <c r="AE95" s="65">
        <v>180.68696600000001</v>
      </c>
      <c r="AF95" s="65">
        <v>181.67091400000001</v>
      </c>
      <c r="AG95" s="65">
        <v>182.60159300000001</v>
      </c>
      <c r="AH95" s="65">
        <v>183.36755400000001</v>
      </c>
      <c r="AI95" s="65">
        <v>183.793747</v>
      </c>
      <c r="AJ95" s="65">
        <v>184.15142800000001</v>
      </c>
      <c r="AK95" s="65">
        <v>184.65062</v>
      </c>
      <c r="AL95" s="65">
        <v>185.07583600000001</v>
      </c>
      <c r="AM95" s="13">
        <v>3.3180000000000002E-3</v>
      </c>
    </row>
    <row r="96" spans="1:39" ht="15" customHeight="1" x14ac:dyDescent="0.25">
      <c r="A96" s="7" t="s">
        <v>1231</v>
      </c>
      <c r="B96" s="11" t="s">
        <v>1232</v>
      </c>
      <c r="C96" s="65">
        <v>22.246395</v>
      </c>
      <c r="D96" s="65">
        <v>23.564159</v>
      </c>
      <c r="E96" s="65">
        <v>23.482935000000001</v>
      </c>
      <c r="F96" s="65">
        <v>24.221878</v>
      </c>
      <c r="G96" s="65">
        <v>24.730806000000001</v>
      </c>
      <c r="H96" s="65">
        <v>24.981103999999998</v>
      </c>
      <c r="I96" s="65">
        <v>25.067242</v>
      </c>
      <c r="J96" s="65">
        <v>25.271598999999998</v>
      </c>
      <c r="K96" s="65">
        <v>24.522686</v>
      </c>
      <c r="L96" s="65">
        <v>24.868956000000001</v>
      </c>
      <c r="M96" s="65">
        <v>24.114552</v>
      </c>
      <c r="N96" s="65">
        <v>24.344294000000001</v>
      </c>
      <c r="O96" s="65">
        <v>24.157361999999999</v>
      </c>
      <c r="P96" s="65">
        <v>24.577421000000001</v>
      </c>
      <c r="Q96" s="65">
        <v>24.626214999999998</v>
      </c>
      <c r="R96" s="65">
        <v>24.850823999999999</v>
      </c>
      <c r="S96" s="65">
        <v>24.65793</v>
      </c>
      <c r="T96" s="65">
        <v>24.486091999999999</v>
      </c>
      <c r="U96" s="65">
        <v>24.482042</v>
      </c>
      <c r="V96" s="65">
        <v>25.098755000000001</v>
      </c>
      <c r="W96" s="65">
        <v>25.721838000000002</v>
      </c>
      <c r="X96" s="65">
        <v>25.365176999999999</v>
      </c>
      <c r="Y96" s="65">
        <v>26.102077000000001</v>
      </c>
      <c r="Z96" s="65">
        <v>25.543737</v>
      </c>
      <c r="AA96" s="65">
        <v>26.213543000000001</v>
      </c>
      <c r="AB96" s="65">
        <v>26.4834</v>
      </c>
      <c r="AC96" s="65">
        <v>26.610529</v>
      </c>
      <c r="AD96" s="65">
        <v>26.730464999999999</v>
      </c>
      <c r="AE96" s="65">
        <v>26.880068000000001</v>
      </c>
      <c r="AF96" s="65">
        <v>27.405024000000001</v>
      </c>
      <c r="AG96" s="65">
        <v>27.527408999999999</v>
      </c>
      <c r="AH96" s="65">
        <v>27.610430000000001</v>
      </c>
      <c r="AI96" s="65">
        <v>27.392382000000001</v>
      </c>
      <c r="AJ96" s="65">
        <v>27.800913000000001</v>
      </c>
      <c r="AK96" s="65">
        <v>27.796883000000001</v>
      </c>
      <c r="AL96" s="65">
        <v>27.42388</v>
      </c>
      <c r="AM96" s="13">
        <v>4.4710000000000001E-3</v>
      </c>
    </row>
    <row r="97" spans="1:39" ht="15" customHeight="1" x14ac:dyDescent="0.25">
      <c r="A97" s="7" t="s">
        <v>1233</v>
      </c>
      <c r="B97" s="11" t="s">
        <v>1234</v>
      </c>
      <c r="C97" s="65">
        <v>79.524338</v>
      </c>
      <c r="D97" s="65">
        <v>84.253592999999995</v>
      </c>
      <c r="E97" s="65">
        <v>84.170174000000003</v>
      </c>
      <c r="F97" s="65">
        <v>81.880500999999995</v>
      </c>
      <c r="G97" s="65">
        <v>81.710303999999994</v>
      </c>
      <c r="H97" s="65">
        <v>81.258232000000007</v>
      </c>
      <c r="I97" s="65">
        <v>80.868362000000005</v>
      </c>
      <c r="J97" s="65">
        <v>80.884842000000006</v>
      </c>
      <c r="K97" s="65">
        <v>80.892143000000004</v>
      </c>
      <c r="L97" s="65">
        <v>80.815887000000004</v>
      </c>
      <c r="M97" s="65">
        <v>80.890349999999998</v>
      </c>
      <c r="N97" s="65">
        <v>80.057381000000007</v>
      </c>
      <c r="O97" s="65">
        <v>79.899979000000002</v>
      </c>
      <c r="P97" s="65">
        <v>79.878990000000002</v>
      </c>
      <c r="Q97" s="65">
        <v>79.774856999999997</v>
      </c>
      <c r="R97" s="65">
        <v>79.786063999999996</v>
      </c>
      <c r="S97" s="65">
        <v>78.789558</v>
      </c>
      <c r="T97" s="65">
        <v>78.483406000000002</v>
      </c>
      <c r="U97" s="65">
        <v>78.478110999999998</v>
      </c>
      <c r="V97" s="65">
        <v>78.478226000000006</v>
      </c>
      <c r="W97" s="65">
        <v>78.478226000000006</v>
      </c>
      <c r="X97" s="65">
        <v>78.481369000000001</v>
      </c>
      <c r="Y97" s="65">
        <v>78.571548000000007</v>
      </c>
      <c r="Z97" s="65">
        <v>78.758842000000001</v>
      </c>
      <c r="AA97" s="65">
        <v>78.935219000000004</v>
      </c>
      <c r="AB97" s="65">
        <v>78.986823999999999</v>
      </c>
      <c r="AC97" s="65">
        <v>78.600791999999998</v>
      </c>
      <c r="AD97" s="65">
        <v>78.527717999999993</v>
      </c>
      <c r="AE97" s="65">
        <v>78.354873999999995</v>
      </c>
      <c r="AF97" s="65">
        <v>78.354896999999994</v>
      </c>
      <c r="AG97" s="65">
        <v>78.240334000000004</v>
      </c>
      <c r="AH97" s="65">
        <v>78.230712999999994</v>
      </c>
      <c r="AI97" s="65">
        <v>78.423171999999994</v>
      </c>
      <c r="AJ97" s="65">
        <v>78.316917000000004</v>
      </c>
      <c r="AK97" s="65">
        <v>77.127105999999998</v>
      </c>
      <c r="AL97" s="65">
        <v>74.856414999999998</v>
      </c>
      <c r="AM97" s="13">
        <v>-3.4719999999999998E-3</v>
      </c>
    </row>
    <row r="98" spans="1:39" ht="15" customHeight="1" x14ac:dyDescent="0.25">
      <c r="A98" s="7" t="s">
        <v>1235</v>
      </c>
      <c r="B98" s="11" t="s">
        <v>1236</v>
      </c>
      <c r="C98" s="65">
        <v>78.974402999999995</v>
      </c>
      <c r="D98" s="65">
        <v>80.469109000000003</v>
      </c>
      <c r="E98" s="65">
        <v>80.767432999999997</v>
      </c>
      <c r="F98" s="65">
        <v>81.768066000000005</v>
      </c>
      <c r="G98" s="65">
        <v>81.262848000000005</v>
      </c>
      <c r="H98" s="65">
        <v>80.457840000000004</v>
      </c>
      <c r="I98" s="65">
        <v>79.501480000000001</v>
      </c>
      <c r="J98" s="65">
        <v>78.766129000000006</v>
      </c>
      <c r="K98" s="65">
        <v>78.181945999999996</v>
      </c>
      <c r="L98" s="65">
        <v>77.715941999999998</v>
      </c>
      <c r="M98" s="65">
        <v>77.185730000000007</v>
      </c>
      <c r="N98" s="65">
        <v>76.156158000000005</v>
      </c>
      <c r="O98" s="65">
        <v>75.407096999999993</v>
      </c>
      <c r="P98" s="65">
        <v>74.986480999999998</v>
      </c>
      <c r="Q98" s="65">
        <v>74.477478000000005</v>
      </c>
      <c r="R98" s="65">
        <v>74.092833999999996</v>
      </c>
      <c r="S98" s="65">
        <v>73.573111999999995</v>
      </c>
      <c r="T98" s="65">
        <v>73.127350000000007</v>
      </c>
      <c r="U98" s="65">
        <v>72.855384999999998</v>
      </c>
      <c r="V98" s="65">
        <v>72.787070999999997</v>
      </c>
      <c r="W98" s="65">
        <v>72.818862999999993</v>
      </c>
      <c r="X98" s="65">
        <v>72.820694000000003</v>
      </c>
      <c r="Y98" s="65">
        <v>72.820732000000007</v>
      </c>
      <c r="Z98" s="65">
        <v>72.818900999999997</v>
      </c>
      <c r="AA98" s="65">
        <v>72.821692999999996</v>
      </c>
      <c r="AB98" s="65">
        <v>72.820442</v>
      </c>
      <c r="AC98" s="65">
        <v>72.820496000000006</v>
      </c>
      <c r="AD98" s="65">
        <v>72.900238000000002</v>
      </c>
      <c r="AE98" s="65">
        <v>73.079505999999995</v>
      </c>
      <c r="AF98" s="65">
        <v>73.704116999999997</v>
      </c>
      <c r="AG98" s="65">
        <v>74.783241000000004</v>
      </c>
      <c r="AH98" s="65">
        <v>76.166267000000005</v>
      </c>
      <c r="AI98" s="65">
        <v>78.059867999999994</v>
      </c>
      <c r="AJ98" s="65">
        <v>79.993369999999999</v>
      </c>
      <c r="AK98" s="65">
        <v>81.975250000000003</v>
      </c>
      <c r="AL98" s="65">
        <v>83.262969999999996</v>
      </c>
      <c r="AM98" s="13">
        <v>1.0039999999999999E-3</v>
      </c>
    </row>
    <row r="99" spans="1:39" ht="15" customHeight="1" x14ac:dyDescent="0.25">
      <c r="A99" s="7" t="s">
        <v>1237</v>
      </c>
      <c r="B99" s="11" t="s">
        <v>1238</v>
      </c>
      <c r="C99" s="65">
        <v>16.023817000000001</v>
      </c>
      <c r="D99" s="65">
        <v>20.243946000000001</v>
      </c>
      <c r="E99" s="65">
        <v>21.229042</v>
      </c>
      <c r="F99" s="65">
        <v>21.475853000000001</v>
      </c>
      <c r="G99" s="65">
        <v>22.340872000000001</v>
      </c>
      <c r="H99" s="65">
        <v>22.389075999999999</v>
      </c>
      <c r="I99" s="65">
        <v>21.346927999999998</v>
      </c>
      <c r="J99" s="65">
        <v>19.809070999999999</v>
      </c>
      <c r="K99" s="65">
        <v>17.917622000000001</v>
      </c>
      <c r="L99" s="65">
        <v>15.637677999999999</v>
      </c>
      <c r="M99" s="65">
        <v>12.901367</v>
      </c>
      <c r="N99" s="65">
        <v>9.6321069999999995</v>
      </c>
      <c r="O99" s="65">
        <v>6.4305960000000004</v>
      </c>
      <c r="P99" s="65">
        <v>6.457605</v>
      </c>
      <c r="Q99" s="65">
        <v>6.4870760000000001</v>
      </c>
      <c r="R99" s="65">
        <v>6.5192290000000002</v>
      </c>
      <c r="S99" s="65">
        <v>6.5451079999999999</v>
      </c>
      <c r="T99" s="65">
        <v>6.5735270000000003</v>
      </c>
      <c r="U99" s="65">
        <v>6.6258790000000003</v>
      </c>
      <c r="V99" s="65">
        <v>6.6788970000000001</v>
      </c>
      <c r="W99" s="65">
        <v>6.7224789999999999</v>
      </c>
      <c r="X99" s="65">
        <v>6.7456740000000002</v>
      </c>
      <c r="Y99" s="65">
        <v>6.7889039999999996</v>
      </c>
      <c r="Z99" s="65">
        <v>6.8318149999999997</v>
      </c>
      <c r="AA99" s="65">
        <v>6.9220430000000004</v>
      </c>
      <c r="AB99" s="65">
        <v>6.8747490000000004</v>
      </c>
      <c r="AC99" s="65">
        <v>6.917967</v>
      </c>
      <c r="AD99" s="65">
        <v>7.0381900000000002</v>
      </c>
      <c r="AE99" s="65">
        <v>7.0851059999999997</v>
      </c>
      <c r="AF99" s="65">
        <v>7.1192849999999996</v>
      </c>
      <c r="AG99" s="65">
        <v>7.153098</v>
      </c>
      <c r="AH99" s="65">
        <v>7.1908969999999997</v>
      </c>
      <c r="AI99" s="65">
        <v>7.2283869999999997</v>
      </c>
      <c r="AJ99" s="65">
        <v>7.2683999999999997</v>
      </c>
      <c r="AK99" s="65">
        <v>7.3048820000000001</v>
      </c>
      <c r="AL99" s="65">
        <v>7.2590339999999998</v>
      </c>
      <c r="AM99" s="13">
        <v>-2.9714999999999998E-2</v>
      </c>
    </row>
    <row r="100" spans="1:39" ht="15" customHeight="1" x14ac:dyDescent="0.25">
      <c r="A100" s="7" t="s">
        <v>1239</v>
      </c>
      <c r="B100" s="11" t="s">
        <v>1240</v>
      </c>
      <c r="C100" s="65">
        <v>2.366E-2</v>
      </c>
      <c r="D100" s="65">
        <v>0.115254</v>
      </c>
      <c r="E100" s="65">
        <v>0.58640099999999995</v>
      </c>
      <c r="F100" s="65">
        <v>0.56138999999999994</v>
      </c>
      <c r="G100" s="65">
        <v>0.34601100000000001</v>
      </c>
      <c r="H100" s="65">
        <v>0.134239</v>
      </c>
      <c r="I100" s="65">
        <v>0</v>
      </c>
      <c r="J100" s="65">
        <v>0.18549399999999999</v>
      </c>
      <c r="K100" s="65">
        <v>0.42650700000000002</v>
      </c>
      <c r="L100" s="65">
        <v>0.47069</v>
      </c>
      <c r="M100" s="65">
        <v>0.75165800000000005</v>
      </c>
      <c r="N100" s="65">
        <v>0.53228799999999998</v>
      </c>
      <c r="O100" s="65">
        <v>0.75165800000000005</v>
      </c>
      <c r="P100" s="65">
        <v>0.75165800000000005</v>
      </c>
      <c r="Q100" s="65">
        <v>0.75165800000000005</v>
      </c>
      <c r="R100" s="65">
        <v>0.75165800000000005</v>
      </c>
      <c r="S100" s="65">
        <v>0.75165800000000005</v>
      </c>
      <c r="T100" s="65">
        <v>0.75165800000000005</v>
      </c>
      <c r="U100" s="65">
        <v>0.75165800000000005</v>
      </c>
      <c r="V100" s="65">
        <v>0.75165800000000005</v>
      </c>
      <c r="W100" s="65">
        <v>0.75165800000000005</v>
      </c>
      <c r="X100" s="65">
        <v>0.75165800000000005</v>
      </c>
      <c r="Y100" s="65">
        <v>0.75165800000000005</v>
      </c>
      <c r="Z100" s="65">
        <v>0.75165800000000005</v>
      </c>
      <c r="AA100" s="65">
        <v>0.75165800000000005</v>
      </c>
      <c r="AB100" s="65">
        <v>0.75165800000000005</v>
      </c>
      <c r="AC100" s="65">
        <v>0.75165800000000005</v>
      </c>
      <c r="AD100" s="65">
        <v>0.66698100000000005</v>
      </c>
      <c r="AE100" s="65">
        <v>0.47069</v>
      </c>
      <c r="AF100" s="65">
        <v>0.47069</v>
      </c>
      <c r="AG100" s="65">
        <v>0.47069</v>
      </c>
      <c r="AH100" s="65">
        <v>0.47069</v>
      </c>
      <c r="AI100" s="65">
        <v>0.75165800000000005</v>
      </c>
      <c r="AJ100" s="65">
        <v>0.75165800000000005</v>
      </c>
      <c r="AK100" s="65">
        <v>0.75165800000000005</v>
      </c>
      <c r="AL100" s="65">
        <v>0.75165800000000005</v>
      </c>
      <c r="AM100" s="13">
        <v>5.67E-2</v>
      </c>
    </row>
    <row r="101" spans="1:39" ht="15" customHeight="1" x14ac:dyDescent="0.25">
      <c r="A101" s="7" t="s">
        <v>1241</v>
      </c>
      <c r="B101" s="11" t="s">
        <v>1242</v>
      </c>
      <c r="C101" s="65">
        <v>0.40496399999999999</v>
      </c>
      <c r="D101" s="65">
        <v>0</v>
      </c>
      <c r="E101" s="65">
        <v>1.6624639999999999</v>
      </c>
      <c r="F101" s="65">
        <v>3.102474</v>
      </c>
      <c r="G101" s="65">
        <v>4.1842290000000002</v>
      </c>
      <c r="H101" s="65">
        <v>5.2656679999999998</v>
      </c>
      <c r="I101" s="65">
        <v>6.3818960000000002</v>
      </c>
      <c r="J101" s="65">
        <v>7.9224930000000002</v>
      </c>
      <c r="K101" s="65">
        <v>9.7904409999999995</v>
      </c>
      <c r="L101" s="65">
        <v>12.031916000000001</v>
      </c>
      <c r="M101" s="65">
        <v>14.721624</v>
      </c>
      <c r="N101" s="65">
        <v>17.933133999999999</v>
      </c>
      <c r="O101" s="65">
        <v>21.117156999999999</v>
      </c>
      <c r="P101" s="65">
        <v>21.116610999999999</v>
      </c>
      <c r="Q101" s="65">
        <v>21.115155999999999</v>
      </c>
      <c r="R101" s="65">
        <v>21.11375</v>
      </c>
      <c r="S101" s="65">
        <v>21.110600000000002</v>
      </c>
      <c r="T101" s="65">
        <v>21.110312</v>
      </c>
      <c r="U101" s="65">
        <v>21.111269</v>
      </c>
      <c r="V101" s="65">
        <v>21.111236999999999</v>
      </c>
      <c r="W101" s="65">
        <v>21.111183</v>
      </c>
      <c r="X101" s="65">
        <v>21.111103</v>
      </c>
      <c r="Y101" s="65">
        <v>21.110996</v>
      </c>
      <c r="Z101" s="65">
        <v>21.110861</v>
      </c>
      <c r="AA101" s="65">
        <v>21.045465</v>
      </c>
      <c r="AB101" s="65">
        <v>21.110914000000001</v>
      </c>
      <c r="AC101" s="65">
        <v>21.111502000000002</v>
      </c>
      <c r="AD101" s="65">
        <v>21.029813999999998</v>
      </c>
      <c r="AE101" s="65">
        <v>21.029668999999998</v>
      </c>
      <c r="AF101" s="65">
        <v>21.029512</v>
      </c>
      <c r="AG101" s="65">
        <v>21.029347999999999</v>
      </c>
      <c r="AH101" s="65">
        <v>21.02919</v>
      </c>
      <c r="AI101" s="65">
        <v>21.029053000000001</v>
      </c>
      <c r="AJ101" s="65">
        <v>21.028932999999999</v>
      </c>
      <c r="AK101" s="65">
        <v>21.02882</v>
      </c>
      <c r="AL101" s="65">
        <v>21.117722000000001</v>
      </c>
      <c r="AM101" s="13" t="s">
        <v>13</v>
      </c>
    </row>
    <row r="102" spans="1:39" ht="15" customHeight="1" thickBot="1" x14ac:dyDescent="0.3">
      <c r="A102" s="7" t="s">
        <v>1243</v>
      </c>
      <c r="B102" s="10" t="s">
        <v>1244</v>
      </c>
      <c r="C102" s="142">
        <v>391.60791</v>
      </c>
      <c r="D102" s="142">
        <v>383.38757299999997</v>
      </c>
      <c r="E102" s="142">
        <v>384.59307899999999</v>
      </c>
      <c r="F102" s="142">
        <v>391.062836</v>
      </c>
      <c r="G102" s="142">
        <v>396.363068</v>
      </c>
      <c r="H102" s="142">
        <v>398.18038899999999</v>
      </c>
      <c r="I102" s="142">
        <v>398.66522200000003</v>
      </c>
      <c r="J102" s="142">
        <v>401.196777</v>
      </c>
      <c r="K102" s="142">
        <v>402.471161</v>
      </c>
      <c r="L102" s="142">
        <v>403.90475500000002</v>
      </c>
      <c r="M102" s="142">
        <v>403.00915500000002</v>
      </c>
      <c r="N102" s="142">
        <v>402.02667200000002</v>
      </c>
      <c r="O102" s="142">
        <v>403.89889499999998</v>
      </c>
      <c r="P102" s="142">
        <v>403.93545499999999</v>
      </c>
      <c r="Q102" s="142">
        <v>403.76486199999999</v>
      </c>
      <c r="R102" s="142">
        <v>402.99075299999998</v>
      </c>
      <c r="S102" s="142">
        <v>401.02825899999999</v>
      </c>
      <c r="T102" s="142">
        <v>399.99975599999999</v>
      </c>
      <c r="U102" s="142">
        <v>398.79980499999999</v>
      </c>
      <c r="V102" s="142">
        <v>399.19693000000001</v>
      </c>
      <c r="W102" s="142">
        <v>400.32095299999997</v>
      </c>
      <c r="X102" s="142">
        <v>400.09585600000003</v>
      </c>
      <c r="Y102" s="142">
        <v>401.28064000000001</v>
      </c>
      <c r="Z102" s="142">
        <v>403.10934400000002</v>
      </c>
      <c r="AA102" s="142">
        <v>404.86602800000003</v>
      </c>
      <c r="AB102" s="142">
        <v>405.654785</v>
      </c>
      <c r="AC102" s="142">
        <v>405.945831</v>
      </c>
      <c r="AD102" s="142">
        <v>407.69430499999999</v>
      </c>
      <c r="AE102" s="142">
        <v>408.95416299999999</v>
      </c>
      <c r="AF102" s="142">
        <v>411.651184</v>
      </c>
      <c r="AG102" s="142">
        <v>414.08154300000001</v>
      </c>
      <c r="AH102" s="142">
        <v>416.49707000000001</v>
      </c>
      <c r="AI102" s="142">
        <v>418.74105800000001</v>
      </c>
      <c r="AJ102" s="142">
        <v>422.14596599999999</v>
      </c>
      <c r="AK102" s="142">
        <v>422.71408100000002</v>
      </c>
      <c r="AL102" s="142">
        <v>422.16021699999999</v>
      </c>
      <c r="AM102" s="15">
        <v>2.8379999999999998E-3</v>
      </c>
    </row>
    <row r="103" spans="1:39" ht="15" customHeight="1" x14ac:dyDescent="0.25">
      <c r="B103" s="364" t="s">
        <v>1245</v>
      </c>
      <c r="C103" s="364"/>
      <c r="D103" s="364"/>
      <c r="E103" s="364"/>
      <c r="F103" s="364"/>
      <c r="G103" s="364"/>
      <c r="H103" s="364"/>
      <c r="I103" s="364"/>
      <c r="J103" s="364"/>
      <c r="K103" s="364"/>
      <c r="L103" s="364"/>
      <c r="M103" s="364"/>
      <c r="N103" s="364"/>
      <c r="O103" s="364"/>
      <c r="P103" s="364"/>
      <c r="Q103" s="364"/>
      <c r="R103" s="364"/>
      <c r="S103" s="364"/>
      <c r="T103" s="364"/>
      <c r="U103" s="364"/>
      <c r="V103" s="364"/>
      <c r="W103" s="364"/>
      <c r="X103" s="364"/>
      <c r="Y103" s="364"/>
      <c r="Z103" s="364"/>
      <c r="AA103" s="364"/>
      <c r="AB103" s="364"/>
      <c r="AC103" s="364"/>
      <c r="AD103" s="364"/>
      <c r="AE103" s="364"/>
      <c r="AF103" s="364"/>
      <c r="AG103" s="364"/>
      <c r="AH103" s="364"/>
      <c r="AI103" s="364"/>
      <c r="AJ103" s="364"/>
      <c r="AK103" s="364"/>
      <c r="AL103" s="364"/>
      <c r="AM103" s="364"/>
    </row>
    <row r="104" spans="1:39" ht="15" customHeight="1" x14ac:dyDescent="0.25">
      <c r="B104" s="18" t="s">
        <v>1246</v>
      </c>
    </row>
    <row r="105" spans="1:39" ht="15" customHeight="1" x14ac:dyDescent="0.25">
      <c r="B105" s="18" t="s">
        <v>1247</v>
      </c>
    </row>
    <row r="106" spans="1:39" ht="15" customHeight="1" x14ac:dyDescent="0.25">
      <c r="B106" s="18" t="s">
        <v>1248</v>
      </c>
    </row>
    <row r="107" spans="1:39" ht="15" customHeight="1" x14ac:dyDescent="0.25">
      <c r="B107" s="18" t="s">
        <v>1249</v>
      </c>
    </row>
    <row r="108" spans="1:39" ht="15" customHeight="1" x14ac:dyDescent="0.25">
      <c r="B108" s="18" t="s">
        <v>1250</v>
      </c>
    </row>
    <row r="109" spans="1:39" ht="15" customHeight="1" x14ac:dyDescent="0.25">
      <c r="B109" s="18" t="s">
        <v>1251</v>
      </c>
    </row>
    <row r="110" spans="1:39" ht="15" customHeight="1" x14ac:dyDescent="0.25">
      <c r="B110" s="18" t="s">
        <v>1252</v>
      </c>
    </row>
    <row r="111" spans="1:39" ht="15" customHeight="1" x14ac:dyDescent="0.25">
      <c r="B111" s="18" t="s">
        <v>1253</v>
      </c>
    </row>
    <row r="112" spans="1:39" ht="15" customHeight="1" x14ac:dyDescent="0.25">
      <c r="B112" s="18" t="s">
        <v>1254</v>
      </c>
    </row>
    <row r="113" spans="2:2" ht="15" customHeight="1" x14ac:dyDescent="0.25">
      <c r="B113" s="18" t="s">
        <v>1255</v>
      </c>
    </row>
    <row r="114" spans="2:2" ht="15" customHeight="1" x14ac:dyDescent="0.25">
      <c r="B114" s="18" t="s">
        <v>1256</v>
      </c>
    </row>
    <row r="115" spans="2:2" ht="15" customHeight="1" x14ac:dyDescent="0.25">
      <c r="B115" s="18" t="s">
        <v>1257</v>
      </c>
    </row>
    <row r="116" spans="2:2" ht="15" customHeight="1" x14ac:dyDescent="0.25">
      <c r="B116" s="18" t="s">
        <v>1258</v>
      </c>
    </row>
    <row r="117" spans="2:2" ht="15" customHeight="1" x14ac:dyDescent="0.25">
      <c r="B117" s="18" t="s">
        <v>1259</v>
      </c>
    </row>
    <row r="118" spans="2:2" ht="15" customHeight="1" x14ac:dyDescent="0.25">
      <c r="B118" s="18" t="s">
        <v>1260</v>
      </c>
    </row>
    <row r="119" spans="2:2" ht="15" customHeight="1" x14ac:dyDescent="0.25">
      <c r="B119" s="18" t="s">
        <v>1261</v>
      </c>
    </row>
    <row r="120" spans="2:2" ht="15" customHeight="1" x14ac:dyDescent="0.25">
      <c r="B120" s="18" t="s">
        <v>1262</v>
      </c>
    </row>
    <row r="121" spans="2:2" ht="15" customHeight="1" x14ac:dyDescent="0.25">
      <c r="B121" s="18" t="s">
        <v>1263</v>
      </c>
    </row>
    <row r="122" spans="2:2" ht="15" customHeight="1" x14ac:dyDescent="0.25">
      <c r="B122" s="18" t="s">
        <v>1264</v>
      </c>
    </row>
    <row r="123" spans="2:2" ht="15" customHeight="1" x14ac:dyDescent="0.25">
      <c r="B123" s="18" t="s">
        <v>206</v>
      </c>
    </row>
    <row r="124" spans="2:2" ht="15" customHeight="1" x14ac:dyDescent="0.25">
      <c r="B124" s="18" t="s">
        <v>635</v>
      </c>
    </row>
    <row r="125" spans="2:2" ht="15" customHeight="1" x14ac:dyDescent="0.25">
      <c r="B125" s="18" t="s">
        <v>636</v>
      </c>
    </row>
    <row r="126" spans="2:2" ht="15" customHeight="1" x14ac:dyDescent="0.25">
      <c r="B126" s="18" t="s">
        <v>1265</v>
      </c>
    </row>
    <row r="127" spans="2:2" ht="15" customHeight="1" x14ac:dyDescent="0.25">
      <c r="B127" s="18" t="s">
        <v>217</v>
      </c>
    </row>
    <row r="128" spans="2:2" ht="15" customHeight="1" x14ac:dyDescent="0.25">
      <c r="B128" s="18" t="s">
        <v>218</v>
      </c>
    </row>
  </sheetData>
  <mergeCells count="1">
    <mergeCell ref="B103:AM10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5" tint="0.79998168889431442"/>
  </sheetPr>
  <dimension ref="A1:AM76"/>
  <sheetViews>
    <sheetView topLeftCell="B1" workbookViewId="0">
      <selection activeCell="E37" sqref="E37"/>
    </sheetView>
  </sheetViews>
  <sheetFormatPr defaultRowHeight="15" x14ac:dyDescent="0.25"/>
  <cols>
    <col min="1" max="1" width="20.85546875" hidden="1" customWidth="1"/>
    <col min="2" max="2" width="45.7109375" customWidth="1"/>
  </cols>
  <sheetData>
    <row r="1" spans="1:39" ht="15" customHeight="1" thickBot="1" x14ac:dyDescent="0.3">
      <c r="B1" s="4" t="s">
        <v>15</v>
      </c>
      <c r="C1" s="5">
        <v>2015</v>
      </c>
      <c r="D1" s="5">
        <v>2016</v>
      </c>
      <c r="E1" s="5">
        <v>2017</v>
      </c>
      <c r="F1" s="5">
        <v>2018</v>
      </c>
      <c r="G1" s="5">
        <v>2019</v>
      </c>
      <c r="H1" s="5">
        <v>2020</v>
      </c>
      <c r="I1" s="5">
        <v>2021</v>
      </c>
      <c r="J1" s="5">
        <v>2022</v>
      </c>
      <c r="K1" s="5">
        <v>2023</v>
      </c>
      <c r="L1" s="5">
        <v>2024</v>
      </c>
      <c r="M1" s="5">
        <v>2025</v>
      </c>
      <c r="N1" s="5">
        <v>2026</v>
      </c>
      <c r="O1" s="5">
        <v>2027</v>
      </c>
      <c r="P1" s="5">
        <v>2028</v>
      </c>
      <c r="Q1" s="5">
        <v>2029</v>
      </c>
      <c r="R1" s="5">
        <v>2030</v>
      </c>
      <c r="S1" s="5">
        <v>2031</v>
      </c>
      <c r="T1" s="5">
        <v>2032</v>
      </c>
      <c r="U1" s="5">
        <v>2033</v>
      </c>
      <c r="V1" s="5">
        <v>2034</v>
      </c>
      <c r="W1" s="5">
        <v>2035</v>
      </c>
      <c r="X1" s="5">
        <v>2036</v>
      </c>
      <c r="Y1" s="5">
        <v>2037</v>
      </c>
      <c r="Z1" s="5">
        <v>2038</v>
      </c>
      <c r="AA1" s="5">
        <v>2039</v>
      </c>
      <c r="AB1" s="5">
        <v>2040</v>
      </c>
      <c r="AC1" s="5">
        <v>2041</v>
      </c>
      <c r="AD1" s="5">
        <v>2042</v>
      </c>
      <c r="AE1" s="5">
        <v>2043</v>
      </c>
      <c r="AF1" s="5">
        <v>2044</v>
      </c>
      <c r="AG1" s="5">
        <v>2045</v>
      </c>
      <c r="AH1" s="5">
        <v>2046</v>
      </c>
      <c r="AI1" s="5">
        <v>2047</v>
      </c>
      <c r="AJ1" s="5">
        <v>2048</v>
      </c>
      <c r="AK1" s="5">
        <v>2049</v>
      </c>
      <c r="AL1" s="5">
        <v>2050</v>
      </c>
    </row>
    <row r="2" spans="1:39" ht="15" customHeight="1" thickTop="1" x14ac:dyDescent="0.25"/>
    <row r="3" spans="1:39" ht="15" customHeight="1" x14ac:dyDescent="0.25">
      <c r="C3" s="6" t="s">
        <v>16</v>
      </c>
      <c r="D3" s="6" t="s">
        <v>17</v>
      </c>
      <c r="E3" s="6"/>
      <c r="F3" s="6"/>
      <c r="G3" s="6"/>
    </row>
    <row r="4" spans="1:39" ht="15" customHeight="1" x14ac:dyDescent="0.25">
      <c r="C4" s="6" t="s">
        <v>18</v>
      </c>
      <c r="D4" s="6" t="s">
        <v>19</v>
      </c>
      <c r="E4" s="6"/>
      <c r="F4" s="6"/>
      <c r="G4" s="6" t="s">
        <v>20</v>
      </c>
    </row>
    <row r="5" spans="1:39" ht="15" customHeight="1" x14ac:dyDescent="0.25">
      <c r="C5" s="6" t="s">
        <v>21</v>
      </c>
      <c r="D5" s="6" t="s">
        <v>22</v>
      </c>
      <c r="E5" s="6"/>
      <c r="F5" s="6"/>
      <c r="G5" s="6"/>
    </row>
    <row r="6" spans="1:39" ht="15" customHeight="1" x14ac:dyDescent="0.25">
      <c r="C6" s="6" t="s">
        <v>23</v>
      </c>
      <c r="D6" s="6"/>
      <c r="E6" s="6" t="s">
        <v>24</v>
      </c>
      <c r="F6" s="6"/>
      <c r="G6" s="6"/>
    </row>
    <row r="10" spans="1:39" ht="15" customHeight="1" x14ac:dyDescent="0.25">
      <c r="A10" s="7" t="s">
        <v>822</v>
      </c>
      <c r="B10" s="8" t="s">
        <v>823</v>
      </c>
    </row>
    <row r="11" spans="1:39" ht="15" customHeight="1" x14ac:dyDescent="0.25">
      <c r="B11" s="4" t="s">
        <v>824</v>
      </c>
    </row>
    <row r="12" spans="1:39" ht="15" customHeight="1" x14ac:dyDescent="0.25">
      <c r="B12" s="4" t="s">
        <v>27</v>
      </c>
      <c r="C12" s="9" t="s">
        <v>27</v>
      </c>
      <c r="D12" s="9" t="s">
        <v>27</v>
      </c>
      <c r="E12" s="9" t="s">
        <v>27</v>
      </c>
      <c r="F12" s="9" t="s">
        <v>27</v>
      </c>
      <c r="G12" s="9" t="s">
        <v>27</v>
      </c>
      <c r="H12" s="9" t="s">
        <v>27</v>
      </c>
      <c r="I12" s="9" t="s">
        <v>27</v>
      </c>
      <c r="J12" s="9" t="s">
        <v>27</v>
      </c>
      <c r="K12" s="9" t="s">
        <v>27</v>
      </c>
      <c r="L12" s="9" t="s">
        <v>27</v>
      </c>
      <c r="M12" s="9" t="s">
        <v>27</v>
      </c>
      <c r="N12" s="9" t="s">
        <v>27</v>
      </c>
      <c r="O12" s="9" t="s">
        <v>27</v>
      </c>
      <c r="P12" s="9" t="s">
        <v>27</v>
      </c>
      <c r="Q12" s="9" t="s">
        <v>27</v>
      </c>
      <c r="R12" s="9" t="s">
        <v>27</v>
      </c>
      <c r="S12" s="9" t="s">
        <v>27</v>
      </c>
      <c r="T12" s="9" t="s">
        <v>27</v>
      </c>
      <c r="U12" s="9" t="s">
        <v>27</v>
      </c>
      <c r="V12" s="9" t="s">
        <v>27</v>
      </c>
      <c r="W12" s="9" t="s">
        <v>27</v>
      </c>
      <c r="X12" s="9" t="s">
        <v>27</v>
      </c>
      <c r="Y12" s="9" t="s">
        <v>27</v>
      </c>
      <c r="Z12" s="9" t="s">
        <v>27</v>
      </c>
      <c r="AA12" s="9" t="s">
        <v>27</v>
      </c>
      <c r="AB12" s="9" t="s">
        <v>27</v>
      </c>
      <c r="AC12" s="9" t="s">
        <v>27</v>
      </c>
      <c r="AD12" s="9" t="s">
        <v>27</v>
      </c>
      <c r="AE12" s="9" t="s">
        <v>27</v>
      </c>
      <c r="AF12" s="9" t="s">
        <v>27</v>
      </c>
      <c r="AG12" s="9" t="s">
        <v>27</v>
      </c>
      <c r="AH12" s="9" t="s">
        <v>27</v>
      </c>
      <c r="AI12" s="9" t="s">
        <v>27</v>
      </c>
      <c r="AJ12" s="9" t="s">
        <v>27</v>
      </c>
      <c r="AK12" s="9" t="s">
        <v>27</v>
      </c>
      <c r="AL12" s="9" t="s">
        <v>27</v>
      </c>
      <c r="AM12" s="9" t="s">
        <v>28</v>
      </c>
    </row>
    <row r="13" spans="1:39" ht="15" customHeight="1" thickBot="1" x14ac:dyDescent="0.3">
      <c r="B13" s="5" t="s">
        <v>655</v>
      </c>
      <c r="C13" s="5">
        <v>2015</v>
      </c>
      <c r="D13" s="5">
        <v>2016</v>
      </c>
      <c r="E13" s="5">
        <v>2017</v>
      </c>
      <c r="F13" s="5">
        <v>2018</v>
      </c>
      <c r="G13" s="5">
        <v>2019</v>
      </c>
      <c r="H13" s="5">
        <v>2020</v>
      </c>
      <c r="I13" s="5">
        <v>2021</v>
      </c>
      <c r="J13" s="5">
        <v>2022</v>
      </c>
      <c r="K13" s="5">
        <v>2023</v>
      </c>
      <c r="L13" s="5">
        <v>2024</v>
      </c>
      <c r="M13" s="5">
        <v>2025</v>
      </c>
      <c r="N13" s="5">
        <v>2026</v>
      </c>
      <c r="O13" s="5">
        <v>2027</v>
      </c>
      <c r="P13" s="5">
        <v>2028</v>
      </c>
      <c r="Q13" s="5">
        <v>2029</v>
      </c>
      <c r="R13" s="5">
        <v>2030</v>
      </c>
      <c r="S13" s="5">
        <v>2031</v>
      </c>
      <c r="T13" s="5">
        <v>2032</v>
      </c>
      <c r="U13" s="5">
        <v>2033</v>
      </c>
      <c r="V13" s="5">
        <v>2034</v>
      </c>
      <c r="W13" s="5">
        <v>2035</v>
      </c>
      <c r="X13" s="5">
        <v>2036</v>
      </c>
      <c r="Y13" s="5">
        <v>2037</v>
      </c>
      <c r="Z13" s="5">
        <v>2038</v>
      </c>
      <c r="AA13" s="5">
        <v>2039</v>
      </c>
      <c r="AB13" s="5">
        <v>2040</v>
      </c>
      <c r="AC13" s="5">
        <v>2041</v>
      </c>
      <c r="AD13" s="5">
        <v>2042</v>
      </c>
      <c r="AE13" s="5">
        <v>2043</v>
      </c>
      <c r="AF13" s="5">
        <v>2044</v>
      </c>
      <c r="AG13" s="5">
        <v>2045</v>
      </c>
      <c r="AH13" s="5">
        <v>2046</v>
      </c>
      <c r="AI13" s="5">
        <v>2047</v>
      </c>
      <c r="AJ13" s="5">
        <v>2048</v>
      </c>
      <c r="AK13" s="5">
        <v>2049</v>
      </c>
      <c r="AL13" s="5">
        <v>2050</v>
      </c>
      <c r="AM13" s="5">
        <v>2050</v>
      </c>
    </row>
    <row r="14" spans="1:39" ht="15" customHeight="1" thickTop="1" x14ac:dyDescent="0.25"/>
    <row r="15" spans="1:39" ht="15" customHeight="1" x14ac:dyDescent="0.25">
      <c r="A15" s="7" t="s">
        <v>825</v>
      </c>
      <c r="B15" s="10" t="s">
        <v>826</v>
      </c>
      <c r="C15" s="14">
        <v>16397.199218999998</v>
      </c>
      <c r="D15" s="14">
        <v>16651.755859000001</v>
      </c>
      <c r="E15" s="14">
        <v>17114.085938</v>
      </c>
      <c r="F15" s="14">
        <v>17498.886718999998</v>
      </c>
      <c r="G15" s="14">
        <v>17817.175781000002</v>
      </c>
      <c r="H15" s="14">
        <v>18241.738281000002</v>
      </c>
      <c r="I15" s="14">
        <v>18743.529297000001</v>
      </c>
      <c r="J15" s="14">
        <v>19249.800781000002</v>
      </c>
      <c r="K15" s="14">
        <v>19714.537109000001</v>
      </c>
      <c r="L15" s="14">
        <v>20191.773438</v>
      </c>
      <c r="M15" s="14">
        <v>20622.427734000001</v>
      </c>
      <c r="N15" s="14">
        <v>20981.949218999998</v>
      </c>
      <c r="O15" s="14">
        <v>21373.255859000001</v>
      </c>
      <c r="P15" s="14">
        <v>21813.589843999998</v>
      </c>
      <c r="Q15" s="14">
        <v>22235.851562</v>
      </c>
      <c r="R15" s="14">
        <v>22643.792968999998</v>
      </c>
      <c r="S15" s="14">
        <v>23051.390625</v>
      </c>
      <c r="T15" s="14">
        <v>23474.199218999998</v>
      </c>
      <c r="U15" s="14">
        <v>23972.359375</v>
      </c>
      <c r="V15" s="14">
        <v>24525.697265999999</v>
      </c>
      <c r="W15" s="14">
        <v>25074.664062</v>
      </c>
      <c r="X15" s="14">
        <v>25618.132812</v>
      </c>
      <c r="Y15" s="14">
        <v>26183.863281000002</v>
      </c>
      <c r="Z15" s="14">
        <v>26807.712890999999</v>
      </c>
      <c r="AA15" s="14">
        <v>27377.617188</v>
      </c>
      <c r="AB15" s="14">
        <v>27907.738281000002</v>
      </c>
      <c r="AC15" s="14">
        <v>28466.025390999999</v>
      </c>
      <c r="AD15" s="14">
        <v>29052.296875</v>
      </c>
      <c r="AE15" s="14">
        <v>29663.330077999999</v>
      </c>
      <c r="AF15" s="14">
        <v>30259.375</v>
      </c>
      <c r="AG15" s="14">
        <v>30846.851562</v>
      </c>
      <c r="AH15" s="14">
        <v>31429.761718999998</v>
      </c>
      <c r="AI15" s="14">
        <v>31987.488281000002</v>
      </c>
      <c r="AJ15" s="14">
        <v>32541.974609000001</v>
      </c>
      <c r="AK15" s="14">
        <v>33141.273437999997</v>
      </c>
      <c r="AL15" s="14">
        <v>33744.835937999997</v>
      </c>
      <c r="AM15" s="15">
        <v>2.0990999999999999E-2</v>
      </c>
    </row>
    <row r="16" spans="1:39" ht="15" customHeight="1" x14ac:dyDescent="0.25">
      <c r="B16" s="10" t="s">
        <v>827</v>
      </c>
    </row>
    <row r="17" spans="1:39" ht="15" customHeight="1" x14ac:dyDescent="0.25">
      <c r="A17" s="7" t="s">
        <v>828</v>
      </c>
      <c r="B17" s="11" t="s">
        <v>829</v>
      </c>
      <c r="C17" s="12">
        <v>11214.723633</v>
      </c>
      <c r="D17" s="12">
        <v>11522.065430000001</v>
      </c>
      <c r="E17" s="12">
        <v>11837.297852</v>
      </c>
      <c r="F17" s="12">
        <v>12124</v>
      </c>
      <c r="G17" s="12">
        <v>12391.299805000001</v>
      </c>
      <c r="H17" s="12">
        <v>12677.537109000001</v>
      </c>
      <c r="I17" s="12">
        <v>13027.157227</v>
      </c>
      <c r="J17" s="12">
        <v>13399.275390999999</v>
      </c>
      <c r="K17" s="12">
        <v>13747.379883</v>
      </c>
      <c r="L17" s="12">
        <v>14107.565430000001</v>
      </c>
      <c r="M17" s="12">
        <v>14449.147461</v>
      </c>
      <c r="N17" s="12">
        <v>14744.349609000001</v>
      </c>
      <c r="O17" s="12">
        <v>15036.267578000001</v>
      </c>
      <c r="P17" s="12">
        <v>15360.759765999999</v>
      </c>
      <c r="Q17" s="12">
        <v>15685.900390999999</v>
      </c>
      <c r="R17" s="12">
        <v>15993.657227</v>
      </c>
      <c r="S17" s="12">
        <v>16300.679688</v>
      </c>
      <c r="T17" s="12">
        <v>16623.205077999999</v>
      </c>
      <c r="U17" s="12">
        <v>16979.212890999999</v>
      </c>
      <c r="V17" s="12">
        <v>17371.402343999998</v>
      </c>
      <c r="W17" s="12">
        <v>17769.863281000002</v>
      </c>
      <c r="X17" s="12">
        <v>18175.056640999999</v>
      </c>
      <c r="Y17" s="12">
        <v>18592.462890999999</v>
      </c>
      <c r="Z17" s="12">
        <v>19042.957031000002</v>
      </c>
      <c r="AA17" s="12">
        <v>19482.917968999998</v>
      </c>
      <c r="AB17" s="12">
        <v>19891.810547000001</v>
      </c>
      <c r="AC17" s="12">
        <v>20308.976562</v>
      </c>
      <c r="AD17" s="12">
        <v>20747.091797000001</v>
      </c>
      <c r="AE17" s="12">
        <v>21198.810547000001</v>
      </c>
      <c r="AF17" s="12">
        <v>21648.533202999999</v>
      </c>
      <c r="AG17" s="12">
        <v>22095.642577999999</v>
      </c>
      <c r="AH17" s="12">
        <v>22545.123047000001</v>
      </c>
      <c r="AI17" s="12">
        <v>22989.535156000002</v>
      </c>
      <c r="AJ17" s="12">
        <v>23434.677734000001</v>
      </c>
      <c r="AK17" s="12">
        <v>23907.304688</v>
      </c>
      <c r="AL17" s="12">
        <v>24387.664062</v>
      </c>
      <c r="AM17" s="13">
        <v>2.2297999999999998E-2</v>
      </c>
    </row>
    <row r="18" spans="1:39" ht="15" customHeight="1" x14ac:dyDescent="0.25">
      <c r="A18" s="7" t="s">
        <v>830</v>
      </c>
      <c r="B18" s="11" t="s">
        <v>831</v>
      </c>
      <c r="C18" s="12">
        <v>2869.0249020000001</v>
      </c>
      <c r="D18" s="12">
        <v>2815.689453</v>
      </c>
      <c r="E18" s="12">
        <v>2985.8630370000001</v>
      </c>
      <c r="F18" s="12">
        <v>3164.263672</v>
      </c>
      <c r="G18" s="12">
        <v>3221.149414</v>
      </c>
      <c r="H18" s="12">
        <v>3345.4809570000002</v>
      </c>
      <c r="I18" s="12">
        <v>3491.8725589999999</v>
      </c>
      <c r="J18" s="12">
        <v>3620.3178710000002</v>
      </c>
      <c r="K18" s="12">
        <v>3719.5263669999999</v>
      </c>
      <c r="L18" s="12">
        <v>3830.4440920000002</v>
      </c>
      <c r="M18" s="12">
        <v>3925.976318</v>
      </c>
      <c r="N18" s="12">
        <v>3980.7973630000001</v>
      </c>
      <c r="O18" s="12">
        <v>4061.3745119999999</v>
      </c>
      <c r="P18" s="12">
        <v>4154.4370120000003</v>
      </c>
      <c r="Q18" s="12">
        <v>4240.0712890000004</v>
      </c>
      <c r="R18" s="12">
        <v>4323.6782229999999</v>
      </c>
      <c r="S18" s="12">
        <v>4409.482422</v>
      </c>
      <c r="T18" s="12">
        <v>4487.7915039999998</v>
      </c>
      <c r="U18" s="12">
        <v>4600.4384769999997</v>
      </c>
      <c r="V18" s="12">
        <v>4753.6118159999996</v>
      </c>
      <c r="W18" s="12">
        <v>4890.1010740000002</v>
      </c>
      <c r="X18" s="12">
        <v>5017.0961909999996</v>
      </c>
      <c r="Y18" s="12">
        <v>5137.5498049999997</v>
      </c>
      <c r="Z18" s="12">
        <v>5280.9765619999998</v>
      </c>
      <c r="AA18" s="12">
        <v>5397.453125</v>
      </c>
      <c r="AB18" s="12">
        <v>5496.28125</v>
      </c>
      <c r="AC18" s="12">
        <v>5622.5971680000002</v>
      </c>
      <c r="AD18" s="12">
        <v>5754.3305659999996</v>
      </c>
      <c r="AE18" s="12">
        <v>5900.6015619999998</v>
      </c>
      <c r="AF18" s="12">
        <v>6046.7333980000003</v>
      </c>
      <c r="AG18" s="12">
        <v>6187.7338870000003</v>
      </c>
      <c r="AH18" s="12">
        <v>6326.3686520000001</v>
      </c>
      <c r="AI18" s="12">
        <v>6454.6235349999997</v>
      </c>
      <c r="AJ18" s="12">
        <v>6567.4565430000002</v>
      </c>
      <c r="AK18" s="12">
        <v>6706.8608400000003</v>
      </c>
      <c r="AL18" s="12">
        <v>6845.5224609999996</v>
      </c>
      <c r="AM18" s="13">
        <v>2.6473E-2</v>
      </c>
    </row>
    <row r="19" spans="1:39" ht="15" customHeight="1" x14ac:dyDescent="0.25">
      <c r="A19" s="7" t="s">
        <v>832</v>
      </c>
      <c r="B19" s="11" t="s">
        <v>833</v>
      </c>
      <c r="C19" s="12">
        <v>2883.6999510000001</v>
      </c>
      <c r="D19" s="12">
        <v>2919.2092290000001</v>
      </c>
      <c r="E19" s="12">
        <v>2944.5095209999999</v>
      </c>
      <c r="F19" s="12">
        <v>2949.139404</v>
      </c>
      <c r="G19" s="12">
        <v>2950.4060060000002</v>
      </c>
      <c r="H19" s="12">
        <v>2952.9929200000001</v>
      </c>
      <c r="I19" s="12">
        <v>2957.8659670000002</v>
      </c>
      <c r="J19" s="12">
        <v>2975.7734380000002</v>
      </c>
      <c r="K19" s="12">
        <v>2998.4208979999999</v>
      </c>
      <c r="L19" s="12">
        <v>3018.4035640000002</v>
      </c>
      <c r="M19" s="12">
        <v>3039.1804200000001</v>
      </c>
      <c r="N19" s="12">
        <v>3057.7873540000001</v>
      </c>
      <c r="O19" s="12">
        <v>3079.5864259999998</v>
      </c>
      <c r="P19" s="12">
        <v>3111.6896969999998</v>
      </c>
      <c r="Q19" s="12">
        <v>3148.2614749999998</v>
      </c>
      <c r="R19" s="12">
        <v>3188.6860350000002</v>
      </c>
      <c r="S19" s="12">
        <v>3221.633789</v>
      </c>
      <c r="T19" s="12">
        <v>3257.1860350000002</v>
      </c>
      <c r="U19" s="12">
        <v>3294.2685550000001</v>
      </c>
      <c r="V19" s="12">
        <v>3336.1450199999999</v>
      </c>
      <c r="W19" s="12">
        <v>3378.8085940000001</v>
      </c>
      <c r="X19" s="12">
        <v>3419.6748050000001</v>
      </c>
      <c r="Y19" s="12">
        <v>3459.2609859999998</v>
      </c>
      <c r="Z19" s="12">
        <v>3500.2646479999999</v>
      </c>
      <c r="AA19" s="12">
        <v>3543.1596679999998</v>
      </c>
      <c r="AB19" s="12">
        <v>3586.2192380000001</v>
      </c>
      <c r="AC19" s="12">
        <v>3618.8032229999999</v>
      </c>
      <c r="AD19" s="12">
        <v>3658.8991700000001</v>
      </c>
      <c r="AE19" s="12">
        <v>3701.5288089999999</v>
      </c>
      <c r="AF19" s="12">
        <v>3744.3637699999999</v>
      </c>
      <c r="AG19" s="12">
        <v>3787.391846</v>
      </c>
      <c r="AH19" s="12">
        <v>3829.0173340000001</v>
      </c>
      <c r="AI19" s="12">
        <v>3870.7937010000001</v>
      </c>
      <c r="AJ19" s="12">
        <v>3915.2734380000002</v>
      </c>
      <c r="AK19" s="12">
        <v>3960.7414549999999</v>
      </c>
      <c r="AL19" s="12">
        <v>4013.256836</v>
      </c>
      <c r="AM19" s="13">
        <v>9.4050000000000002E-3</v>
      </c>
    </row>
    <row r="20" spans="1:39" ht="15" customHeight="1" x14ac:dyDescent="0.25">
      <c r="A20" s="7" t="s">
        <v>834</v>
      </c>
      <c r="B20" s="11" t="s">
        <v>835</v>
      </c>
      <c r="C20" s="12">
        <v>2120.5852049999999</v>
      </c>
      <c r="D20" s="12">
        <v>2113.6320799999999</v>
      </c>
      <c r="E20" s="12">
        <v>2204.1442870000001</v>
      </c>
      <c r="F20" s="12">
        <v>2267.804443</v>
      </c>
      <c r="G20" s="12">
        <v>2351.1992190000001</v>
      </c>
      <c r="H20" s="12">
        <v>2489.3598630000001</v>
      </c>
      <c r="I20" s="12">
        <v>2657.6899410000001</v>
      </c>
      <c r="J20" s="12">
        <v>2811.1022950000001</v>
      </c>
      <c r="K20" s="12">
        <v>2953.4860840000001</v>
      </c>
      <c r="L20" s="12">
        <v>3108.7465820000002</v>
      </c>
      <c r="M20" s="12">
        <v>3251.3576659999999</v>
      </c>
      <c r="N20" s="12">
        <v>3377.2004390000002</v>
      </c>
      <c r="O20" s="12">
        <v>3520.063232</v>
      </c>
      <c r="P20" s="12">
        <v>3675.9877929999998</v>
      </c>
      <c r="Q20" s="12">
        <v>3822.220703</v>
      </c>
      <c r="R20" s="12">
        <v>3959.5205080000001</v>
      </c>
      <c r="S20" s="12">
        <v>4105.2680659999996</v>
      </c>
      <c r="T20" s="12">
        <v>4259.4497069999998</v>
      </c>
      <c r="U20" s="12">
        <v>4443.486328</v>
      </c>
      <c r="V20" s="12">
        <v>4623.6938479999999</v>
      </c>
      <c r="W20" s="12">
        <v>4802.5893550000001</v>
      </c>
      <c r="X20" s="12">
        <v>4970.1416019999997</v>
      </c>
      <c r="Y20" s="12">
        <v>5162.5590819999998</v>
      </c>
      <c r="Z20" s="12">
        <v>5370.076172</v>
      </c>
      <c r="AA20" s="12">
        <v>5554.8129879999997</v>
      </c>
      <c r="AB20" s="12">
        <v>5733.1933589999999</v>
      </c>
      <c r="AC20" s="12">
        <v>5931.0073240000002</v>
      </c>
      <c r="AD20" s="12">
        <v>6138.4365230000003</v>
      </c>
      <c r="AE20" s="12">
        <v>6343.3242190000001</v>
      </c>
      <c r="AF20" s="12">
        <v>6539.7338870000003</v>
      </c>
      <c r="AG20" s="12">
        <v>6735.9233400000003</v>
      </c>
      <c r="AH20" s="12">
        <v>6933.4653319999998</v>
      </c>
      <c r="AI20" s="12">
        <v>7115.4125979999999</v>
      </c>
      <c r="AJ20" s="12">
        <v>7299.8652339999999</v>
      </c>
      <c r="AK20" s="12">
        <v>7504.0161129999997</v>
      </c>
      <c r="AL20" s="12">
        <v>7700.828125</v>
      </c>
      <c r="AM20" s="13">
        <v>3.8759000000000002E-2</v>
      </c>
    </row>
    <row r="21" spans="1:39" ht="15" customHeight="1" x14ac:dyDescent="0.25">
      <c r="A21" s="7" t="s">
        <v>836</v>
      </c>
      <c r="B21" s="11" t="s">
        <v>837</v>
      </c>
      <c r="C21" s="12">
        <v>2660.5397950000001</v>
      </c>
      <c r="D21" s="12">
        <v>2691.6071780000002</v>
      </c>
      <c r="E21" s="12">
        <v>2831.1560060000002</v>
      </c>
      <c r="F21" s="12">
        <v>2983.5715329999998</v>
      </c>
      <c r="G21" s="12">
        <v>3074.4645999999998</v>
      </c>
      <c r="H21" s="12">
        <v>3198.6762699999999</v>
      </c>
      <c r="I21" s="12">
        <v>3364.913818</v>
      </c>
      <c r="J21" s="12">
        <v>3530.8251949999999</v>
      </c>
      <c r="K21" s="12">
        <v>3678.4099120000001</v>
      </c>
      <c r="L21" s="12">
        <v>3848.2414549999999</v>
      </c>
      <c r="M21" s="12">
        <v>4021.2741700000001</v>
      </c>
      <c r="N21" s="12">
        <v>4158.3496089999999</v>
      </c>
      <c r="O21" s="12">
        <v>4304.2607420000004</v>
      </c>
      <c r="P21" s="12">
        <v>4470.3535160000001</v>
      </c>
      <c r="Q21" s="12">
        <v>4645.7216799999997</v>
      </c>
      <c r="R21" s="12">
        <v>4810.5649409999996</v>
      </c>
      <c r="S21" s="12">
        <v>4976.6547849999997</v>
      </c>
      <c r="T21" s="12">
        <v>5146.4057620000003</v>
      </c>
      <c r="U21" s="12">
        <v>5336.3486329999996</v>
      </c>
      <c r="V21" s="12">
        <v>5550.3823240000002</v>
      </c>
      <c r="W21" s="12">
        <v>5757.8125</v>
      </c>
      <c r="X21" s="12">
        <v>5955.0122069999998</v>
      </c>
      <c r="Y21" s="12">
        <v>6155.8520509999998</v>
      </c>
      <c r="Z21" s="12">
        <v>6368.6850590000004</v>
      </c>
      <c r="AA21" s="12">
        <v>6583.5854490000002</v>
      </c>
      <c r="AB21" s="12">
        <v>6782.78125</v>
      </c>
      <c r="AC21" s="12">
        <v>6994.3979490000002</v>
      </c>
      <c r="AD21" s="12">
        <v>7223.1313479999999</v>
      </c>
      <c r="AE21" s="12">
        <v>7455.2978519999997</v>
      </c>
      <c r="AF21" s="12">
        <v>7695.6254879999997</v>
      </c>
      <c r="AG21" s="12">
        <v>7937.6752930000002</v>
      </c>
      <c r="AH21" s="12">
        <v>8185.4370120000003</v>
      </c>
      <c r="AI21" s="12">
        <v>8431.5400389999995</v>
      </c>
      <c r="AJ21" s="12">
        <v>8670.6835940000001</v>
      </c>
      <c r="AK21" s="12">
        <v>8940.8125</v>
      </c>
      <c r="AL21" s="12">
        <v>9217.546875</v>
      </c>
      <c r="AM21" s="13">
        <v>3.6867999999999998E-2</v>
      </c>
    </row>
    <row r="23" spans="1:39" ht="15" customHeight="1" x14ac:dyDescent="0.25">
      <c r="B23" s="10" t="s">
        <v>838</v>
      </c>
    </row>
    <row r="24" spans="1:39" ht="15" customHeight="1" x14ac:dyDescent="0.25">
      <c r="B24" s="10" t="s">
        <v>839</v>
      </c>
    </row>
    <row r="25" spans="1:39" ht="15" customHeight="1" x14ac:dyDescent="0.25">
      <c r="A25" s="7" t="s">
        <v>840</v>
      </c>
      <c r="B25" s="11" t="s">
        <v>841</v>
      </c>
      <c r="C25" s="16">
        <v>4.3581149999999997</v>
      </c>
      <c r="D25" s="16">
        <v>4.3035059999999996</v>
      </c>
      <c r="E25" s="16">
        <v>4.2325439999999999</v>
      </c>
      <c r="F25" s="16">
        <v>4.2046900000000003</v>
      </c>
      <c r="G25" s="16">
        <v>4.1641500000000002</v>
      </c>
      <c r="H25" s="16">
        <v>4.0732390000000001</v>
      </c>
      <c r="I25" s="16">
        <v>3.97838</v>
      </c>
      <c r="J25" s="16">
        <v>3.8926240000000001</v>
      </c>
      <c r="K25" s="16">
        <v>3.8138709999999998</v>
      </c>
      <c r="L25" s="16">
        <v>3.7269700000000001</v>
      </c>
      <c r="M25" s="16">
        <v>3.642668</v>
      </c>
      <c r="N25" s="16">
        <v>3.5715400000000002</v>
      </c>
      <c r="O25" s="16">
        <v>3.4953699999999999</v>
      </c>
      <c r="P25" s="16">
        <v>3.4195760000000002</v>
      </c>
      <c r="Q25" s="16">
        <v>3.3522400000000001</v>
      </c>
      <c r="R25" s="16">
        <v>3.288646</v>
      </c>
      <c r="S25" s="16">
        <v>3.2260800000000001</v>
      </c>
      <c r="T25" s="16">
        <v>3.1667800000000002</v>
      </c>
      <c r="U25" s="16">
        <v>3.1038429999999999</v>
      </c>
      <c r="V25" s="16">
        <v>3.0430969999999999</v>
      </c>
      <c r="W25" s="16">
        <v>2.9872860000000001</v>
      </c>
      <c r="X25" s="16">
        <v>2.9356870000000002</v>
      </c>
      <c r="Y25" s="16">
        <v>2.8852069999999999</v>
      </c>
      <c r="Z25" s="16">
        <v>2.8331430000000002</v>
      </c>
      <c r="AA25" s="16">
        <v>2.78972</v>
      </c>
      <c r="AB25" s="16">
        <v>2.7483949999999999</v>
      </c>
      <c r="AC25" s="16">
        <v>2.7052330000000002</v>
      </c>
      <c r="AD25" s="16">
        <v>2.6632060000000002</v>
      </c>
      <c r="AE25" s="16">
        <v>2.6227279999999999</v>
      </c>
      <c r="AF25" s="16">
        <v>2.5868030000000002</v>
      </c>
      <c r="AG25" s="16">
        <v>2.5530149999999998</v>
      </c>
      <c r="AH25" s="16">
        <v>2.5208819999999998</v>
      </c>
      <c r="AI25" s="16">
        <v>2.4923380000000002</v>
      </c>
      <c r="AJ25" s="16">
        <v>2.4647009999999998</v>
      </c>
      <c r="AK25" s="16">
        <v>2.4367009999999998</v>
      </c>
      <c r="AL25" s="16">
        <v>2.4108459999999998</v>
      </c>
      <c r="AM25" s="13">
        <v>-1.6898E-2</v>
      </c>
    </row>
    <row r="26" spans="1:39" ht="15" customHeight="1" x14ac:dyDescent="0.25">
      <c r="A26" s="7" t="s">
        <v>842</v>
      </c>
      <c r="B26" s="11" t="s">
        <v>843</v>
      </c>
      <c r="C26" s="16">
        <v>5.9115390000000003</v>
      </c>
      <c r="D26" s="16">
        <v>5.7936059999999996</v>
      </c>
      <c r="E26" s="16">
        <v>5.6857769999999999</v>
      </c>
      <c r="F26" s="16">
        <v>5.6320499999999996</v>
      </c>
      <c r="G26" s="16">
        <v>5.584689</v>
      </c>
      <c r="H26" s="16">
        <v>5.4733910000000003</v>
      </c>
      <c r="I26" s="16">
        <v>5.3503100000000003</v>
      </c>
      <c r="J26" s="16">
        <v>5.2431910000000004</v>
      </c>
      <c r="K26" s="16">
        <v>5.1467970000000003</v>
      </c>
      <c r="L26" s="16">
        <v>5.0394600000000001</v>
      </c>
      <c r="M26" s="16">
        <v>4.9323059999999996</v>
      </c>
      <c r="N26" s="16">
        <v>4.84063</v>
      </c>
      <c r="O26" s="16">
        <v>4.7484960000000003</v>
      </c>
      <c r="P26" s="16">
        <v>4.6511089999999999</v>
      </c>
      <c r="Q26" s="16">
        <v>4.5645439999999997</v>
      </c>
      <c r="R26" s="16">
        <v>4.4803290000000002</v>
      </c>
      <c r="S26" s="16">
        <v>4.396712</v>
      </c>
      <c r="T26" s="16">
        <v>4.3178840000000003</v>
      </c>
      <c r="U26" s="16">
        <v>4.2330649999999999</v>
      </c>
      <c r="V26" s="16">
        <v>4.149457</v>
      </c>
      <c r="W26" s="16">
        <v>4.072343</v>
      </c>
      <c r="X26" s="16">
        <v>4.001601</v>
      </c>
      <c r="Y26" s="16">
        <v>3.9312619999999998</v>
      </c>
      <c r="Z26" s="16">
        <v>3.859324</v>
      </c>
      <c r="AA26" s="16">
        <v>3.7974320000000001</v>
      </c>
      <c r="AB26" s="16">
        <v>3.7373080000000001</v>
      </c>
      <c r="AC26" s="16">
        <v>3.675551</v>
      </c>
      <c r="AD26" s="16">
        <v>3.6162079999999999</v>
      </c>
      <c r="AE26" s="16">
        <v>3.5598649999999998</v>
      </c>
      <c r="AF26" s="16">
        <v>3.5076360000000002</v>
      </c>
      <c r="AG26" s="16">
        <v>3.4583360000000001</v>
      </c>
      <c r="AH26" s="16">
        <v>3.4117600000000001</v>
      </c>
      <c r="AI26" s="16">
        <v>3.3690630000000001</v>
      </c>
      <c r="AJ26" s="16">
        <v>3.3276789999999998</v>
      </c>
      <c r="AK26" s="16">
        <v>3.287741</v>
      </c>
      <c r="AL26" s="16">
        <v>3.2480190000000002</v>
      </c>
      <c r="AM26" s="13">
        <v>-1.6877E-2</v>
      </c>
    </row>
    <row r="28" spans="1:39" ht="15" customHeight="1" x14ac:dyDescent="0.25">
      <c r="B28" s="10" t="s">
        <v>844</v>
      </c>
    </row>
    <row r="29" spans="1:39" ht="15" customHeight="1" x14ac:dyDescent="0.25">
      <c r="A29" s="7" t="s">
        <v>845</v>
      </c>
      <c r="B29" s="11" t="s">
        <v>846</v>
      </c>
      <c r="C29" s="97">
        <v>1.09999</v>
      </c>
      <c r="D29" s="97">
        <v>1.1155839999999999</v>
      </c>
      <c r="E29" s="97">
        <v>1.1396310000000001</v>
      </c>
      <c r="F29" s="97">
        <v>1.16208</v>
      </c>
      <c r="G29" s="97">
        <v>1.186485</v>
      </c>
      <c r="H29" s="97">
        <v>1.212699</v>
      </c>
      <c r="I29" s="97">
        <v>1.239007</v>
      </c>
      <c r="J29" s="97">
        <v>1.265037</v>
      </c>
      <c r="K29" s="97">
        <v>1.2908599999999999</v>
      </c>
      <c r="L29" s="97">
        <v>1.317631</v>
      </c>
      <c r="M29" s="97">
        <v>1.3463210000000001</v>
      </c>
      <c r="N29" s="97">
        <v>1.3762700000000001</v>
      </c>
      <c r="O29" s="97">
        <v>1.4078120000000001</v>
      </c>
      <c r="P29" s="97">
        <v>1.4398070000000001</v>
      </c>
      <c r="Q29" s="97">
        <v>1.472648</v>
      </c>
      <c r="R29" s="97">
        <v>1.506165</v>
      </c>
      <c r="S29" s="97">
        <v>1.540054</v>
      </c>
      <c r="T29" s="97">
        <v>1.573421</v>
      </c>
      <c r="U29" s="97">
        <v>1.6061540000000001</v>
      </c>
      <c r="V29" s="97">
        <v>1.6380729999999999</v>
      </c>
      <c r="W29" s="97">
        <v>1.6693929999999999</v>
      </c>
      <c r="X29" s="97">
        <v>1.7009719999999999</v>
      </c>
      <c r="Y29" s="97">
        <v>1.7327619999999999</v>
      </c>
      <c r="Z29" s="97">
        <v>1.765398</v>
      </c>
      <c r="AA29" s="97">
        <v>1.799374</v>
      </c>
      <c r="AB29" s="97">
        <v>1.8346720000000001</v>
      </c>
      <c r="AC29" s="97">
        <v>1.871826</v>
      </c>
      <c r="AD29" s="97">
        <v>1.9103669999999999</v>
      </c>
      <c r="AE29" s="97">
        <v>1.950275</v>
      </c>
      <c r="AF29" s="97">
        <v>1.991789</v>
      </c>
      <c r="AG29" s="97">
        <v>2.0348130000000002</v>
      </c>
      <c r="AH29" s="97">
        <v>2.0793159999999999</v>
      </c>
      <c r="AI29" s="97">
        <v>2.1250599999999999</v>
      </c>
      <c r="AJ29" s="97">
        <v>2.1712449999999999</v>
      </c>
      <c r="AK29" s="97">
        <v>2.2182919999999999</v>
      </c>
      <c r="AL29" s="97">
        <v>2.2657029999999998</v>
      </c>
      <c r="AM29" s="13">
        <v>2.1056999999999999E-2</v>
      </c>
    </row>
    <row r="30" spans="1:39" ht="15" customHeight="1" x14ac:dyDescent="0.25">
      <c r="B30" s="10" t="s">
        <v>847</v>
      </c>
    </row>
    <row r="31" spans="1:39" ht="15" customHeight="1" x14ac:dyDescent="0.25">
      <c r="A31" s="7" t="s">
        <v>848</v>
      </c>
      <c r="B31" s="11" t="s">
        <v>849</v>
      </c>
      <c r="C31" s="16">
        <v>2.3699520000000001</v>
      </c>
      <c r="D31" s="16">
        <v>2.399238</v>
      </c>
      <c r="E31" s="16">
        <v>2.456277</v>
      </c>
      <c r="F31" s="16">
        <v>2.5123700000000002</v>
      </c>
      <c r="G31" s="16">
        <v>2.5789849999999999</v>
      </c>
      <c r="H31" s="16">
        <v>2.6455489999999999</v>
      </c>
      <c r="I31" s="16">
        <v>2.7131820000000002</v>
      </c>
      <c r="J31" s="16">
        <v>2.7812039999999998</v>
      </c>
      <c r="K31" s="16">
        <v>2.8474629999999999</v>
      </c>
      <c r="L31" s="16">
        <v>2.9148429999999999</v>
      </c>
      <c r="M31" s="16">
        <v>2.987571</v>
      </c>
      <c r="N31" s="16">
        <v>3.0642830000000001</v>
      </c>
      <c r="O31" s="16">
        <v>3.1438130000000002</v>
      </c>
      <c r="P31" s="16">
        <v>3.2237200000000001</v>
      </c>
      <c r="Q31" s="16">
        <v>3.3071820000000001</v>
      </c>
      <c r="R31" s="16">
        <v>3.3934449999999998</v>
      </c>
      <c r="S31" s="16">
        <v>3.4813830000000001</v>
      </c>
      <c r="T31" s="16">
        <v>3.5691359999999999</v>
      </c>
      <c r="U31" s="16">
        <v>3.6528719999999999</v>
      </c>
      <c r="V31" s="16">
        <v>3.7376420000000001</v>
      </c>
      <c r="W31" s="16">
        <v>3.82098</v>
      </c>
      <c r="X31" s="16">
        <v>3.9074230000000001</v>
      </c>
      <c r="Y31" s="16">
        <v>3.991787</v>
      </c>
      <c r="Z31" s="16">
        <v>4.0787839999999997</v>
      </c>
      <c r="AA31" s="16">
        <v>4.1708689999999997</v>
      </c>
      <c r="AB31" s="16">
        <v>4.2659750000000001</v>
      </c>
      <c r="AC31" s="16">
        <v>4.3640359999999996</v>
      </c>
      <c r="AD31" s="16">
        <v>4.4648570000000003</v>
      </c>
      <c r="AE31" s="16">
        <v>4.5700880000000002</v>
      </c>
      <c r="AF31" s="16">
        <v>4.6798710000000003</v>
      </c>
      <c r="AG31" s="16">
        <v>4.7942879999999999</v>
      </c>
      <c r="AH31" s="16">
        <v>4.9119409999999997</v>
      </c>
      <c r="AI31" s="16">
        <v>5.0340569999999998</v>
      </c>
      <c r="AJ31" s="16">
        <v>5.157044</v>
      </c>
      <c r="AK31" s="16">
        <v>5.2823390000000003</v>
      </c>
      <c r="AL31" s="16">
        <v>5.4118579999999996</v>
      </c>
      <c r="AM31" s="13">
        <v>2.4212999999999998E-2</v>
      </c>
    </row>
    <row r="32" spans="1:39" ht="15" customHeight="1" x14ac:dyDescent="0.25">
      <c r="A32" s="7" t="s">
        <v>850</v>
      </c>
      <c r="B32" s="11" t="s">
        <v>851</v>
      </c>
      <c r="C32" s="16">
        <v>2.0265620000000002</v>
      </c>
      <c r="D32" s="16">
        <v>1.8749229999999999</v>
      </c>
      <c r="E32" s="16">
        <v>2.0028389999999998</v>
      </c>
      <c r="F32" s="16">
        <v>2.0598519999999998</v>
      </c>
      <c r="G32" s="16">
        <v>2.2075800000000001</v>
      </c>
      <c r="H32" s="16">
        <v>2.3226270000000002</v>
      </c>
      <c r="I32" s="16">
        <v>2.4308429999999999</v>
      </c>
      <c r="J32" s="16">
        <v>2.5393650000000001</v>
      </c>
      <c r="K32" s="16">
        <v>2.6162800000000002</v>
      </c>
      <c r="L32" s="16">
        <v>2.6859229999999998</v>
      </c>
      <c r="M32" s="16">
        <v>2.7758910000000001</v>
      </c>
      <c r="N32" s="16">
        <v>2.867683</v>
      </c>
      <c r="O32" s="16">
        <v>2.9505439999999998</v>
      </c>
      <c r="P32" s="16">
        <v>3.0190800000000002</v>
      </c>
      <c r="Q32" s="16">
        <v>3.106967</v>
      </c>
      <c r="R32" s="16">
        <v>3.2075269999999998</v>
      </c>
      <c r="S32" s="16">
        <v>3.3117260000000002</v>
      </c>
      <c r="T32" s="16">
        <v>3.4134869999999999</v>
      </c>
      <c r="U32" s="16">
        <v>3.4853879999999999</v>
      </c>
      <c r="V32" s="16">
        <v>3.5784280000000002</v>
      </c>
      <c r="W32" s="16">
        <v>3.6653560000000001</v>
      </c>
      <c r="X32" s="16">
        <v>3.7834660000000002</v>
      </c>
      <c r="Y32" s="16">
        <v>3.8664290000000001</v>
      </c>
      <c r="Z32" s="16">
        <v>3.956674</v>
      </c>
      <c r="AA32" s="16">
        <v>4.0692820000000003</v>
      </c>
      <c r="AB32" s="16">
        <v>4.1799689999999998</v>
      </c>
      <c r="AC32" s="16">
        <v>4.2796969999999996</v>
      </c>
      <c r="AD32" s="16">
        <v>4.3703770000000004</v>
      </c>
      <c r="AE32" s="16">
        <v>4.4736529999999997</v>
      </c>
      <c r="AF32" s="16">
        <v>4.5858470000000002</v>
      </c>
      <c r="AG32" s="16">
        <v>4.7101819999999996</v>
      </c>
      <c r="AH32" s="16">
        <v>4.8316910000000002</v>
      </c>
      <c r="AI32" s="16">
        <v>4.9683820000000001</v>
      </c>
      <c r="AJ32" s="16">
        <v>5.0944560000000001</v>
      </c>
      <c r="AK32" s="16">
        <v>5.2237669999999996</v>
      </c>
      <c r="AL32" s="16">
        <v>5.3780299999999999</v>
      </c>
      <c r="AM32" s="13">
        <v>3.1477999999999999E-2</v>
      </c>
    </row>
    <row r="33" spans="1:39" ht="15" customHeight="1" x14ac:dyDescent="0.25">
      <c r="B33" s="10" t="s">
        <v>852</v>
      </c>
    </row>
    <row r="34" spans="1:39" ht="15" customHeight="1" x14ac:dyDescent="0.25">
      <c r="A34" s="7" t="s">
        <v>853</v>
      </c>
      <c r="B34" s="11" t="s">
        <v>854</v>
      </c>
      <c r="C34" s="16">
        <v>1.904261</v>
      </c>
      <c r="D34" s="16">
        <v>1.8524229999999999</v>
      </c>
      <c r="E34" s="16">
        <v>1.9101680000000001</v>
      </c>
      <c r="F34" s="16">
        <v>1.9608270000000001</v>
      </c>
      <c r="G34" s="16">
        <v>2.0184989999999998</v>
      </c>
      <c r="H34" s="16">
        <v>2.0772119999999998</v>
      </c>
      <c r="I34" s="16">
        <v>2.1243069999999999</v>
      </c>
      <c r="J34" s="16">
        <v>2.169333</v>
      </c>
      <c r="K34" s="16">
        <v>2.2109160000000001</v>
      </c>
      <c r="L34" s="16">
        <v>2.2527379999999999</v>
      </c>
      <c r="M34" s="16">
        <v>2.2954279999999998</v>
      </c>
      <c r="N34" s="16">
        <v>2.3388460000000002</v>
      </c>
      <c r="O34" s="16">
        <v>2.3818809999999999</v>
      </c>
      <c r="P34" s="16">
        <v>2.4244680000000001</v>
      </c>
      <c r="Q34" s="16">
        <v>2.470434</v>
      </c>
      <c r="R34" s="16">
        <v>2.516921</v>
      </c>
      <c r="S34" s="16">
        <v>2.5646659999999999</v>
      </c>
      <c r="T34" s="16">
        <v>2.6093890000000002</v>
      </c>
      <c r="U34" s="16">
        <v>2.6473770000000001</v>
      </c>
      <c r="V34" s="16">
        <v>2.6885029999999999</v>
      </c>
      <c r="W34" s="16">
        <v>2.726585</v>
      </c>
      <c r="X34" s="16">
        <v>2.7690269999999999</v>
      </c>
      <c r="Y34" s="16">
        <v>2.8070560000000002</v>
      </c>
      <c r="Z34" s="16">
        <v>2.8486289999999999</v>
      </c>
      <c r="AA34" s="16">
        <v>2.893688</v>
      </c>
      <c r="AB34" s="16">
        <v>2.9359519999999999</v>
      </c>
      <c r="AC34" s="16">
        <v>2.9797660000000001</v>
      </c>
      <c r="AD34" s="16">
        <v>3.0270419999999998</v>
      </c>
      <c r="AE34" s="16">
        <v>3.0743459999999998</v>
      </c>
      <c r="AF34" s="16">
        <v>3.1238329999999999</v>
      </c>
      <c r="AG34" s="16">
        <v>3.1760540000000002</v>
      </c>
      <c r="AH34" s="16">
        <v>3.2293470000000002</v>
      </c>
      <c r="AI34" s="16">
        <v>3.285901</v>
      </c>
      <c r="AJ34" s="16">
        <v>3.3406389999999999</v>
      </c>
      <c r="AK34" s="16">
        <v>3.3984700000000001</v>
      </c>
      <c r="AL34" s="16">
        <v>3.454548</v>
      </c>
      <c r="AM34" s="13">
        <v>1.8498000000000001E-2</v>
      </c>
    </row>
    <row r="35" spans="1:39" ht="15" customHeight="1" x14ac:dyDescent="0.25">
      <c r="A35" s="7" t="s">
        <v>855</v>
      </c>
      <c r="B35" s="11" t="s">
        <v>856</v>
      </c>
      <c r="C35" s="16">
        <v>1.6044860000000001</v>
      </c>
      <c r="D35" s="16">
        <v>1.439173</v>
      </c>
      <c r="E35" s="16">
        <v>1.5825709999999999</v>
      </c>
      <c r="F35" s="16">
        <v>1.6901729999999999</v>
      </c>
      <c r="G35" s="16">
        <v>1.8346469999999999</v>
      </c>
      <c r="H35" s="16">
        <v>1.966097</v>
      </c>
      <c r="I35" s="16">
        <v>2.0398170000000002</v>
      </c>
      <c r="J35" s="16">
        <v>2.1111960000000001</v>
      </c>
      <c r="K35" s="16">
        <v>2.1734209999999998</v>
      </c>
      <c r="L35" s="16">
        <v>2.2386499999999998</v>
      </c>
      <c r="M35" s="16">
        <v>2.3078720000000001</v>
      </c>
      <c r="N35" s="16">
        <v>2.3871069999999999</v>
      </c>
      <c r="O35" s="16">
        <v>2.458469</v>
      </c>
      <c r="P35" s="16">
        <v>2.5271539999999999</v>
      </c>
      <c r="Q35" s="16">
        <v>2.6087020000000001</v>
      </c>
      <c r="R35" s="16">
        <v>2.6933880000000001</v>
      </c>
      <c r="S35" s="16">
        <v>2.7850269999999999</v>
      </c>
      <c r="T35" s="16">
        <v>2.868617</v>
      </c>
      <c r="U35" s="16">
        <v>2.9255010000000001</v>
      </c>
      <c r="V35" s="16">
        <v>2.9982989999999998</v>
      </c>
      <c r="W35" s="16">
        <v>3.0685609999999999</v>
      </c>
      <c r="X35" s="16">
        <v>3.1599159999999999</v>
      </c>
      <c r="Y35" s="16">
        <v>3.2313550000000002</v>
      </c>
      <c r="Z35" s="16">
        <v>3.3105530000000001</v>
      </c>
      <c r="AA35" s="16">
        <v>3.40367</v>
      </c>
      <c r="AB35" s="16">
        <v>3.4850219999999998</v>
      </c>
      <c r="AC35" s="16">
        <v>3.5641639999999999</v>
      </c>
      <c r="AD35" s="16">
        <v>3.6529759999999998</v>
      </c>
      <c r="AE35" s="16">
        <v>3.7396340000000001</v>
      </c>
      <c r="AF35" s="16">
        <v>3.8342019999999999</v>
      </c>
      <c r="AG35" s="16">
        <v>3.940267</v>
      </c>
      <c r="AH35" s="16">
        <v>4.0477800000000004</v>
      </c>
      <c r="AI35" s="16">
        <v>4.1692200000000001</v>
      </c>
      <c r="AJ35" s="16">
        <v>4.2868579999999996</v>
      </c>
      <c r="AK35" s="16">
        <v>4.4144740000000002</v>
      </c>
      <c r="AL35" s="16">
        <v>4.5375670000000001</v>
      </c>
      <c r="AM35" s="13">
        <v>3.4351E-2</v>
      </c>
    </row>
    <row r="36" spans="1:39" ht="15" customHeight="1" x14ac:dyDescent="0.25">
      <c r="A36" s="7" t="s">
        <v>857</v>
      </c>
      <c r="B36" s="11" t="s">
        <v>858</v>
      </c>
      <c r="C36" s="16">
        <v>2.0022690000000001</v>
      </c>
      <c r="D36" s="16">
        <v>1.9340820000000001</v>
      </c>
      <c r="E36" s="16">
        <v>2.002894</v>
      </c>
      <c r="F36" s="16">
        <v>2.067342</v>
      </c>
      <c r="G36" s="16">
        <v>2.1047030000000002</v>
      </c>
      <c r="H36" s="16">
        <v>2.1488770000000001</v>
      </c>
      <c r="I36" s="16">
        <v>2.1877529999999998</v>
      </c>
      <c r="J36" s="16">
        <v>2.2189130000000001</v>
      </c>
      <c r="K36" s="16">
        <v>2.2374000000000001</v>
      </c>
      <c r="L36" s="16">
        <v>2.252561</v>
      </c>
      <c r="M36" s="16">
        <v>2.2620640000000001</v>
      </c>
      <c r="N36" s="16">
        <v>2.2572619999999999</v>
      </c>
      <c r="O36" s="16">
        <v>2.2601339999999999</v>
      </c>
      <c r="P36" s="16">
        <v>2.2716729999999998</v>
      </c>
      <c r="Q36" s="16">
        <v>2.2879659999999999</v>
      </c>
      <c r="R36" s="16">
        <v>2.3032029999999999</v>
      </c>
      <c r="S36" s="16">
        <v>2.317866</v>
      </c>
      <c r="T36" s="16">
        <v>2.3320110000000001</v>
      </c>
      <c r="U36" s="16">
        <v>2.3510089999999999</v>
      </c>
      <c r="V36" s="16">
        <v>2.370546</v>
      </c>
      <c r="W36" s="16">
        <v>2.3841480000000002</v>
      </c>
      <c r="X36" s="16">
        <v>2.3970919999999998</v>
      </c>
      <c r="Y36" s="16">
        <v>2.4124620000000001</v>
      </c>
      <c r="Z36" s="16">
        <v>2.434272</v>
      </c>
      <c r="AA36" s="16">
        <v>2.4523350000000002</v>
      </c>
      <c r="AB36" s="16">
        <v>2.4675579999999999</v>
      </c>
      <c r="AC36" s="16">
        <v>2.4881679999999999</v>
      </c>
      <c r="AD36" s="16">
        <v>2.5110410000000001</v>
      </c>
      <c r="AE36" s="16">
        <v>2.533045</v>
      </c>
      <c r="AF36" s="16">
        <v>2.5529609999999998</v>
      </c>
      <c r="AG36" s="16">
        <v>2.5714980000000001</v>
      </c>
      <c r="AH36" s="16">
        <v>2.5909200000000001</v>
      </c>
      <c r="AI36" s="16">
        <v>2.608412</v>
      </c>
      <c r="AJ36" s="16">
        <v>2.6239690000000002</v>
      </c>
      <c r="AK36" s="16">
        <v>2.6436289999999998</v>
      </c>
      <c r="AL36" s="16">
        <v>2.6600380000000001</v>
      </c>
      <c r="AM36" s="13">
        <v>9.4179999999999993E-3</v>
      </c>
    </row>
    <row r="37" spans="1:39" ht="15" customHeight="1" x14ac:dyDescent="0.25">
      <c r="A37" s="7" t="s">
        <v>859</v>
      </c>
      <c r="B37" s="11" t="s">
        <v>860</v>
      </c>
      <c r="C37" s="16">
        <v>1.941819</v>
      </c>
      <c r="D37" s="16">
        <v>1.934056</v>
      </c>
      <c r="E37" s="16">
        <v>1.970709</v>
      </c>
      <c r="F37" s="16">
        <v>2.0047519999999999</v>
      </c>
      <c r="G37" s="16">
        <v>2.0378959999999999</v>
      </c>
      <c r="H37" s="16">
        <v>2.0768740000000001</v>
      </c>
      <c r="I37" s="16">
        <v>2.1173389999999999</v>
      </c>
      <c r="J37" s="16">
        <v>2.1554280000000001</v>
      </c>
      <c r="K37" s="16">
        <v>2.1903239999999999</v>
      </c>
      <c r="L37" s="16">
        <v>2.2248570000000001</v>
      </c>
      <c r="M37" s="16">
        <v>2.2589739999999998</v>
      </c>
      <c r="N37" s="16">
        <v>2.2905609999999998</v>
      </c>
      <c r="O37" s="16">
        <v>2.3250289999999998</v>
      </c>
      <c r="P37" s="16">
        <v>2.3608259999999999</v>
      </c>
      <c r="Q37" s="16">
        <v>2.3978359999999999</v>
      </c>
      <c r="R37" s="16">
        <v>2.4347289999999999</v>
      </c>
      <c r="S37" s="16">
        <v>2.471365</v>
      </c>
      <c r="T37" s="16">
        <v>2.5064519999999999</v>
      </c>
      <c r="U37" s="16">
        <v>2.5407609999999998</v>
      </c>
      <c r="V37" s="16">
        <v>2.5749780000000002</v>
      </c>
      <c r="W37" s="16">
        <v>2.6057519999999998</v>
      </c>
      <c r="X37" s="16">
        <v>2.6361690000000002</v>
      </c>
      <c r="Y37" s="16">
        <v>2.6665510000000001</v>
      </c>
      <c r="Z37" s="16">
        <v>2.6997059999999999</v>
      </c>
      <c r="AA37" s="16">
        <v>2.7332909999999999</v>
      </c>
      <c r="AB37" s="16">
        <v>2.766356</v>
      </c>
      <c r="AC37" s="16">
        <v>2.802254</v>
      </c>
      <c r="AD37" s="16">
        <v>2.8400340000000002</v>
      </c>
      <c r="AE37" s="16">
        <v>2.8784360000000002</v>
      </c>
      <c r="AF37" s="16">
        <v>2.9173149999999999</v>
      </c>
      <c r="AG37" s="16">
        <v>2.9563280000000001</v>
      </c>
      <c r="AH37" s="16">
        <v>2.9963109999999999</v>
      </c>
      <c r="AI37" s="16">
        <v>3.0365139999999999</v>
      </c>
      <c r="AJ37" s="16">
        <v>3.075304</v>
      </c>
      <c r="AK37" s="16">
        <v>3.1155309999999998</v>
      </c>
      <c r="AL37" s="16">
        <v>3.1547179999999999</v>
      </c>
      <c r="AM37" s="13">
        <v>1.4494999999999999E-2</v>
      </c>
    </row>
    <row r="39" spans="1:39" ht="15" customHeight="1" x14ac:dyDescent="0.25">
      <c r="B39" s="10" t="s">
        <v>861</v>
      </c>
    </row>
    <row r="40" spans="1:39" ht="15" customHeight="1" x14ac:dyDescent="0.25">
      <c r="A40" s="7" t="s">
        <v>862</v>
      </c>
      <c r="B40" s="11" t="s">
        <v>863</v>
      </c>
      <c r="C40" s="16">
        <v>0.13250000000000001</v>
      </c>
      <c r="D40" s="16">
        <v>0.42245700000000003</v>
      </c>
      <c r="E40" s="16">
        <v>0.97824</v>
      </c>
      <c r="F40" s="16">
        <v>1.760141</v>
      </c>
      <c r="G40" s="16">
        <v>2.581407</v>
      </c>
      <c r="H40" s="16">
        <v>2.9523609999999998</v>
      </c>
      <c r="I40" s="16">
        <v>3.0546039999999999</v>
      </c>
      <c r="J40" s="16">
        <v>3.0179670000000001</v>
      </c>
      <c r="K40" s="16">
        <v>3.0095290000000001</v>
      </c>
      <c r="L40" s="16">
        <v>3.0830730000000002</v>
      </c>
      <c r="M40" s="16">
        <v>3.119983</v>
      </c>
      <c r="N40" s="16">
        <v>3.0828280000000001</v>
      </c>
      <c r="O40" s="16">
        <v>3.0551170000000001</v>
      </c>
      <c r="P40" s="16">
        <v>3.0687869999999999</v>
      </c>
      <c r="Q40" s="16">
        <v>3.033909</v>
      </c>
      <c r="R40" s="16">
        <v>2.945999</v>
      </c>
      <c r="S40" s="16">
        <v>2.9074650000000002</v>
      </c>
      <c r="T40" s="16">
        <v>2.9250759999999998</v>
      </c>
      <c r="U40" s="16">
        <v>2.9523549999999998</v>
      </c>
      <c r="V40" s="16">
        <v>2.9556460000000002</v>
      </c>
      <c r="W40" s="16">
        <v>2.9559540000000002</v>
      </c>
      <c r="X40" s="16">
        <v>2.9535529999999999</v>
      </c>
      <c r="Y40" s="16">
        <v>2.9482949999999999</v>
      </c>
      <c r="Z40" s="16">
        <v>2.979187</v>
      </c>
      <c r="AA40" s="16">
        <v>3.0022359999999999</v>
      </c>
      <c r="AB40" s="16">
        <v>2.9999009999999999</v>
      </c>
      <c r="AC40" s="16">
        <v>3.0078839999999998</v>
      </c>
      <c r="AD40" s="16">
        <v>3.027863</v>
      </c>
      <c r="AE40" s="16">
        <v>3.0353249999999998</v>
      </c>
      <c r="AF40" s="16">
        <v>3.030627</v>
      </c>
      <c r="AG40" s="16">
        <v>3.0096370000000001</v>
      </c>
      <c r="AH40" s="16">
        <v>2.9517579999999999</v>
      </c>
      <c r="AI40" s="16">
        <v>2.90313</v>
      </c>
      <c r="AJ40" s="16">
        <v>2.9314309999999999</v>
      </c>
      <c r="AK40" s="16">
        <v>2.9949430000000001</v>
      </c>
      <c r="AL40" s="16">
        <v>2.9987680000000001</v>
      </c>
      <c r="AM40" s="13" t="s">
        <v>13</v>
      </c>
    </row>
    <row r="41" spans="1:39" ht="15" customHeight="1" x14ac:dyDescent="0.25">
      <c r="A41" s="7" t="s">
        <v>864</v>
      </c>
      <c r="B41" s="11" t="s">
        <v>865</v>
      </c>
      <c r="C41" s="16">
        <v>2.1358329999999999</v>
      </c>
      <c r="D41" s="16">
        <v>1.7332860000000001</v>
      </c>
      <c r="E41" s="16">
        <v>2.2805499999999999</v>
      </c>
      <c r="F41" s="16">
        <v>2.878825</v>
      </c>
      <c r="G41" s="16">
        <v>3.4779249999999999</v>
      </c>
      <c r="H41" s="16">
        <v>3.7530399999999999</v>
      </c>
      <c r="I41" s="16">
        <v>3.8114680000000001</v>
      </c>
      <c r="J41" s="16">
        <v>3.7544050000000002</v>
      </c>
      <c r="K41" s="16">
        <v>3.7290670000000001</v>
      </c>
      <c r="L41" s="16">
        <v>3.780993</v>
      </c>
      <c r="M41" s="16">
        <v>3.8154669999999999</v>
      </c>
      <c r="N41" s="16">
        <v>3.802854</v>
      </c>
      <c r="O41" s="16">
        <v>3.7930769999999998</v>
      </c>
      <c r="P41" s="16">
        <v>3.8070210000000002</v>
      </c>
      <c r="Q41" s="16">
        <v>3.7889270000000002</v>
      </c>
      <c r="R41" s="16">
        <v>3.7469999999999999</v>
      </c>
      <c r="S41" s="16">
        <v>3.7377690000000001</v>
      </c>
      <c r="T41" s="16">
        <v>3.755725</v>
      </c>
      <c r="U41" s="16">
        <v>3.775236</v>
      </c>
      <c r="V41" s="16">
        <v>3.7690269999999999</v>
      </c>
      <c r="W41" s="16">
        <v>3.7575249999999998</v>
      </c>
      <c r="X41" s="16">
        <v>3.7408869999999999</v>
      </c>
      <c r="Y41" s="16">
        <v>3.7287910000000002</v>
      </c>
      <c r="Z41" s="16">
        <v>3.741177</v>
      </c>
      <c r="AA41" s="16">
        <v>3.751951</v>
      </c>
      <c r="AB41" s="16">
        <v>3.752135</v>
      </c>
      <c r="AC41" s="16">
        <v>3.7582629999999999</v>
      </c>
      <c r="AD41" s="16">
        <v>3.7630569999999999</v>
      </c>
      <c r="AE41" s="16">
        <v>3.7615820000000002</v>
      </c>
      <c r="AF41" s="16">
        <v>3.7620840000000002</v>
      </c>
      <c r="AG41" s="16">
        <v>3.7617180000000001</v>
      </c>
      <c r="AH41" s="16">
        <v>3.7378130000000001</v>
      </c>
      <c r="AI41" s="16">
        <v>3.7176439999999999</v>
      </c>
      <c r="AJ41" s="16">
        <v>3.7283569999999999</v>
      </c>
      <c r="AK41" s="16">
        <v>3.7505449999999998</v>
      </c>
      <c r="AL41" s="16">
        <v>3.7382029999999999</v>
      </c>
      <c r="AM41" s="13" t="s">
        <v>13</v>
      </c>
    </row>
    <row r="42" spans="1:39" ht="15" customHeight="1" x14ac:dyDescent="0.25">
      <c r="A42" s="7" t="s">
        <v>866</v>
      </c>
      <c r="B42" s="11" t="s">
        <v>867</v>
      </c>
      <c r="C42" s="16">
        <v>3.9945240000000002</v>
      </c>
      <c r="D42" s="16">
        <v>3.654204</v>
      </c>
      <c r="E42" s="16">
        <v>4.4173299999999998</v>
      </c>
      <c r="F42" s="16">
        <v>5.1178129999999999</v>
      </c>
      <c r="G42" s="16">
        <v>5.4248989999999999</v>
      </c>
      <c r="H42" s="16">
        <v>5.7054939999999998</v>
      </c>
      <c r="I42" s="16">
        <v>5.7479100000000001</v>
      </c>
      <c r="J42" s="16">
        <v>5.6836289999999998</v>
      </c>
      <c r="K42" s="16">
        <v>5.6547190000000001</v>
      </c>
      <c r="L42" s="16">
        <v>5.7206060000000001</v>
      </c>
      <c r="M42" s="16">
        <v>5.7684230000000003</v>
      </c>
      <c r="N42" s="16">
        <v>5.7555740000000002</v>
      </c>
      <c r="O42" s="16">
        <v>5.7412809999999999</v>
      </c>
      <c r="P42" s="16">
        <v>5.7601329999999997</v>
      </c>
      <c r="Q42" s="16">
        <v>5.7518799999999999</v>
      </c>
      <c r="R42" s="16">
        <v>5.7169059999999998</v>
      </c>
      <c r="S42" s="16">
        <v>5.7040569999999997</v>
      </c>
      <c r="T42" s="16">
        <v>5.7285940000000002</v>
      </c>
      <c r="U42" s="16">
        <v>5.7497239999999996</v>
      </c>
      <c r="V42" s="16">
        <v>5.7401689999999999</v>
      </c>
      <c r="W42" s="16">
        <v>5.7211179999999997</v>
      </c>
      <c r="X42" s="16">
        <v>5.7113509999999996</v>
      </c>
      <c r="Y42" s="16">
        <v>5.6957560000000003</v>
      </c>
      <c r="Z42" s="16">
        <v>5.717848</v>
      </c>
      <c r="AA42" s="16">
        <v>5.7286960000000002</v>
      </c>
      <c r="AB42" s="16">
        <v>5.7276400000000001</v>
      </c>
      <c r="AC42" s="16">
        <v>5.7274719999999997</v>
      </c>
      <c r="AD42" s="16">
        <v>5.7348439999999998</v>
      </c>
      <c r="AE42" s="16">
        <v>5.734953</v>
      </c>
      <c r="AF42" s="16">
        <v>5.752936</v>
      </c>
      <c r="AG42" s="16">
        <v>5.7542039999999997</v>
      </c>
      <c r="AH42" s="16">
        <v>5.7329220000000003</v>
      </c>
      <c r="AI42" s="16">
        <v>5.7021949999999997</v>
      </c>
      <c r="AJ42" s="16">
        <v>5.7036790000000002</v>
      </c>
      <c r="AK42" s="16">
        <v>5.7343229999999998</v>
      </c>
      <c r="AL42" s="16">
        <v>5.7282950000000001</v>
      </c>
      <c r="AM42" s="13" t="s">
        <v>13</v>
      </c>
    </row>
    <row r="44" spans="1:39" ht="15" customHeight="1" x14ac:dyDescent="0.25">
      <c r="B44" s="10" t="s">
        <v>3</v>
      </c>
    </row>
    <row r="45" spans="1:39" ht="15" customHeight="1" x14ac:dyDescent="0.25">
      <c r="A45" s="7" t="s">
        <v>868</v>
      </c>
      <c r="B45" s="11" t="s">
        <v>869</v>
      </c>
      <c r="C45" s="12">
        <v>23924.798827999999</v>
      </c>
      <c r="D45" s="12">
        <v>24363.595702999999</v>
      </c>
      <c r="E45" s="12">
        <v>25103.914062</v>
      </c>
      <c r="F45" s="12">
        <v>25693.318359000001</v>
      </c>
      <c r="G45" s="12">
        <v>26185.6875</v>
      </c>
      <c r="H45" s="12">
        <v>26704.984375</v>
      </c>
      <c r="I45" s="12">
        <v>27339.669922000001</v>
      </c>
      <c r="J45" s="12">
        <v>28113.474609000001</v>
      </c>
      <c r="K45" s="12">
        <v>28860.810547000001</v>
      </c>
      <c r="L45" s="12">
        <v>29589.28125</v>
      </c>
      <c r="M45" s="12">
        <v>30243.992188</v>
      </c>
      <c r="N45" s="12">
        <v>30776.445312</v>
      </c>
      <c r="O45" s="12">
        <v>31293.486327999999</v>
      </c>
      <c r="P45" s="12">
        <v>31932.992188</v>
      </c>
      <c r="Q45" s="12">
        <v>32563.521484000001</v>
      </c>
      <c r="R45" s="12">
        <v>33123.179687999997</v>
      </c>
      <c r="S45" s="12">
        <v>33688.535155999998</v>
      </c>
      <c r="T45" s="12">
        <v>34300.390625</v>
      </c>
      <c r="U45" s="12">
        <v>35002.152344000002</v>
      </c>
      <c r="V45" s="12">
        <v>35807.558594000002</v>
      </c>
      <c r="W45" s="12">
        <v>36621.925780999998</v>
      </c>
      <c r="X45" s="12">
        <v>37409.574219000002</v>
      </c>
      <c r="Y45" s="12">
        <v>38192.300780999998</v>
      </c>
      <c r="Z45" s="12">
        <v>39055.339844000002</v>
      </c>
      <c r="AA45" s="12">
        <v>39866.394530999998</v>
      </c>
      <c r="AB45" s="12">
        <v>40565.613280999998</v>
      </c>
      <c r="AC45" s="12">
        <v>41267.433594000002</v>
      </c>
      <c r="AD45" s="12">
        <v>42024.941405999998</v>
      </c>
      <c r="AE45" s="12">
        <v>42815.953125</v>
      </c>
      <c r="AF45" s="12">
        <v>43553.992187999997</v>
      </c>
      <c r="AG45" s="12">
        <v>44240.652344000002</v>
      </c>
      <c r="AH45" s="12">
        <v>44873.761719000002</v>
      </c>
      <c r="AI45" s="12">
        <v>45566.347655999998</v>
      </c>
      <c r="AJ45" s="12">
        <v>46288.957030999998</v>
      </c>
      <c r="AK45" s="12">
        <v>47520.757812000003</v>
      </c>
      <c r="AL45" s="12">
        <v>48564.972655999998</v>
      </c>
      <c r="AM45" s="13">
        <v>2.0496E-2</v>
      </c>
    </row>
    <row r="46" spans="1:39" ht="15" customHeight="1" x14ac:dyDescent="0.25">
      <c r="A46" s="7" t="s">
        <v>870</v>
      </c>
      <c r="B46" s="11" t="s">
        <v>871</v>
      </c>
      <c r="C46" s="12">
        <v>7373.658203</v>
      </c>
      <c r="D46" s="12">
        <v>7453.439453</v>
      </c>
      <c r="E46" s="12">
        <v>7880.0273440000001</v>
      </c>
      <c r="F46" s="12">
        <v>8057.236328</v>
      </c>
      <c r="G46" s="12">
        <v>8187.0151370000003</v>
      </c>
      <c r="H46" s="12">
        <v>8348.7431639999995</v>
      </c>
      <c r="I46" s="12">
        <v>8547.140625</v>
      </c>
      <c r="J46" s="12">
        <v>8744.3818360000005</v>
      </c>
      <c r="K46" s="12">
        <v>8933.5693360000005</v>
      </c>
      <c r="L46" s="12">
        <v>9095.21875</v>
      </c>
      <c r="M46" s="12">
        <v>9189.3808590000008</v>
      </c>
      <c r="N46" s="12">
        <v>9234.8417969999991</v>
      </c>
      <c r="O46" s="12">
        <v>9333.359375</v>
      </c>
      <c r="P46" s="12">
        <v>9462.2011719999991</v>
      </c>
      <c r="Q46" s="12">
        <v>9583.9423829999996</v>
      </c>
      <c r="R46" s="12">
        <v>9702.6904300000006</v>
      </c>
      <c r="S46" s="12">
        <v>9818.4091800000006</v>
      </c>
      <c r="T46" s="12">
        <v>9927.7128909999992</v>
      </c>
      <c r="U46" s="12">
        <v>10083.998046999999</v>
      </c>
      <c r="V46" s="12">
        <v>10280.476562</v>
      </c>
      <c r="W46" s="12">
        <v>10484.318359000001</v>
      </c>
      <c r="X46" s="12">
        <v>10667.665039</v>
      </c>
      <c r="Y46" s="12">
        <v>10871.467773</v>
      </c>
      <c r="Z46" s="12">
        <v>11111.923828000001</v>
      </c>
      <c r="AA46" s="12">
        <v>11308.338867</v>
      </c>
      <c r="AB46" s="12">
        <v>11502.247069999999</v>
      </c>
      <c r="AC46" s="12">
        <v>11710.065430000001</v>
      </c>
      <c r="AD46" s="12">
        <v>11923.875977</v>
      </c>
      <c r="AE46" s="12">
        <v>12168.646484000001</v>
      </c>
      <c r="AF46" s="12">
        <v>12404.696289</v>
      </c>
      <c r="AG46" s="12">
        <v>12637.070312</v>
      </c>
      <c r="AH46" s="12">
        <v>12875.529296999999</v>
      </c>
      <c r="AI46" s="12">
        <v>13101.674805000001</v>
      </c>
      <c r="AJ46" s="12">
        <v>13333.614258</v>
      </c>
      <c r="AK46" s="12">
        <v>13588.741211</v>
      </c>
      <c r="AL46" s="12">
        <v>13853.632812</v>
      </c>
      <c r="AM46" s="13">
        <v>1.8398999999999999E-2</v>
      </c>
    </row>
    <row r="47" spans="1:39" ht="15" customHeight="1" x14ac:dyDescent="0.25">
      <c r="A47" s="7" t="s">
        <v>872</v>
      </c>
      <c r="B47" s="11" t="s">
        <v>873</v>
      </c>
      <c r="C47" s="12">
        <v>2048.8232419999999</v>
      </c>
      <c r="D47" s="12">
        <v>2079.1396479999999</v>
      </c>
      <c r="E47" s="12">
        <v>2208.1608890000002</v>
      </c>
      <c r="F47" s="12">
        <v>2288.1069339999999</v>
      </c>
      <c r="G47" s="12">
        <v>2327.9038089999999</v>
      </c>
      <c r="H47" s="12">
        <v>2360.421143</v>
      </c>
      <c r="I47" s="12">
        <v>2403.2341310000002</v>
      </c>
      <c r="J47" s="12">
        <v>2452.6811520000001</v>
      </c>
      <c r="K47" s="12">
        <v>2501.150635</v>
      </c>
      <c r="L47" s="12">
        <v>2534.2661130000001</v>
      </c>
      <c r="M47" s="12">
        <v>2556.4204100000002</v>
      </c>
      <c r="N47" s="12">
        <v>2561.4465329999998</v>
      </c>
      <c r="O47" s="12">
        <v>2567.3308109999998</v>
      </c>
      <c r="P47" s="12">
        <v>2587.9956050000001</v>
      </c>
      <c r="Q47" s="12">
        <v>2610.8466800000001</v>
      </c>
      <c r="R47" s="12">
        <v>2644.189453</v>
      </c>
      <c r="S47" s="12">
        <v>2674.5629880000001</v>
      </c>
      <c r="T47" s="12">
        <v>2684.5874020000001</v>
      </c>
      <c r="U47" s="12">
        <v>2699.491211</v>
      </c>
      <c r="V47" s="12">
        <v>2751.0715329999998</v>
      </c>
      <c r="W47" s="12">
        <v>2803.8718260000001</v>
      </c>
      <c r="X47" s="12">
        <v>2847.0200199999999</v>
      </c>
      <c r="Y47" s="12">
        <v>2881.6987300000001</v>
      </c>
      <c r="Z47" s="12">
        <v>2925.586182</v>
      </c>
      <c r="AA47" s="12">
        <v>2956.5092770000001</v>
      </c>
      <c r="AB47" s="12">
        <v>2989.0258789999998</v>
      </c>
      <c r="AC47" s="12">
        <v>3027.9560550000001</v>
      </c>
      <c r="AD47" s="12">
        <v>3057.2485350000002</v>
      </c>
      <c r="AE47" s="12">
        <v>3103.994385</v>
      </c>
      <c r="AF47" s="12">
        <v>3154.053711</v>
      </c>
      <c r="AG47" s="12">
        <v>3200.2846679999998</v>
      </c>
      <c r="AH47" s="12">
        <v>3250.2358399999998</v>
      </c>
      <c r="AI47" s="12">
        <v>3295.0434570000002</v>
      </c>
      <c r="AJ47" s="12">
        <v>3329.2436520000001</v>
      </c>
      <c r="AK47" s="12">
        <v>3362.4716800000001</v>
      </c>
      <c r="AL47" s="12">
        <v>3405.4565429999998</v>
      </c>
      <c r="AM47" s="13">
        <v>1.4618000000000001E-2</v>
      </c>
    </row>
    <row r="48" spans="1:39" ht="15" customHeight="1" x14ac:dyDescent="0.25">
      <c r="A48" s="7" t="s">
        <v>874</v>
      </c>
      <c r="B48" s="11" t="s">
        <v>875</v>
      </c>
      <c r="C48" s="12">
        <v>5324.8344729999999</v>
      </c>
      <c r="D48" s="12">
        <v>5374.2998049999997</v>
      </c>
      <c r="E48" s="12">
        <v>5671.8666990000002</v>
      </c>
      <c r="F48" s="12">
        <v>5769.1289059999999</v>
      </c>
      <c r="G48" s="12">
        <v>5859.1108400000003</v>
      </c>
      <c r="H48" s="12">
        <v>5988.3222660000001</v>
      </c>
      <c r="I48" s="12">
        <v>6143.90625</v>
      </c>
      <c r="J48" s="12">
        <v>6291.701172</v>
      </c>
      <c r="K48" s="12">
        <v>6432.4189450000003</v>
      </c>
      <c r="L48" s="12">
        <v>6560.9526370000003</v>
      </c>
      <c r="M48" s="12">
        <v>6632.9604490000002</v>
      </c>
      <c r="N48" s="12">
        <v>6673.3959960000002</v>
      </c>
      <c r="O48" s="12">
        <v>6766.0288090000004</v>
      </c>
      <c r="P48" s="12">
        <v>6874.2055659999996</v>
      </c>
      <c r="Q48" s="12">
        <v>6973.0961909999996</v>
      </c>
      <c r="R48" s="12">
        <v>7058.5004879999997</v>
      </c>
      <c r="S48" s="12">
        <v>7143.8461909999996</v>
      </c>
      <c r="T48" s="12">
        <v>7243.125</v>
      </c>
      <c r="U48" s="12">
        <v>7384.5058589999999</v>
      </c>
      <c r="V48" s="12">
        <v>7529.404297</v>
      </c>
      <c r="W48" s="12">
        <v>7680.4472660000001</v>
      </c>
      <c r="X48" s="12">
        <v>7820.6435549999997</v>
      </c>
      <c r="Y48" s="12">
        <v>7989.7695309999999</v>
      </c>
      <c r="Z48" s="12">
        <v>8186.3374020000001</v>
      </c>
      <c r="AA48" s="12">
        <v>8351.8300780000009</v>
      </c>
      <c r="AB48" s="12">
        <v>8513.2216800000006</v>
      </c>
      <c r="AC48" s="12">
        <v>8682.1103519999997</v>
      </c>
      <c r="AD48" s="12">
        <v>8866.6289059999999</v>
      </c>
      <c r="AE48" s="12">
        <v>9064.6523440000001</v>
      </c>
      <c r="AF48" s="12">
        <v>9250.6425780000009</v>
      </c>
      <c r="AG48" s="12">
        <v>9436.7861329999996</v>
      </c>
      <c r="AH48" s="12">
        <v>9625.2929690000001</v>
      </c>
      <c r="AI48" s="12">
        <v>9806.6318360000005</v>
      </c>
      <c r="AJ48" s="12">
        <v>10004.371094</v>
      </c>
      <c r="AK48" s="12">
        <v>10226.270508</v>
      </c>
      <c r="AL48" s="12">
        <v>10448.174805000001</v>
      </c>
      <c r="AM48" s="13">
        <v>1.9744999999999999E-2</v>
      </c>
    </row>
    <row r="49" spans="1:39" ht="15" customHeight="1" x14ac:dyDescent="0.25">
      <c r="A49" s="7" t="s">
        <v>876</v>
      </c>
      <c r="B49" s="11" t="s">
        <v>877</v>
      </c>
      <c r="C49" s="12">
        <v>1866.689453</v>
      </c>
      <c r="D49" s="12">
        <v>1898.2611079999999</v>
      </c>
      <c r="E49" s="12">
        <v>2001.7232670000001</v>
      </c>
      <c r="F49" s="12">
        <v>2035.8823239999999</v>
      </c>
      <c r="G49" s="12">
        <v>2067.757568</v>
      </c>
      <c r="H49" s="12">
        <v>2094.4345699999999</v>
      </c>
      <c r="I49" s="12">
        <v>2128.7145999999998</v>
      </c>
      <c r="J49" s="12">
        <v>2165.1401369999999</v>
      </c>
      <c r="K49" s="12">
        <v>2196.116943</v>
      </c>
      <c r="L49" s="12">
        <v>2218.1455080000001</v>
      </c>
      <c r="M49" s="12">
        <v>2230.6777339999999</v>
      </c>
      <c r="N49" s="12">
        <v>2243.4438479999999</v>
      </c>
      <c r="O49" s="12">
        <v>2257.0219729999999</v>
      </c>
      <c r="P49" s="12">
        <v>2272.3952640000002</v>
      </c>
      <c r="Q49" s="12">
        <v>2290.7592770000001</v>
      </c>
      <c r="R49" s="12">
        <v>2309.3793949999999</v>
      </c>
      <c r="S49" s="12">
        <v>2325.4279790000001</v>
      </c>
      <c r="T49" s="12">
        <v>2342.0625</v>
      </c>
      <c r="U49" s="12">
        <v>2361.2954100000002</v>
      </c>
      <c r="V49" s="12">
        <v>2387.52124</v>
      </c>
      <c r="W49" s="12">
        <v>2414.586182</v>
      </c>
      <c r="X49" s="12">
        <v>2441.6516109999998</v>
      </c>
      <c r="Y49" s="12">
        <v>2470.6779790000001</v>
      </c>
      <c r="Z49" s="12">
        <v>2503.40625</v>
      </c>
      <c r="AA49" s="12">
        <v>2535.3923340000001</v>
      </c>
      <c r="AB49" s="12">
        <v>2565.311279</v>
      </c>
      <c r="AC49" s="12">
        <v>2593.6091310000002</v>
      </c>
      <c r="AD49" s="12">
        <v>2620.330078</v>
      </c>
      <c r="AE49" s="12">
        <v>2651.8891600000002</v>
      </c>
      <c r="AF49" s="12">
        <v>2683.906982</v>
      </c>
      <c r="AG49" s="12">
        <v>2716.2536620000001</v>
      </c>
      <c r="AH49" s="12">
        <v>2748.244385</v>
      </c>
      <c r="AI49" s="12">
        <v>2784.400635</v>
      </c>
      <c r="AJ49" s="12">
        <v>2821.3708499999998</v>
      </c>
      <c r="AK49" s="12">
        <v>2859.9282229999999</v>
      </c>
      <c r="AL49" s="12">
        <v>2902.7687989999999</v>
      </c>
      <c r="AM49" s="13">
        <v>1.257E-2</v>
      </c>
    </row>
    <row r="50" spans="1:39" ht="15" customHeight="1" x14ac:dyDescent="0.25">
      <c r="A50" s="7" t="s">
        <v>878</v>
      </c>
      <c r="B50" s="11" t="s">
        <v>879</v>
      </c>
      <c r="C50" s="12">
        <v>3458.1442870000001</v>
      </c>
      <c r="D50" s="12">
        <v>3476.039307</v>
      </c>
      <c r="E50" s="12">
        <v>3670.1437989999999</v>
      </c>
      <c r="F50" s="12">
        <v>3733.2453609999998</v>
      </c>
      <c r="G50" s="12">
        <v>3791.3542480000001</v>
      </c>
      <c r="H50" s="12">
        <v>3893.8876949999999</v>
      </c>
      <c r="I50" s="12">
        <v>4015.1923830000001</v>
      </c>
      <c r="J50" s="12">
        <v>4126.5615230000003</v>
      </c>
      <c r="K50" s="12">
        <v>4236.3017579999996</v>
      </c>
      <c r="L50" s="12">
        <v>4342.8076170000004</v>
      </c>
      <c r="M50" s="12">
        <v>4402.2822269999997</v>
      </c>
      <c r="N50" s="12">
        <v>4429.9526370000003</v>
      </c>
      <c r="O50" s="12">
        <v>4509.0063479999999</v>
      </c>
      <c r="P50" s="12">
        <v>4601.8100590000004</v>
      </c>
      <c r="Q50" s="12">
        <v>4682.3369140000004</v>
      </c>
      <c r="R50" s="12">
        <v>4749.1210940000001</v>
      </c>
      <c r="S50" s="12">
        <v>4818.4184569999998</v>
      </c>
      <c r="T50" s="12">
        <v>4901.0625</v>
      </c>
      <c r="U50" s="12">
        <v>5023.2099609999996</v>
      </c>
      <c r="V50" s="12">
        <v>5141.8828119999998</v>
      </c>
      <c r="W50" s="12">
        <v>5265.861328</v>
      </c>
      <c r="X50" s="12">
        <v>5378.9916990000002</v>
      </c>
      <c r="Y50" s="12">
        <v>5519.0913090000004</v>
      </c>
      <c r="Z50" s="12">
        <v>5682.9311520000001</v>
      </c>
      <c r="AA50" s="12">
        <v>5816.4375</v>
      </c>
      <c r="AB50" s="12">
        <v>5947.9101559999999</v>
      </c>
      <c r="AC50" s="12">
        <v>6088.5004879999997</v>
      </c>
      <c r="AD50" s="12">
        <v>6246.2993159999996</v>
      </c>
      <c r="AE50" s="12">
        <v>6412.763672</v>
      </c>
      <c r="AF50" s="12">
        <v>6566.7348629999997</v>
      </c>
      <c r="AG50" s="12">
        <v>6720.5317379999997</v>
      </c>
      <c r="AH50" s="12">
        <v>6877.046875</v>
      </c>
      <c r="AI50" s="12">
        <v>7022.2314450000003</v>
      </c>
      <c r="AJ50" s="12">
        <v>7182.9995120000003</v>
      </c>
      <c r="AK50" s="12">
        <v>7366.3422849999997</v>
      </c>
      <c r="AL50" s="12">
        <v>7545.40625</v>
      </c>
      <c r="AM50" s="13">
        <v>2.3057000000000001E-2</v>
      </c>
    </row>
    <row r="51" spans="1:39" ht="15" customHeight="1" x14ac:dyDescent="0.25">
      <c r="A51" s="7" t="s">
        <v>880</v>
      </c>
      <c r="B51" s="10" t="s">
        <v>881</v>
      </c>
      <c r="C51" s="14">
        <v>31298.457031000002</v>
      </c>
      <c r="D51" s="14">
        <v>31817.035156000002</v>
      </c>
      <c r="E51" s="14">
        <v>32983.941405999998</v>
      </c>
      <c r="F51" s="14">
        <v>33750.554687999997</v>
      </c>
      <c r="G51" s="14">
        <v>34372.703125</v>
      </c>
      <c r="H51" s="14">
        <v>35053.726562000003</v>
      </c>
      <c r="I51" s="14">
        <v>35886.8125</v>
      </c>
      <c r="J51" s="14">
        <v>36857.855469000002</v>
      </c>
      <c r="K51" s="14">
        <v>37794.378905999998</v>
      </c>
      <c r="L51" s="14">
        <v>38684.5</v>
      </c>
      <c r="M51" s="14">
        <v>39433.375</v>
      </c>
      <c r="N51" s="14">
        <v>40011.289062000003</v>
      </c>
      <c r="O51" s="14">
        <v>40626.84375</v>
      </c>
      <c r="P51" s="14">
        <v>41395.195312000003</v>
      </c>
      <c r="Q51" s="14">
        <v>42147.464844000002</v>
      </c>
      <c r="R51" s="14">
        <v>42825.871094000002</v>
      </c>
      <c r="S51" s="14">
        <v>43506.945312000003</v>
      </c>
      <c r="T51" s="14">
        <v>44228.101562000003</v>
      </c>
      <c r="U51" s="14">
        <v>45086.148437999997</v>
      </c>
      <c r="V51" s="14">
        <v>46088.035155999998</v>
      </c>
      <c r="W51" s="14">
        <v>47106.242187999997</v>
      </c>
      <c r="X51" s="14">
        <v>48077.238280999998</v>
      </c>
      <c r="Y51" s="14">
        <v>49063.769530999998</v>
      </c>
      <c r="Z51" s="14">
        <v>50167.265625</v>
      </c>
      <c r="AA51" s="14">
        <v>51174.734375</v>
      </c>
      <c r="AB51" s="14">
        <v>52067.859375</v>
      </c>
      <c r="AC51" s="14">
        <v>52977.5</v>
      </c>
      <c r="AD51" s="14">
        <v>53948.816405999998</v>
      </c>
      <c r="AE51" s="14">
        <v>54984.601562000003</v>
      </c>
      <c r="AF51" s="14">
        <v>55958.6875</v>
      </c>
      <c r="AG51" s="14">
        <v>56877.722655999998</v>
      </c>
      <c r="AH51" s="14">
        <v>57749.289062000003</v>
      </c>
      <c r="AI51" s="14">
        <v>58668.023437999997</v>
      </c>
      <c r="AJ51" s="14">
        <v>59622.570312000003</v>
      </c>
      <c r="AK51" s="14">
        <v>61109.5</v>
      </c>
      <c r="AL51" s="14">
        <v>62418.605469000002</v>
      </c>
      <c r="AM51" s="15">
        <v>2.0017E-2</v>
      </c>
    </row>
    <row r="53" spans="1:39" ht="15" customHeight="1" x14ac:dyDescent="0.25">
      <c r="B53" s="10" t="s">
        <v>882</v>
      </c>
    </row>
    <row r="54" spans="1:39" ht="15" customHeight="1" x14ac:dyDescent="0.25">
      <c r="A54" s="7" t="s">
        <v>883</v>
      </c>
      <c r="B54" s="11" t="s">
        <v>884</v>
      </c>
      <c r="C54" s="65">
        <v>321.97769199999999</v>
      </c>
      <c r="D54" s="65">
        <v>324.49349999999998</v>
      </c>
      <c r="E54" s="65">
        <v>327.14514200000002</v>
      </c>
      <c r="F54" s="65">
        <v>329.77548200000001</v>
      </c>
      <c r="G54" s="65">
        <v>332.40213</v>
      </c>
      <c r="H54" s="65">
        <v>335.01986699999998</v>
      </c>
      <c r="I54" s="65">
        <v>337.62341300000003</v>
      </c>
      <c r="J54" s="65">
        <v>340.21005200000002</v>
      </c>
      <c r="K54" s="65">
        <v>342.77658100000002</v>
      </c>
      <c r="L54" s="65">
        <v>345.320312</v>
      </c>
      <c r="M54" s="65">
        <v>347.83724999999998</v>
      </c>
      <c r="N54" s="65">
        <v>350.32663000000002</v>
      </c>
      <c r="O54" s="65">
        <v>352.779358</v>
      </c>
      <c r="P54" s="65">
        <v>355.19259599999998</v>
      </c>
      <c r="Q54" s="65">
        <v>357.563019</v>
      </c>
      <c r="R54" s="65">
        <v>359.88809199999997</v>
      </c>
      <c r="S54" s="65">
        <v>362.16616800000003</v>
      </c>
      <c r="T54" s="65">
        <v>364.39642300000003</v>
      </c>
      <c r="U54" s="65">
        <v>366.57870500000001</v>
      </c>
      <c r="V54" s="65">
        <v>368.71343999999999</v>
      </c>
      <c r="W54" s="65">
        <v>370.802277</v>
      </c>
      <c r="X54" s="65">
        <v>372.85015900000002</v>
      </c>
      <c r="Y54" s="65">
        <v>374.85839800000002</v>
      </c>
      <c r="Z54" s="65">
        <v>376.82894900000002</v>
      </c>
      <c r="AA54" s="65">
        <v>378.76443499999999</v>
      </c>
      <c r="AB54" s="65">
        <v>380.668091</v>
      </c>
      <c r="AC54" s="65">
        <v>382.54336499999999</v>
      </c>
      <c r="AD54" s="65">
        <v>384.39410400000003</v>
      </c>
      <c r="AE54" s="65">
        <v>386.22393799999998</v>
      </c>
      <c r="AF54" s="65">
        <v>388.03723100000002</v>
      </c>
      <c r="AG54" s="65">
        <v>389.83828699999998</v>
      </c>
      <c r="AH54" s="65">
        <v>391.63253800000001</v>
      </c>
      <c r="AI54" s="65">
        <v>393.41992199999999</v>
      </c>
      <c r="AJ54" s="65">
        <v>395.20333900000003</v>
      </c>
      <c r="AK54" s="65">
        <v>396.98809799999998</v>
      </c>
      <c r="AL54" s="65">
        <v>398.77731299999999</v>
      </c>
      <c r="AM54" s="13">
        <v>6.0809999999999996E-3</v>
      </c>
    </row>
    <row r="55" spans="1:39" ht="15" customHeight="1" x14ac:dyDescent="0.25">
      <c r="A55" s="7" t="s">
        <v>885</v>
      </c>
      <c r="B55" s="11" t="s">
        <v>886</v>
      </c>
      <c r="C55" s="65">
        <v>256.70782500000001</v>
      </c>
      <c r="D55" s="65">
        <v>259.27072099999998</v>
      </c>
      <c r="E55" s="65">
        <v>261.85308800000001</v>
      </c>
      <c r="F55" s="65">
        <v>264.31753500000002</v>
      </c>
      <c r="G55" s="65">
        <v>266.78427099999999</v>
      </c>
      <c r="H55" s="65">
        <v>269.25543199999998</v>
      </c>
      <c r="I55" s="65">
        <v>271.69961499999999</v>
      </c>
      <c r="J55" s="65">
        <v>274.13986199999999</v>
      </c>
      <c r="K55" s="65">
        <v>276.58886699999999</v>
      </c>
      <c r="L55" s="65">
        <v>278.97497600000003</v>
      </c>
      <c r="M55" s="65">
        <v>281.22775300000001</v>
      </c>
      <c r="N55" s="65">
        <v>283.45556599999998</v>
      </c>
      <c r="O55" s="65">
        <v>285.65463299999999</v>
      </c>
      <c r="P55" s="65">
        <v>287.79254200000003</v>
      </c>
      <c r="Q55" s="65">
        <v>289.89074699999998</v>
      </c>
      <c r="R55" s="65">
        <v>291.97128300000003</v>
      </c>
      <c r="S55" s="65">
        <v>294.03140300000001</v>
      </c>
      <c r="T55" s="65">
        <v>296.069031</v>
      </c>
      <c r="U55" s="65">
        <v>298.08209199999999</v>
      </c>
      <c r="V55" s="65">
        <v>300.06774899999999</v>
      </c>
      <c r="W55" s="65">
        <v>302.02435300000002</v>
      </c>
      <c r="X55" s="65">
        <v>303.95272799999998</v>
      </c>
      <c r="Y55" s="65">
        <v>305.84921300000002</v>
      </c>
      <c r="Z55" s="65">
        <v>307.71151700000001</v>
      </c>
      <c r="AA55" s="65">
        <v>309.53884900000003</v>
      </c>
      <c r="AB55" s="65">
        <v>311.33218399999998</v>
      </c>
      <c r="AC55" s="65">
        <v>313.09307899999999</v>
      </c>
      <c r="AD55" s="65">
        <v>314.82312000000002</v>
      </c>
      <c r="AE55" s="65">
        <v>316.52346799999998</v>
      </c>
      <c r="AF55" s="65">
        <v>318.19650300000001</v>
      </c>
      <c r="AG55" s="65">
        <v>319.84530599999999</v>
      </c>
      <c r="AH55" s="65">
        <v>321.47842400000002</v>
      </c>
      <c r="AI55" s="65">
        <v>323.09121699999997</v>
      </c>
      <c r="AJ55" s="65">
        <v>324.68536399999999</v>
      </c>
      <c r="AK55" s="65">
        <v>326.270782</v>
      </c>
      <c r="AL55" s="65">
        <v>327.85235599999999</v>
      </c>
      <c r="AM55" s="13">
        <v>6.927E-3</v>
      </c>
    </row>
    <row r="56" spans="1:39" ht="15" customHeight="1" x14ac:dyDescent="0.25">
      <c r="A56" s="7" t="s">
        <v>887</v>
      </c>
      <c r="B56" s="11" t="s">
        <v>888</v>
      </c>
      <c r="C56" s="65">
        <v>48.022326999999997</v>
      </c>
      <c r="D56" s="65">
        <v>49.598511000000002</v>
      </c>
      <c r="E56" s="65">
        <v>51.280258000000003</v>
      </c>
      <c r="F56" s="65">
        <v>53.000092000000002</v>
      </c>
      <c r="G56" s="65">
        <v>54.806415999999999</v>
      </c>
      <c r="H56" s="65">
        <v>56.682456999999999</v>
      </c>
      <c r="I56" s="65">
        <v>58.545952</v>
      </c>
      <c r="J56" s="65">
        <v>60.473407999999999</v>
      </c>
      <c r="K56" s="65">
        <v>62.369292999999999</v>
      </c>
      <c r="L56" s="65">
        <v>64.243735999999998</v>
      </c>
      <c r="M56" s="65">
        <v>66.162575000000004</v>
      </c>
      <c r="N56" s="65">
        <v>67.984252999999995</v>
      </c>
      <c r="O56" s="65">
        <v>69.678557999999995</v>
      </c>
      <c r="P56" s="65">
        <v>71.314514000000003</v>
      </c>
      <c r="Q56" s="65">
        <v>72.877753999999996</v>
      </c>
      <c r="R56" s="65">
        <v>74.268424999999993</v>
      </c>
      <c r="S56" s="65">
        <v>75.389388999999994</v>
      </c>
      <c r="T56" s="65">
        <v>76.385177999999996</v>
      </c>
      <c r="U56" s="65">
        <v>77.318054000000004</v>
      </c>
      <c r="V56" s="65">
        <v>78.294464000000005</v>
      </c>
      <c r="W56" s="65">
        <v>79.379165999999998</v>
      </c>
      <c r="X56" s="65">
        <v>80.332274999999996</v>
      </c>
      <c r="Y56" s="65">
        <v>81.024872000000002</v>
      </c>
      <c r="Z56" s="65">
        <v>81.515586999999996</v>
      </c>
      <c r="AA56" s="65">
        <v>81.944434999999999</v>
      </c>
      <c r="AB56" s="65">
        <v>82.387016000000003</v>
      </c>
      <c r="AC56" s="65">
        <v>82.740234000000001</v>
      </c>
      <c r="AD56" s="65">
        <v>83.158439999999999</v>
      </c>
      <c r="AE56" s="65">
        <v>83.584823999999998</v>
      </c>
      <c r="AF56" s="65">
        <v>84.102135000000004</v>
      </c>
      <c r="AG56" s="65">
        <v>84.791550000000001</v>
      </c>
      <c r="AH56" s="65">
        <v>85.427413999999999</v>
      </c>
      <c r="AI56" s="65">
        <v>86.068161000000003</v>
      </c>
      <c r="AJ56" s="65">
        <v>86.710869000000002</v>
      </c>
      <c r="AK56" s="65">
        <v>87.338561999999996</v>
      </c>
      <c r="AL56" s="65">
        <v>88.080841000000007</v>
      </c>
      <c r="AM56" s="13">
        <v>1.7034000000000001E-2</v>
      </c>
    </row>
    <row r="57" spans="1:39" ht="15" customHeight="1" x14ac:dyDescent="0.25">
      <c r="A57" s="7" t="s">
        <v>889</v>
      </c>
      <c r="B57" s="11" t="s">
        <v>890</v>
      </c>
      <c r="C57" s="65">
        <v>141.60507200000001</v>
      </c>
      <c r="D57" s="65">
        <v>144.333099</v>
      </c>
      <c r="E57" s="65">
        <v>146.342758</v>
      </c>
      <c r="F57" s="65">
        <v>147.61715699999999</v>
      </c>
      <c r="G57" s="65">
        <v>148.48213200000001</v>
      </c>
      <c r="H57" s="65">
        <v>149.671967</v>
      </c>
      <c r="I57" s="65">
        <v>151.34565699999999</v>
      </c>
      <c r="J57" s="65">
        <v>153.582504</v>
      </c>
      <c r="K57" s="65">
        <v>155.52972399999999</v>
      </c>
      <c r="L57" s="65">
        <v>157.21539300000001</v>
      </c>
      <c r="M57" s="65">
        <v>158.597961</v>
      </c>
      <c r="N57" s="65">
        <v>159.510605</v>
      </c>
      <c r="O57" s="65">
        <v>160.288803</v>
      </c>
      <c r="P57" s="65">
        <v>161.130661</v>
      </c>
      <c r="Q57" s="65">
        <v>161.92610199999999</v>
      </c>
      <c r="R57" s="65">
        <v>162.72903400000001</v>
      </c>
      <c r="S57" s="65">
        <v>163.289536</v>
      </c>
      <c r="T57" s="65">
        <v>163.90692100000001</v>
      </c>
      <c r="U57" s="65">
        <v>164.74259900000001</v>
      </c>
      <c r="V57" s="65">
        <v>165.94285600000001</v>
      </c>
      <c r="W57" s="65">
        <v>167.18138099999999</v>
      </c>
      <c r="X57" s="65">
        <v>168.386032</v>
      </c>
      <c r="Y57" s="65">
        <v>169.54148900000001</v>
      </c>
      <c r="Z57" s="65">
        <v>170.907059</v>
      </c>
      <c r="AA57" s="65">
        <v>172.160706</v>
      </c>
      <c r="AB57" s="65">
        <v>173.249222</v>
      </c>
      <c r="AC57" s="65">
        <v>174.01885999999999</v>
      </c>
      <c r="AD57" s="65">
        <v>175.01409899999999</v>
      </c>
      <c r="AE57" s="65">
        <v>176.131866</v>
      </c>
      <c r="AF57" s="65">
        <v>177.14328</v>
      </c>
      <c r="AG57" s="65">
        <v>177.983215</v>
      </c>
      <c r="AH57" s="65">
        <v>178.70562699999999</v>
      </c>
      <c r="AI57" s="65">
        <v>179.294769</v>
      </c>
      <c r="AJ57" s="65">
        <v>179.72590600000001</v>
      </c>
      <c r="AK57" s="65">
        <v>180.34986900000001</v>
      </c>
      <c r="AL57" s="65">
        <v>181.16365099999999</v>
      </c>
      <c r="AM57" s="13">
        <v>6.7070000000000003E-3</v>
      </c>
    </row>
    <row r="58" spans="1:39" ht="15" customHeight="1" x14ac:dyDescent="0.25">
      <c r="A58" s="7" t="s">
        <v>891</v>
      </c>
      <c r="B58" s="11" t="s">
        <v>892</v>
      </c>
      <c r="C58" s="65">
        <v>12.142234999999999</v>
      </c>
      <c r="D58" s="65">
        <v>12.125695</v>
      </c>
      <c r="E58" s="65">
        <v>12.741469</v>
      </c>
      <c r="F58" s="65">
        <v>13.040511</v>
      </c>
      <c r="G58" s="65">
        <v>13.204947000000001</v>
      </c>
      <c r="H58" s="65">
        <v>13.291192000000001</v>
      </c>
      <c r="I58" s="65">
        <v>13.379307000000001</v>
      </c>
      <c r="J58" s="65">
        <v>13.501132999999999</v>
      </c>
      <c r="K58" s="65">
        <v>13.592907</v>
      </c>
      <c r="L58" s="65">
        <v>13.624563</v>
      </c>
      <c r="M58" s="65">
        <v>13.590479999999999</v>
      </c>
      <c r="N58" s="65">
        <v>13.507604000000001</v>
      </c>
      <c r="O58" s="65">
        <v>13.425433</v>
      </c>
      <c r="P58" s="65">
        <v>13.348279</v>
      </c>
      <c r="Q58" s="65">
        <v>13.270398999999999</v>
      </c>
      <c r="R58" s="65">
        <v>13.166363</v>
      </c>
      <c r="S58" s="65">
        <v>13.053549</v>
      </c>
      <c r="T58" s="65">
        <v>12.952056000000001</v>
      </c>
      <c r="U58" s="65">
        <v>12.884686</v>
      </c>
      <c r="V58" s="65">
        <v>12.823945</v>
      </c>
      <c r="W58" s="65">
        <v>12.769276</v>
      </c>
      <c r="X58" s="65">
        <v>12.696904999999999</v>
      </c>
      <c r="Y58" s="65">
        <v>12.643962</v>
      </c>
      <c r="Z58" s="65">
        <v>12.621123000000001</v>
      </c>
      <c r="AA58" s="65">
        <v>12.593249999999999</v>
      </c>
      <c r="AB58" s="65">
        <v>12.553691000000001</v>
      </c>
      <c r="AC58" s="65">
        <v>12.504621</v>
      </c>
      <c r="AD58" s="65">
        <v>12.478266</v>
      </c>
      <c r="AE58" s="65">
        <v>12.473108999999999</v>
      </c>
      <c r="AF58" s="65">
        <v>12.452033</v>
      </c>
      <c r="AG58" s="65">
        <v>12.423176</v>
      </c>
      <c r="AH58" s="65">
        <v>12.391992999999999</v>
      </c>
      <c r="AI58" s="65">
        <v>12.354892</v>
      </c>
      <c r="AJ58" s="65">
        <v>12.324839000000001</v>
      </c>
      <c r="AK58" s="65">
        <v>12.306760000000001</v>
      </c>
      <c r="AL58" s="65">
        <v>12.300131</v>
      </c>
      <c r="AM58" s="13">
        <v>4.2000000000000002E-4</v>
      </c>
    </row>
    <row r="60" spans="1:39" ht="15" customHeight="1" x14ac:dyDescent="0.25">
      <c r="B60" s="10" t="s">
        <v>893</v>
      </c>
    </row>
    <row r="61" spans="1:39" ht="15" customHeight="1" x14ac:dyDescent="0.25">
      <c r="A61" s="7" t="s">
        <v>894</v>
      </c>
      <c r="B61" s="11" t="s">
        <v>895</v>
      </c>
      <c r="C61" s="65">
        <v>157.126251</v>
      </c>
      <c r="D61" s="65">
        <v>159.22936999999999</v>
      </c>
      <c r="E61" s="65">
        <v>161.18392900000001</v>
      </c>
      <c r="F61" s="65">
        <v>163.05796799999999</v>
      </c>
      <c r="G61" s="65">
        <v>164.65261799999999</v>
      </c>
      <c r="H61" s="65">
        <v>166.03387499999999</v>
      </c>
      <c r="I61" s="65">
        <v>167.002274</v>
      </c>
      <c r="J61" s="65">
        <v>168.097656</v>
      </c>
      <c r="K61" s="65">
        <v>169.33290099999999</v>
      </c>
      <c r="L61" s="65">
        <v>170.48123200000001</v>
      </c>
      <c r="M61" s="65">
        <v>171.48959400000001</v>
      </c>
      <c r="N61" s="65">
        <v>172.50952100000001</v>
      </c>
      <c r="O61" s="65">
        <v>173.53114299999999</v>
      </c>
      <c r="P61" s="65">
        <v>174.55372600000001</v>
      </c>
      <c r="Q61" s="65">
        <v>175.66153</v>
      </c>
      <c r="R61" s="65">
        <v>176.80995200000001</v>
      </c>
      <c r="S61" s="65">
        <v>177.93843100000001</v>
      </c>
      <c r="T61" s="65">
        <v>178.98410000000001</v>
      </c>
      <c r="U61" s="65">
        <v>180.06281999999999</v>
      </c>
      <c r="V61" s="65">
        <v>181.07145700000001</v>
      </c>
      <c r="W61" s="65">
        <v>182.02520799999999</v>
      </c>
      <c r="X61" s="65">
        <v>183.07820100000001</v>
      </c>
      <c r="Y61" s="65">
        <v>184.240555</v>
      </c>
      <c r="Z61" s="65">
        <v>185.48931899999999</v>
      </c>
      <c r="AA61" s="65">
        <v>186.747253</v>
      </c>
      <c r="AB61" s="65">
        <v>187.93589800000001</v>
      </c>
      <c r="AC61" s="65">
        <v>189.106201</v>
      </c>
      <c r="AD61" s="65">
        <v>190.19627399999999</v>
      </c>
      <c r="AE61" s="65">
        <v>191.29104599999999</v>
      </c>
      <c r="AF61" s="65">
        <v>192.341644</v>
      </c>
      <c r="AG61" s="65">
        <v>193.29367099999999</v>
      </c>
      <c r="AH61" s="65">
        <v>194.26332099999999</v>
      </c>
      <c r="AI61" s="65">
        <v>195.17674299999999</v>
      </c>
      <c r="AJ61" s="65">
        <v>196.0737</v>
      </c>
      <c r="AK61" s="65">
        <v>196.97030599999999</v>
      </c>
      <c r="AL61" s="65">
        <v>197.843231</v>
      </c>
      <c r="AM61" s="13">
        <v>6.4070000000000004E-3</v>
      </c>
    </row>
    <row r="62" spans="1:39" ht="15" customHeight="1" x14ac:dyDescent="0.25">
      <c r="A62" s="7" t="s">
        <v>896</v>
      </c>
      <c r="B62" s="11" t="s">
        <v>897</v>
      </c>
      <c r="C62" s="16">
        <v>1.0646800000000001</v>
      </c>
      <c r="D62" s="16">
        <v>1.06369</v>
      </c>
      <c r="E62" s="16">
        <v>1.0772120000000001</v>
      </c>
      <c r="F62" s="16">
        <v>1.092757</v>
      </c>
      <c r="G62" s="16">
        <v>1.1105069999999999</v>
      </c>
      <c r="H62" s="16">
        <v>1.1319779999999999</v>
      </c>
      <c r="I62" s="16">
        <v>1.1512560000000001</v>
      </c>
      <c r="J62" s="16">
        <v>1.1669449999999999</v>
      </c>
      <c r="K62" s="16">
        <v>1.182498</v>
      </c>
      <c r="L62" s="16">
        <v>1.200502</v>
      </c>
      <c r="M62" s="16">
        <v>1.217578</v>
      </c>
      <c r="N62" s="16">
        <v>1.234475</v>
      </c>
      <c r="O62" s="16">
        <v>1.255339</v>
      </c>
      <c r="P62" s="16">
        <v>1.278826</v>
      </c>
      <c r="Q62" s="16">
        <v>1.3015840000000001</v>
      </c>
      <c r="R62" s="16">
        <v>1.3243229999999999</v>
      </c>
      <c r="S62" s="16">
        <v>1.346876</v>
      </c>
      <c r="T62" s="16">
        <v>1.3703939999999999</v>
      </c>
      <c r="U62" s="16">
        <v>1.396199</v>
      </c>
      <c r="V62" s="16">
        <v>1.421252</v>
      </c>
      <c r="W62" s="16">
        <v>1.4458519999999999</v>
      </c>
      <c r="X62" s="16">
        <v>1.470067</v>
      </c>
      <c r="Y62" s="16">
        <v>1.4959089999999999</v>
      </c>
      <c r="Z62" s="16">
        <v>1.522373</v>
      </c>
      <c r="AA62" s="16">
        <v>1.546753</v>
      </c>
      <c r="AB62" s="16">
        <v>1.5717639999999999</v>
      </c>
      <c r="AC62" s="16">
        <v>1.598285</v>
      </c>
      <c r="AD62" s="16">
        <v>1.6255820000000001</v>
      </c>
      <c r="AE62" s="16">
        <v>1.652933</v>
      </c>
      <c r="AF62" s="16">
        <v>1.680461</v>
      </c>
      <c r="AG62" s="16">
        <v>1.7088730000000001</v>
      </c>
      <c r="AH62" s="16">
        <v>1.7382299999999999</v>
      </c>
      <c r="AI62" s="16">
        <v>1.767431</v>
      </c>
      <c r="AJ62" s="16">
        <v>1.798289</v>
      </c>
      <c r="AK62" s="16">
        <v>1.8295159999999999</v>
      </c>
      <c r="AL62" s="16">
        <v>1.859961</v>
      </c>
      <c r="AM62" s="13">
        <v>1.6570999999999999E-2</v>
      </c>
    </row>
    <row r="63" spans="1:39" ht="15" customHeight="1" x14ac:dyDescent="0.25">
      <c r="A63" s="7" t="s">
        <v>898</v>
      </c>
      <c r="B63" s="11" t="s">
        <v>899</v>
      </c>
      <c r="C63" s="16">
        <v>5.2833329999999998</v>
      </c>
      <c r="D63" s="16">
        <v>4.875508</v>
      </c>
      <c r="E63" s="16">
        <v>4.6896690000000003</v>
      </c>
      <c r="F63" s="16">
        <v>4.6833179999999999</v>
      </c>
      <c r="G63" s="16">
        <v>4.8663629999999998</v>
      </c>
      <c r="H63" s="16">
        <v>4.9667430000000001</v>
      </c>
      <c r="I63" s="16">
        <v>4.9497090000000004</v>
      </c>
      <c r="J63" s="16">
        <v>4.7723639999999996</v>
      </c>
      <c r="K63" s="16">
        <v>4.5813819999999996</v>
      </c>
      <c r="L63" s="16">
        <v>4.4522190000000004</v>
      </c>
      <c r="M63" s="16">
        <v>4.4038519999999997</v>
      </c>
      <c r="N63" s="16">
        <v>4.4227759999999998</v>
      </c>
      <c r="O63" s="16">
        <v>4.4346310000000004</v>
      </c>
      <c r="P63" s="16">
        <v>4.4150130000000001</v>
      </c>
      <c r="Q63" s="16">
        <v>4.43391</v>
      </c>
      <c r="R63" s="16">
        <v>4.4973020000000004</v>
      </c>
      <c r="S63" s="16">
        <v>4.5393379999999999</v>
      </c>
      <c r="T63" s="16">
        <v>4.571796</v>
      </c>
      <c r="U63" s="16">
        <v>4.5933929999999998</v>
      </c>
      <c r="V63" s="16">
        <v>4.5556989999999997</v>
      </c>
      <c r="W63" s="16">
        <v>4.473433</v>
      </c>
      <c r="X63" s="16">
        <v>4.4114709999999997</v>
      </c>
      <c r="Y63" s="16">
        <v>4.3945109999999996</v>
      </c>
      <c r="Z63" s="16">
        <v>4.3826700000000001</v>
      </c>
      <c r="AA63" s="16">
        <v>4.4032660000000003</v>
      </c>
      <c r="AB63" s="16">
        <v>4.4540559999999996</v>
      </c>
      <c r="AC63" s="16">
        <v>4.4954900000000002</v>
      </c>
      <c r="AD63" s="16">
        <v>4.5241249999999997</v>
      </c>
      <c r="AE63" s="16">
        <v>4.5174500000000002</v>
      </c>
      <c r="AF63" s="16">
        <v>4.5167640000000002</v>
      </c>
      <c r="AG63" s="16">
        <v>4.5177129999999996</v>
      </c>
      <c r="AH63" s="16">
        <v>4.5470189999999997</v>
      </c>
      <c r="AI63" s="16">
        <v>4.591475</v>
      </c>
      <c r="AJ63" s="16">
        <v>4.6255829999999998</v>
      </c>
      <c r="AK63" s="16">
        <v>4.6428200000000004</v>
      </c>
      <c r="AL63" s="16">
        <v>4.6547660000000004</v>
      </c>
      <c r="AM63" s="13" t="s">
        <v>13</v>
      </c>
    </row>
    <row r="66" spans="1:39" ht="15" customHeight="1" x14ac:dyDescent="0.25">
      <c r="B66" s="10" t="s">
        <v>900</v>
      </c>
    </row>
    <row r="67" spans="1:39" ht="15" customHeight="1" x14ac:dyDescent="0.25">
      <c r="A67" s="7" t="s">
        <v>901</v>
      </c>
      <c r="B67" s="11" t="s">
        <v>902</v>
      </c>
      <c r="C67" s="12">
        <v>12343.200194999999</v>
      </c>
      <c r="D67" s="12">
        <v>12662.684569999999</v>
      </c>
      <c r="E67" s="12">
        <v>13020.580078000001</v>
      </c>
      <c r="F67" s="12">
        <v>13413.599609000001</v>
      </c>
      <c r="G67" s="12">
        <v>13752.934569999999</v>
      </c>
      <c r="H67" s="12">
        <v>14115.667969</v>
      </c>
      <c r="I67" s="12">
        <v>14520.205078000001</v>
      </c>
      <c r="J67" s="12">
        <v>14931.004883</v>
      </c>
      <c r="K67" s="12">
        <v>15313.834961</v>
      </c>
      <c r="L67" s="12">
        <v>15702.097656</v>
      </c>
      <c r="M67" s="12">
        <v>16084.855469</v>
      </c>
      <c r="N67" s="12">
        <v>16434.429688</v>
      </c>
      <c r="O67" s="12">
        <v>16806.095702999999</v>
      </c>
      <c r="P67" s="12">
        <v>17201.595702999999</v>
      </c>
      <c r="Q67" s="12">
        <v>17566.480468999998</v>
      </c>
      <c r="R67" s="12">
        <v>17888.931640999999</v>
      </c>
      <c r="S67" s="12">
        <v>18202.023438</v>
      </c>
      <c r="T67" s="12">
        <v>18537.054688</v>
      </c>
      <c r="U67" s="12">
        <v>18909.142577999999</v>
      </c>
      <c r="V67" s="12">
        <v>19312.285156000002</v>
      </c>
      <c r="W67" s="12">
        <v>19733.714843999998</v>
      </c>
      <c r="X67" s="12">
        <v>20157.140625</v>
      </c>
      <c r="Y67" s="12">
        <v>20586.408202999999</v>
      </c>
      <c r="Z67" s="12">
        <v>21041.830077999999</v>
      </c>
      <c r="AA67" s="12">
        <v>21481.660156000002</v>
      </c>
      <c r="AB67" s="12">
        <v>21902.904297000001</v>
      </c>
      <c r="AC67" s="12">
        <v>22326.8125</v>
      </c>
      <c r="AD67" s="12">
        <v>22769.150390999999</v>
      </c>
      <c r="AE67" s="12">
        <v>23220.345702999999</v>
      </c>
      <c r="AF67" s="12">
        <v>23663.339843999998</v>
      </c>
      <c r="AG67" s="12">
        <v>24115.679688</v>
      </c>
      <c r="AH67" s="12">
        <v>24563.865234000001</v>
      </c>
      <c r="AI67" s="12">
        <v>24989.001952999999</v>
      </c>
      <c r="AJ67" s="12">
        <v>25402.074218999998</v>
      </c>
      <c r="AK67" s="12">
        <v>25832.640625</v>
      </c>
      <c r="AL67" s="12">
        <v>26270.720702999999</v>
      </c>
      <c r="AM67" s="13">
        <v>2.1697000000000001E-2</v>
      </c>
    </row>
    <row r="68" spans="1:39" ht="15" customHeight="1" x14ac:dyDescent="0.25">
      <c r="A68" s="7" t="s">
        <v>903</v>
      </c>
      <c r="B68" s="11" t="s">
        <v>904</v>
      </c>
      <c r="C68" s="16">
        <v>1.17875</v>
      </c>
      <c r="D68" s="16">
        <v>1.259879</v>
      </c>
      <c r="E68" s="16">
        <v>1.4775499999999999</v>
      </c>
      <c r="F68" s="16">
        <v>1.6324289999999999</v>
      </c>
      <c r="G68" s="16">
        <v>1.6700349999999999</v>
      </c>
      <c r="H68" s="16">
        <v>1.7206360000000001</v>
      </c>
      <c r="I68" s="16">
        <v>1.770357</v>
      </c>
      <c r="J68" s="16">
        <v>1.8292919999999999</v>
      </c>
      <c r="K68" s="16">
        <v>1.8604240000000001</v>
      </c>
      <c r="L68" s="16">
        <v>1.8727819999999999</v>
      </c>
      <c r="M68" s="16">
        <v>1.863828</v>
      </c>
      <c r="N68" s="16">
        <v>1.8328899999999999</v>
      </c>
      <c r="O68" s="16">
        <v>1.791725</v>
      </c>
      <c r="P68" s="16">
        <v>1.7459420000000001</v>
      </c>
      <c r="Q68" s="16">
        <v>1.7235689999999999</v>
      </c>
      <c r="R68" s="16">
        <v>1.7254849999999999</v>
      </c>
      <c r="S68" s="16">
        <v>1.6946950000000001</v>
      </c>
      <c r="T68" s="16">
        <v>1.635478</v>
      </c>
      <c r="U68" s="16">
        <v>1.6346350000000001</v>
      </c>
      <c r="V68" s="16">
        <v>1.681465</v>
      </c>
      <c r="W68" s="16">
        <v>1.7328749999999999</v>
      </c>
      <c r="X68" s="16">
        <v>1.747212</v>
      </c>
      <c r="Y68" s="16">
        <v>1.748108</v>
      </c>
      <c r="Z68" s="16">
        <v>1.7612570000000001</v>
      </c>
      <c r="AA68" s="16">
        <v>1.75597</v>
      </c>
      <c r="AB68" s="16">
        <v>1.7559149999999999</v>
      </c>
      <c r="AC68" s="16">
        <v>1.751676</v>
      </c>
      <c r="AD68" s="16">
        <v>1.749009</v>
      </c>
      <c r="AE68" s="16">
        <v>1.7641690000000001</v>
      </c>
      <c r="AF68" s="16">
        <v>1.7862260000000001</v>
      </c>
      <c r="AG68" s="16">
        <v>1.798835</v>
      </c>
      <c r="AH68" s="16">
        <v>1.807542</v>
      </c>
      <c r="AI68" s="16">
        <v>1.8077989999999999</v>
      </c>
      <c r="AJ68" s="16">
        <v>1.788289</v>
      </c>
      <c r="AK68" s="16">
        <v>1.7789649999999999</v>
      </c>
      <c r="AL68" s="16">
        <v>1.7773589999999999</v>
      </c>
      <c r="AM68" s="13">
        <v>1.0172E-2</v>
      </c>
    </row>
    <row r="69" spans="1:39" ht="15" customHeight="1" x14ac:dyDescent="0.25">
      <c r="A69" s="7" t="s">
        <v>905</v>
      </c>
      <c r="B69" s="11" t="s">
        <v>906</v>
      </c>
      <c r="C69" s="65">
        <v>88.859382999999994</v>
      </c>
      <c r="D69" s="65">
        <v>89.743965000000003</v>
      </c>
      <c r="E69" s="65">
        <v>90.700569000000002</v>
      </c>
      <c r="F69" s="65">
        <v>91.731171000000003</v>
      </c>
      <c r="G69" s="65">
        <v>92.809875000000005</v>
      </c>
      <c r="H69" s="65">
        <v>93.891311999999999</v>
      </c>
      <c r="I69" s="65">
        <v>94.989333999999999</v>
      </c>
      <c r="J69" s="65">
        <v>96.093979000000004</v>
      </c>
      <c r="K69" s="65">
        <v>97.197547999999998</v>
      </c>
      <c r="L69" s="65">
        <v>98.291183000000004</v>
      </c>
      <c r="M69" s="65">
        <v>99.372603999999995</v>
      </c>
      <c r="N69" s="65">
        <v>100.444176</v>
      </c>
      <c r="O69" s="65">
        <v>101.512146</v>
      </c>
      <c r="P69" s="65">
        <v>102.584976</v>
      </c>
      <c r="Q69" s="65">
        <v>103.662453</v>
      </c>
      <c r="R69" s="65">
        <v>104.73967</v>
      </c>
      <c r="S69" s="65">
        <v>105.819115</v>
      </c>
      <c r="T69" s="65">
        <v>106.895844</v>
      </c>
      <c r="U69" s="65">
        <v>107.977638</v>
      </c>
      <c r="V69" s="65">
        <v>109.06637600000001</v>
      </c>
      <c r="W69" s="65">
        <v>110.154449</v>
      </c>
      <c r="X69" s="65">
        <v>111.23943300000001</v>
      </c>
      <c r="Y69" s="65">
        <v>112.320549</v>
      </c>
      <c r="Z69" s="65">
        <v>113.41025500000001</v>
      </c>
      <c r="AA69" s="65">
        <v>114.504097</v>
      </c>
      <c r="AB69" s="65">
        <v>115.600677</v>
      </c>
      <c r="AC69" s="65">
        <v>116.69277200000001</v>
      </c>
      <c r="AD69" s="65">
        <v>117.78672</v>
      </c>
      <c r="AE69" s="65">
        <v>118.885216</v>
      </c>
      <c r="AF69" s="65">
        <v>119.987984</v>
      </c>
      <c r="AG69" s="65">
        <v>121.094818</v>
      </c>
      <c r="AH69" s="65">
        <v>122.204933</v>
      </c>
      <c r="AI69" s="65">
        <v>123.312225</v>
      </c>
      <c r="AJ69" s="65">
        <v>124.415497</v>
      </c>
      <c r="AK69" s="65">
        <v>125.516914</v>
      </c>
      <c r="AL69" s="65">
        <v>126.617065</v>
      </c>
      <c r="AM69" s="13">
        <v>1.0175E-2</v>
      </c>
    </row>
    <row r="70" spans="1:39" ht="15" customHeight="1" x14ac:dyDescent="0.25">
      <c r="A70" s="7" t="s">
        <v>907</v>
      </c>
      <c r="B70" s="11" t="s">
        <v>908</v>
      </c>
      <c r="C70" s="16">
        <v>17.387083000000001</v>
      </c>
      <c r="D70" s="16">
        <v>17.472086000000001</v>
      </c>
      <c r="E70" s="16">
        <v>18.002759999999999</v>
      </c>
      <c r="F70" s="16">
        <v>17.869831000000001</v>
      </c>
      <c r="G70" s="16">
        <v>17.255649999999999</v>
      </c>
      <c r="H70" s="16">
        <v>17.229589000000001</v>
      </c>
      <c r="I70" s="16">
        <v>17.508144000000001</v>
      </c>
      <c r="J70" s="16">
        <v>17.406748</v>
      </c>
      <c r="K70" s="16">
        <v>17.371684999999999</v>
      </c>
      <c r="L70" s="16">
        <v>17.700104</v>
      </c>
      <c r="M70" s="16">
        <v>17.688130999999998</v>
      </c>
      <c r="N70" s="16">
        <v>17.470376999999999</v>
      </c>
      <c r="O70" s="16">
        <v>17.575310000000002</v>
      </c>
      <c r="P70" s="16">
        <v>17.815922</v>
      </c>
      <c r="Q70" s="16">
        <v>17.786563999999998</v>
      </c>
      <c r="R70" s="16">
        <v>17.753789999999999</v>
      </c>
      <c r="S70" s="16">
        <v>17.806141</v>
      </c>
      <c r="T70" s="16">
        <v>17.867637999999999</v>
      </c>
      <c r="U70" s="16">
        <v>17.996497999999999</v>
      </c>
      <c r="V70" s="16">
        <v>18.287939000000001</v>
      </c>
      <c r="W70" s="16">
        <v>18.400372000000001</v>
      </c>
      <c r="X70" s="16">
        <v>18.528538000000001</v>
      </c>
      <c r="Y70" s="16">
        <v>18.672415000000001</v>
      </c>
      <c r="Z70" s="16">
        <v>18.886551000000001</v>
      </c>
      <c r="AA70" s="16">
        <v>18.709126000000001</v>
      </c>
      <c r="AB70" s="16">
        <v>18.712273</v>
      </c>
      <c r="AC70" s="16">
        <v>18.902463999999998</v>
      </c>
      <c r="AD70" s="16">
        <v>18.909599</v>
      </c>
      <c r="AE70" s="16">
        <v>18.953972</v>
      </c>
      <c r="AF70" s="16">
        <v>19.146618</v>
      </c>
      <c r="AG70" s="16">
        <v>19.33765</v>
      </c>
      <c r="AH70" s="16">
        <v>19.471057999999999</v>
      </c>
      <c r="AI70" s="16">
        <v>19.395084000000001</v>
      </c>
      <c r="AJ70" s="16">
        <v>19.538143000000002</v>
      </c>
      <c r="AK70" s="16">
        <v>19.779819</v>
      </c>
      <c r="AL70" s="16">
        <v>19.840170000000001</v>
      </c>
      <c r="AM70" s="13">
        <v>3.7450000000000001E-3</v>
      </c>
    </row>
    <row r="71" spans="1:39" ht="15" customHeight="1" thickBot="1" x14ac:dyDescent="0.3"/>
    <row r="72" spans="1:39" ht="15" customHeight="1" x14ac:dyDescent="0.25">
      <c r="B72" s="364" t="s">
        <v>909</v>
      </c>
      <c r="C72" s="364"/>
      <c r="D72" s="364"/>
      <c r="E72" s="364"/>
      <c r="F72" s="364"/>
      <c r="G72" s="364"/>
      <c r="H72" s="364"/>
      <c r="I72" s="364"/>
      <c r="J72" s="364"/>
      <c r="K72" s="364"/>
      <c r="L72" s="364"/>
      <c r="M72" s="364"/>
      <c r="N72" s="364"/>
      <c r="O72" s="364"/>
      <c r="P72" s="364"/>
      <c r="Q72" s="364"/>
      <c r="R72" s="364"/>
      <c r="S72" s="364"/>
      <c r="T72" s="364"/>
      <c r="U72" s="364"/>
      <c r="V72" s="364"/>
      <c r="W72" s="364"/>
      <c r="X72" s="364"/>
      <c r="Y72" s="364"/>
      <c r="Z72" s="364"/>
      <c r="AA72" s="364"/>
      <c r="AB72" s="364"/>
      <c r="AC72" s="364"/>
      <c r="AD72" s="364"/>
      <c r="AE72" s="364"/>
      <c r="AF72" s="364"/>
      <c r="AG72" s="364"/>
      <c r="AH72" s="364"/>
      <c r="AI72" s="364"/>
      <c r="AJ72" s="364"/>
      <c r="AK72" s="364"/>
      <c r="AL72" s="364"/>
      <c r="AM72" s="364"/>
    </row>
    <row r="73" spans="1:39" ht="15" customHeight="1" x14ac:dyDescent="0.25">
      <c r="B73" s="18" t="s">
        <v>205</v>
      </c>
    </row>
    <row r="74" spans="1:39" ht="15" customHeight="1" x14ac:dyDescent="0.25">
      <c r="B74" s="18" t="s">
        <v>206</v>
      </c>
    </row>
    <row r="75" spans="1:39" ht="15" customHeight="1" x14ac:dyDescent="0.25">
      <c r="B75" s="18" t="s">
        <v>910</v>
      </c>
    </row>
    <row r="76" spans="1:39" ht="15" customHeight="1" x14ac:dyDescent="0.25">
      <c r="B76" s="18" t="s">
        <v>911</v>
      </c>
    </row>
  </sheetData>
  <mergeCells count="1">
    <mergeCell ref="B72:AM7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5" tint="0.79998168889431442"/>
  </sheetPr>
  <dimension ref="A1:AM64"/>
  <sheetViews>
    <sheetView topLeftCell="B3" workbookViewId="0">
      <selection activeCell="E37" sqref="E37"/>
    </sheetView>
  </sheetViews>
  <sheetFormatPr defaultRowHeight="15" x14ac:dyDescent="0.25"/>
  <cols>
    <col min="1" max="1" width="20.85546875" hidden="1" customWidth="1"/>
    <col min="2" max="2" width="45.7109375" customWidth="1"/>
  </cols>
  <sheetData>
    <row r="1" spans="1:39" ht="15" customHeight="1" thickBot="1" x14ac:dyDescent="0.3">
      <c r="B1" s="4" t="s">
        <v>502</v>
      </c>
      <c r="C1" s="5">
        <v>2015</v>
      </c>
      <c r="D1" s="5">
        <v>2016</v>
      </c>
      <c r="E1" s="5">
        <v>2017</v>
      </c>
      <c r="F1" s="5">
        <v>2018</v>
      </c>
      <c r="G1" s="5">
        <v>2019</v>
      </c>
      <c r="H1" s="5">
        <v>2020</v>
      </c>
      <c r="I1" s="5">
        <v>2021</v>
      </c>
      <c r="J1" s="5">
        <v>2022</v>
      </c>
      <c r="K1" s="5">
        <v>2023</v>
      </c>
      <c r="L1" s="5">
        <v>2024</v>
      </c>
      <c r="M1" s="5">
        <v>2025</v>
      </c>
      <c r="N1" s="5">
        <v>2026</v>
      </c>
      <c r="O1" s="5">
        <v>2027</v>
      </c>
      <c r="P1" s="5">
        <v>2028</v>
      </c>
      <c r="Q1" s="5">
        <v>2029</v>
      </c>
      <c r="R1" s="5">
        <v>2030</v>
      </c>
      <c r="S1" s="5">
        <v>2031</v>
      </c>
      <c r="T1" s="5">
        <v>2032</v>
      </c>
      <c r="U1" s="5">
        <v>2033</v>
      </c>
      <c r="V1" s="5">
        <v>2034</v>
      </c>
      <c r="W1" s="5">
        <v>2035</v>
      </c>
      <c r="X1" s="5">
        <v>2036</v>
      </c>
      <c r="Y1" s="5">
        <v>2037</v>
      </c>
      <c r="Z1" s="5">
        <v>2038</v>
      </c>
      <c r="AA1" s="5">
        <v>2039</v>
      </c>
      <c r="AB1" s="5">
        <v>2040</v>
      </c>
      <c r="AC1" s="5">
        <v>2041</v>
      </c>
      <c r="AD1" s="5">
        <v>2042</v>
      </c>
      <c r="AE1" s="5">
        <v>2043</v>
      </c>
      <c r="AF1" s="5">
        <v>2044</v>
      </c>
      <c r="AG1" s="5">
        <v>2045</v>
      </c>
      <c r="AH1" s="5">
        <v>2046</v>
      </c>
      <c r="AI1" s="5">
        <v>2047</v>
      </c>
      <c r="AJ1" s="5">
        <v>2048</v>
      </c>
      <c r="AK1" s="5">
        <v>2049</v>
      </c>
      <c r="AL1" s="5">
        <v>2050</v>
      </c>
    </row>
    <row r="2" spans="1:39" ht="15" customHeight="1" thickTop="1" x14ac:dyDescent="0.25"/>
    <row r="3" spans="1:39" ht="15" customHeight="1" x14ac:dyDescent="0.25">
      <c r="C3" s="6" t="s">
        <v>16</v>
      </c>
      <c r="D3" s="6" t="s">
        <v>17</v>
      </c>
      <c r="E3" s="6"/>
      <c r="F3" s="6"/>
      <c r="G3" s="6"/>
    </row>
    <row r="4" spans="1:39" ht="15" customHeight="1" x14ac:dyDescent="0.25">
      <c r="C4" s="6" t="s">
        <v>18</v>
      </c>
      <c r="D4" s="6" t="s">
        <v>503</v>
      </c>
      <c r="E4" s="6"/>
      <c r="F4" s="6"/>
      <c r="G4" s="6" t="s">
        <v>504</v>
      </c>
    </row>
    <row r="5" spans="1:39" ht="15" customHeight="1" x14ac:dyDescent="0.25">
      <c r="C5" s="6" t="s">
        <v>21</v>
      </c>
      <c r="D5" s="6" t="s">
        <v>22</v>
      </c>
      <c r="E5" s="6"/>
      <c r="F5" s="6"/>
      <c r="G5" s="6"/>
    </row>
    <row r="6" spans="1:39" ht="15" customHeight="1" x14ac:dyDescent="0.25">
      <c r="C6" s="6" t="s">
        <v>23</v>
      </c>
      <c r="D6" s="6"/>
      <c r="E6" s="6" t="s">
        <v>24</v>
      </c>
      <c r="F6" s="6"/>
      <c r="G6" s="6"/>
    </row>
    <row r="10" spans="1:39" ht="15" customHeight="1" x14ac:dyDescent="0.25">
      <c r="A10" s="7" t="s">
        <v>653</v>
      </c>
      <c r="B10" s="8" t="s">
        <v>654</v>
      </c>
    </row>
    <row r="11" spans="1:39" ht="15" customHeight="1" x14ac:dyDescent="0.25">
      <c r="B11" s="4" t="s">
        <v>27</v>
      </c>
    </row>
    <row r="12" spans="1:39" ht="15" customHeight="1" x14ac:dyDescent="0.25">
      <c r="B12" s="4" t="s">
        <v>27</v>
      </c>
      <c r="C12" s="9" t="s">
        <v>27</v>
      </c>
      <c r="D12" s="9" t="s">
        <v>27</v>
      </c>
      <c r="E12" s="9" t="s">
        <v>27</v>
      </c>
      <c r="F12" s="9" t="s">
        <v>27</v>
      </c>
      <c r="G12" s="9" t="s">
        <v>27</v>
      </c>
      <c r="H12" s="9" t="s">
        <v>27</v>
      </c>
      <c r="I12" s="9" t="s">
        <v>27</v>
      </c>
      <c r="J12" s="9" t="s">
        <v>27</v>
      </c>
      <c r="K12" s="9" t="s">
        <v>27</v>
      </c>
      <c r="L12" s="9" t="s">
        <v>27</v>
      </c>
      <c r="M12" s="9" t="s">
        <v>27</v>
      </c>
      <c r="N12" s="9" t="s">
        <v>27</v>
      </c>
      <c r="O12" s="9" t="s">
        <v>27</v>
      </c>
      <c r="P12" s="9" t="s">
        <v>27</v>
      </c>
      <c r="Q12" s="9" t="s">
        <v>27</v>
      </c>
      <c r="R12" s="9" t="s">
        <v>27</v>
      </c>
      <c r="S12" s="9" t="s">
        <v>27</v>
      </c>
      <c r="T12" s="9" t="s">
        <v>27</v>
      </c>
      <c r="U12" s="9" t="s">
        <v>27</v>
      </c>
      <c r="V12" s="9" t="s">
        <v>27</v>
      </c>
      <c r="W12" s="9" t="s">
        <v>27</v>
      </c>
      <c r="X12" s="9" t="s">
        <v>27</v>
      </c>
      <c r="Y12" s="9" t="s">
        <v>27</v>
      </c>
      <c r="Z12" s="9" t="s">
        <v>27</v>
      </c>
      <c r="AA12" s="9" t="s">
        <v>27</v>
      </c>
      <c r="AB12" s="9" t="s">
        <v>27</v>
      </c>
      <c r="AC12" s="9" t="s">
        <v>27</v>
      </c>
      <c r="AD12" s="9" t="s">
        <v>27</v>
      </c>
      <c r="AE12" s="9" t="s">
        <v>27</v>
      </c>
      <c r="AF12" s="9" t="s">
        <v>27</v>
      </c>
      <c r="AG12" s="9" t="s">
        <v>27</v>
      </c>
      <c r="AH12" s="9" t="s">
        <v>27</v>
      </c>
      <c r="AI12" s="9" t="s">
        <v>27</v>
      </c>
      <c r="AJ12" s="9" t="s">
        <v>27</v>
      </c>
      <c r="AK12" s="9" t="s">
        <v>27</v>
      </c>
      <c r="AL12" s="9" t="s">
        <v>27</v>
      </c>
      <c r="AM12" s="9" t="s">
        <v>28</v>
      </c>
    </row>
    <row r="13" spans="1:39" ht="15" customHeight="1" thickBot="1" x14ac:dyDescent="0.3">
      <c r="B13" s="5" t="s">
        <v>655</v>
      </c>
      <c r="C13" s="5">
        <v>2015</v>
      </c>
      <c r="D13" s="5">
        <v>2016</v>
      </c>
      <c r="E13" s="5">
        <v>2017</v>
      </c>
      <c r="F13" s="5">
        <v>2018</v>
      </c>
      <c r="G13" s="5">
        <v>2019</v>
      </c>
      <c r="H13" s="5">
        <v>2020</v>
      </c>
      <c r="I13" s="5">
        <v>2021</v>
      </c>
      <c r="J13" s="5">
        <v>2022</v>
      </c>
      <c r="K13" s="5">
        <v>2023</v>
      </c>
      <c r="L13" s="5">
        <v>2024</v>
      </c>
      <c r="M13" s="5">
        <v>2025</v>
      </c>
      <c r="N13" s="5">
        <v>2026</v>
      </c>
      <c r="O13" s="5">
        <v>2027</v>
      </c>
      <c r="P13" s="5">
        <v>2028</v>
      </c>
      <c r="Q13" s="5">
        <v>2029</v>
      </c>
      <c r="R13" s="5">
        <v>2030</v>
      </c>
      <c r="S13" s="5">
        <v>2031</v>
      </c>
      <c r="T13" s="5">
        <v>2032</v>
      </c>
      <c r="U13" s="5">
        <v>2033</v>
      </c>
      <c r="V13" s="5">
        <v>2034</v>
      </c>
      <c r="W13" s="5">
        <v>2035</v>
      </c>
      <c r="X13" s="5">
        <v>2036</v>
      </c>
      <c r="Y13" s="5">
        <v>2037</v>
      </c>
      <c r="Z13" s="5">
        <v>2038</v>
      </c>
      <c r="AA13" s="5">
        <v>2039</v>
      </c>
      <c r="AB13" s="5">
        <v>2040</v>
      </c>
      <c r="AC13" s="5">
        <v>2041</v>
      </c>
      <c r="AD13" s="5">
        <v>2042</v>
      </c>
      <c r="AE13" s="5">
        <v>2043</v>
      </c>
      <c r="AF13" s="5">
        <v>2044</v>
      </c>
      <c r="AG13" s="5">
        <v>2045</v>
      </c>
      <c r="AH13" s="5">
        <v>2046</v>
      </c>
      <c r="AI13" s="5">
        <v>2047</v>
      </c>
      <c r="AJ13" s="5">
        <v>2048</v>
      </c>
      <c r="AK13" s="5">
        <v>2049</v>
      </c>
      <c r="AL13" s="5">
        <v>2050</v>
      </c>
      <c r="AM13" s="5">
        <v>2050</v>
      </c>
    </row>
    <row r="14" spans="1:39" ht="15" customHeight="1" thickTop="1" x14ac:dyDescent="0.25"/>
    <row r="15" spans="1:39" ht="15" customHeight="1" x14ac:dyDescent="0.25">
      <c r="A15" s="7" t="s">
        <v>656</v>
      </c>
      <c r="B15" s="10" t="s">
        <v>657</v>
      </c>
      <c r="C15" s="14">
        <v>16397.199218999998</v>
      </c>
      <c r="D15" s="14">
        <v>16651.755859000001</v>
      </c>
      <c r="E15" s="14">
        <v>17113.863281000002</v>
      </c>
      <c r="F15" s="14">
        <v>17499.224609000001</v>
      </c>
      <c r="G15" s="14">
        <v>17816.785156000002</v>
      </c>
      <c r="H15" s="14">
        <v>18235.726562</v>
      </c>
      <c r="I15" s="14">
        <v>18733.505859000001</v>
      </c>
      <c r="J15" s="14">
        <v>19220.935547000001</v>
      </c>
      <c r="K15" s="14">
        <v>19649.935547000001</v>
      </c>
      <c r="L15" s="14">
        <v>20126.998047000001</v>
      </c>
      <c r="M15" s="14">
        <v>20558.339843999998</v>
      </c>
      <c r="N15" s="14">
        <v>20905.552734000001</v>
      </c>
      <c r="O15" s="14">
        <v>21284.435547000001</v>
      </c>
      <c r="P15" s="14">
        <v>21724.974609000001</v>
      </c>
      <c r="Q15" s="14">
        <v>22164.972656000002</v>
      </c>
      <c r="R15" s="14">
        <v>22585.408202999999</v>
      </c>
      <c r="S15" s="14">
        <v>23007.966797000001</v>
      </c>
      <c r="T15" s="14">
        <v>23445.144531000002</v>
      </c>
      <c r="U15" s="14">
        <v>23953.267577999999</v>
      </c>
      <c r="V15" s="14">
        <v>24510.802734000001</v>
      </c>
      <c r="W15" s="14">
        <v>25054.046875</v>
      </c>
      <c r="X15" s="14">
        <v>25589.572265999999</v>
      </c>
      <c r="Y15" s="14">
        <v>26150.734375</v>
      </c>
      <c r="Z15" s="14">
        <v>26764.792968999998</v>
      </c>
      <c r="AA15" s="14">
        <v>27324.046875</v>
      </c>
      <c r="AB15" s="14">
        <v>27851.509765999999</v>
      </c>
      <c r="AC15" s="14">
        <v>28413.130859000001</v>
      </c>
      <c r="AD15" s="14">
        <v>29000.740234000001</v>
      </c>
      <c r="AE15" s="14">
        <v>29600.431640999999</v>
      </c>
      <c r="AF15" s="14">
        <v>30191.017577999999</v>
      </c>
      <c r="AG15" s="14">
        <v>30781.542968999998</v>
      </c>
      <c r="AH15" s="14">
        <v>31370.693359000001</v>
      </c>
      <c r="AI15" s="14">
        <v>31923.365234000001</v>
      </c>
      <c r="AJ15" s="14">
        <v>32468.044922000001</v>
      </c>
      <c r="AK15" s="14">
        <v>33061.589844000002</v>
      </c>
      <c r="AL15" s="14">
        <v>33652.632812000003</v>
      </c>
      <c r="AM15" s="15">
        <v>2.0909000000000001E-2</v>
      </c>
    </row>
    <row r="17" spans="1:39" ht="15" customHeight="1" x14ac:dyDescent="0.25">
      <c r="A17" s="7" t="s">
        <v>658</v>
      </c>
      <c r="B17" s="10" t="s">
        <v>659</v>
      </c>
      <c r="C17" s="14">
        <v>141.60507200000001</v>
      </c>
      <c r="D17" s="14">
        <v>144.33308400000001</v>
      </c>
      <c r="E17" s="14">
        <v>146.341949</v>
      </c>
      <c r="F17" s="14">
        <v>147.617783</v>
      </c>
      <c r="G17" s="14">
        <v>148.48374899999999</v>
      </c>
      <c r="H17" s="14">
        <v>149.65086400000001</v>
      </c>
      <c r="I17" s="14">
        <v>151.301376</v>
      </c>
      <c r="J17" s="14">
        <v>153.539185</v>
      </c>
      <c r="K17" s="14">
        <v>155.342468</v>
      </c>
      <c r="L17" s="14">
        <v>156.94236799999999</v>
      </c>
      <c r="M17" s="14">
        <v>158.29747</v>
      </c>
      <c r="N17" s="14">
        <v>159.16011</v>
      </c>
      <c r="O17" s="14">
        <v>159.882431</v>
      </c>
      <c r="P17" s="14">
        <v>160.707413</v>
      </c>
      <c r="Q17" s="14">
        <v>161.595688</v>
      </c>
      <c r="R17" s="14">
        <v>162.517563</v>
      </c>
      <c r="S17" s="14">
        <v>163.19146699999999</v>
      </c>
      <c r="T17" s="14">
        <v>163.91833500000001</v>
      </c>
      <c r="U17" s="14">
        <v>164.85157799999999</v>
      </c>
      <c r="V17" s="14">
        <v>166.106064</v>
      </c>
      <c r="W17" s="14">
        <v>167.35554500000001</v>
      </c>
      <c r="X17" s="14">
        <v>168.53659099999999</v>
      </c>
      <c r="Y17" s="14">
        <v>169.66812100000001</v>
      </c>
      <c r="Z17" s="14">
        <v>171.006134</v>
      </c>
      <c r="AA17" s="14">
        <v>172.21759</v>
      </c>
      <c r="AB17" s="14">
        <v>173.29162600000001</v>
      </c>
      <c r="AC17" s="14">
        <v>174.059158</v>
      </c>
      <c r="AD17" s="14">
        <v>175.06239299999999</v>
      </c>
      <c r="AE17" s="14">
        <v>176.148392</v>
      </c>
      <c r="AF17" s="14">
        <v>177.12593100000001</v>
      </c>
      <c r="AG17" s="14">
        <v>177.965622</v>
      </c>
      <c r="AH17" s="14">
        <v>178.723129</v>
      </c>
      <c r="AI17" s="14">
        <v>179.32716400000001</v>
      </c>
      <c r="AJ17" s="14">
        <v>179.72287</v>
      </c>
      <c r="AK17" s="14">
        <v>180.3246</v>
      </c>
      <c r="AL17" s="14">
        <v>181.085892</v>
      </c>
      <c r="AM17" s="15">
        <v>6.6940000000000003E-3</v>
      </c>
    </row>
    <row r="19" spans="1:39" ht="15" customHeight="1" x14ac:dyDescent="0.25">
      <c r="B19" s="10" t="s">
        <v>3</v>
      </c>
    </row>
    <row r="21" spans="1:39" ht="15" customHeight="1" x14ac:dyDescent="0.25">
      <c r="B21" s="10" t="s">
        <v>660</v>
      </c>
    </row>
    <row r="22" spans="1:39" ht="15" customHeight="1" x14ac:dyDescent="0.25">
      <c r="A22" s="7" t="s">
        <v>661</v>
      </c>
      <c r="B22" s="11" t="s">
        <v>662</v>
      </c>
      <c r="C22" s="12">
        <v>365.90457199999997</v>
      </c>
      <c r="D22" s="12">
        <v>365.91989100000001</v>
      </c>
      <c r="E22" s="12">
        <v>376.40252700000002</v>
      </c>
      <c r="F22" s="12">
        <v>379.90096999999997</v>
      </c>
      <c r="G22" s="12">
        <v>386.21099900000002</v>
      </c>
      <c r="H22" s="12">
        <v>389.25680499999999</v>
      </c>
      <c r="I22" s="12">
        <v>393.54663099999999</v>
      </c>
      <c r="J22" s="12">
        <v>398.97582999999997</v>
      </c>
      <c r="K22" s="12">
        <v>405.76153599999998</v>
      </c>
      <c r="L22" s="12">
        <v>410.94940200000002</v>
      </c>
      <c r="M22" s="12">
        <v>415.64605699999998</v>
      </c>
      <c r="N22" s="12">
        <v>417.47271699999999</v>
      </c>
      <c r="O22" s="12">
        <v>419.211884</v>
      </c>
      <c r="P22" s="12">
        <v>421.53335600000003</v>
      </c>
      <c r="Q22" s="12">
        <v>424.39840700000002</v>
      </c>
      <c r="R22" s="12">
        <v>426.75543199999998</v>
      </c>
      <c r="S22" s="12">
        <v>429.489777</v>
      </c>
      <c r="T22" s="12">
        <v>432.32501200000002</v>
      </c>
      <c r="U22" s="12">
        <v>435.36868299999998</v>
      </c>
      <c r="V22" s="12">
        <v>438.544983</v>
      </c>
      <c r="W22" s="12">
        <v>441.53231799999998</v>
      </c>
      <c r="X22" s="12">
        <v>444.23745700000001</v>
      </c>
      <c r="Y22" s="12">
        <v>446.98452800000001</v>
      </c>
      <c r="Z22" s="12">
        <v>450.36691300000001</v>
      </c>
      <c r="AA22" s="12">
        <v>453.87295499999999</v>
      </c>
      <c r="AB22" s="12">
        <v>457.00402800000001</v>
      </c>
      <c r="AC22" s="12">
        <v>460.26101699999998</v>
      </c>
      <c r="AD22" s="12">
        <v>464.22345000000001</v>
      </c>
      <c r="AE22" s="12">
        <v>468.41217</v>
      </c>
      <c r="AF22" s="12">
        <v>472.061218</v>
      </c>
      <c r="AG22" s="12">
        <v>475.457336</v>
      </c>
      <c r="AH22" s="12">
        <v>478.87606799999998</v>
      </c>
      <c r="AI22" s="12">
        <v>482.29461700000002</v>
      </c>
      <c r="AJ22" s="12">
        <v>485.68997200000001</v>
      </c>
      <c r="AK22" s="12">
        <v>489.47375499999998</v>
      </c>
      <c r="AL22" s="12">
        <v>493.39111300000002</v>
      </c>
      <c r="AM22" s="13">
        <v>8.8299999999999993E-3</v>
      </c>
    </row>
    <row r="23" spans="1:39" ht="15" customHeight="1" x14ac:dyDescent="0.25">
      <c r="A23" s="7" t="s">
        <v>663</v>
      </c>
      <c r="B23" s="11" t="s">
        <v>664</v>
      </c>
      <c r="C23" s="12">
        <v>517.04278599999998</v>
      </c>
      <c r="D23" s="12">
        <v>465.73278800000003</v>
      </c>
      <c r="E23" s="12">
        <v>479.661743</v>
      </c>
      <c r="F23" s="12">
        <v>503.01123000000001</v>
      </c>
      <c r="G23" s="12">
        <v>521.55664100000001</v>
      </c>
      <c r="H23" s="12">
        <v>533.82019000000003</v>
      </c>
      <c r="I23" s="12">
        <v>539.83972200000005</v>
      </c>
      <c r="J23" s="12">
        <v>544.23779300000001</v>
      </c>
      <c r="K23" s="12">
        <v>551.21368399999994</v>
      </c>
      <c r="L23" s="12">
        <v>556.96734600000002</v>
      </c>
      <c r="M23" s="12">
        <v>562.21594200000004</v>
      </c>
      <c r="N23" s="12">
        <v>568.11291500000004</v>
      </c>
      <c r="O23" s="12">
        <v>570.04205300000001</v>
      </c>
      <c r="P23" s="12">
        <v>571.89172399999995</v>
      </c>
      <c r="Q23" s="12">
        <v>574.65508999999997</v>
      </c>
      <c r="R23" s="12">
        <v>577.439392</v>
      </c>
      <c r="S23" s="12">
        <v>577.40136700000005</v>
      </c>
      <c r="T23" s="12">
        <v>578.82324200000005</v>
      </c>
      <c r="U23" s="12">
        <v>579.79724099999999</v>
      </c>
      <c r="V23" s="12">
        <v>583.68188499999997</v>
      </c>
      <c r="W23" s="12">
        <v>589.55517599999996</v>
      </c>
      <c r="X23" s="12">
        <v>593.92486599999995</v>
      </c>
      <c r="Y23" s="12">
        <v>598.84521500000005</v>
      </c>
      <c r="Z23" s="12">
        <v>603.01129200000003</v>
      </c>
      <c r="AA23" s="12">
        <v>606.24218800000006</v>
      </c>
      <c r="AB23" s="12">
        <v>609.16357400000004</v>
      </c>
      <c r="AC23" s="12">
        <v>613.17437700000005</v>
      </c>
      <c r="AD23" s="12">
        <v>616.55291699999998</v>
      </c>
      <c r="AE23" s="12">
        <v>620.10186799999997</v>
      </c>
      <c r="AF23" s="12">
        <v>623.74761999999998</v>
      </c>
      <c r="AG23" s="12">
        <v>627.19738800000005</v>
      </c>
      <c r="AH23" s="12">
        <v>630.90173300000004</v>
      </c>
      <c r="AI23" s="12">
        <v>634.38256799999999</v>
      </c>
      <c r="AJ23" s="12">
        <v>636.33435099999997</v>
      </c>
      <c r="AK23" s="12">
        <v>639.34906000000001</v>
      </c>
      <c r="AL23" s="12">
        <v>643.67449999999997</v>
      </c>
      <c r="AM23" s="13">
        <v>9.5619999999999993E-3</v>
      </c>
    </row>
    <row r="24" spans="1:39" ht="15" customHeight="1" x14ac:dyDescent="0.25">
      <c r="A24" s="7" t="s">
        <v>665</v>
      </c>
      <c r="B24" s="11" t="s">
        <v>666</v>
      </c>
      <c r="C24" s="12">
        <v>1165.8759769999999</v>
      </c>
      <c r="D24" s="12">
        <v>1247.487061</v>
      </c>
      <c r="E24" s="12">
        <v>1352.1030270000001</v>
      </c>
      <c r="F24" s="12">
        <v>1405.110962</v>
      </c>
      <c r="G24" s="12">
        <v>1420.348999</v>
      </c>
      <c r="H24" s="12">
        <v>1436.364014</v>
      </c>
      <c r="I24" s="12">
        <v>1467.845947</v>
      </c>
      <c r="J24" s="12">
        <v>1502.7490230000001</v>
      </c>
      <c r="K24" s="12">
        <v>1530.5550539999999</v>
      </c>
      <c r="L24" s="12">
        <v>1552.1889650000001</v>
      </c>
      <c r="M24" s="12">
        <v>1567.100952</v>
      </c>
      <c r="N24" s="12">
        <v>1564.44397</v>
      </c>
      <c r="O24" s="12">
        <v>1566.8339840000001</v>
      </c>
      <c r="P24" s="12">
        <v>1583.530029</v>
      </c>
      <c r="Q24" s="12">
        <v>1602.9389650000001</v>
      </c>
      <c r="R24" s="12">
        <v>1634.762939</v>
      </c>
      <c r="S24" s="12">
        <v>1664.0970460000001</v>
      </c>
      <c r="T24" s="12">
        <v>1670.8110349999999</v>
      </c>
      <c r="U24" s="12">
        <v>1682.676025</v>
      </c>
      <c r="V24" s="12">
        <v>1726.765991</v>
      </c>
      <c r="W24" s="12">
        <v>1770.9689940000001</v>
      </c>
      <c r="X24" s="12">
        <v>1805.4530030000001</v>
      </c>
      <c r="Y24" s="12">
        <v>1831.255981</v>
      </c>
      <c r="Z24" s="12">
        <v>1864.850952</v>
      </c>
      <c r="AA24" s="12">
        <v>1885.884033</v>
      </c>
      <c r="AB24" s="12">
        <v>1912.258057</v>
      </c>
      <c r="AC24" s="12">
        <v>1945.4160159999999</v>
      </c>
      <c r="AD24" s="12">
        <v>1968.0600589999999</v>
      </c>
      <c r="AE24" s="12">
        <v>2005.5169679999999</v>
      </c>
      <c r="AF24" s="12">
        <v>2047.6099850000001</v>
      </c>
      <c r="AG24" s="12">
        <v>2087.3220209999999</v>
      </c>
      <c r="AH24" s="12">
        <v>2131.540039</v>
      </c>
      <c r="AI24" s="12">
        <v>2170.0720209999999</v>
      </c>
      <c r="AJ24" s="12">
        <v>2197.6789549999999</v>
      </c>
      <c r="AK24" s="12">
        <v>2224.3630370000001</v>
      </c>
      <c r="AL24" s="12">
        <v>2257.9331050000001</v>
      </c>
      <c r="AM24" s="13">
        <v>1.7604000000000002E-2</v>
      </c>
    </row>
    <row r="26" spans="1:39" ht="15" customHeight="1" x14ac:dyDescent="0.25">
      <c r="B26" s="10" t="s">
        <v>667</v>
      </c>
    </row>
    <row r="27" spans="1:39" ht="15" customHeight="1" x14ac:dyDescent="0.25">
      <c r="A27" s="7" t="s">
        <v>668</v>
      </c>
      <c r="B27" s="11" t="s">
        <v>669</v>
      </c>
      <c r="C27" s="12">
        <v>661.50762899999995</v>
      </c>
      <c r="D27" s="12">
        <v>669.51709000000005</v>
      </c>
      <c r="E27" s="12">
        <v>703.78839100000005</v>
      </c>
      <c r="F27" s="12">
        <v>713.85467500000004</v>
      </c>
      <c r="G27" s="12">
        <v>722.70300299999997</v>
      </c>
      <c r="H27" s="12">
        <v>734.25659199999996</v>
      </c>
      <c r="I27" s="12">
        <v>748.56579599999998</v>
      </c>
      <c r="J27" s="12">
        <v>764.06652799999995</v>
      </c>
      <c r="K27" s="12">
        <v>777.93926999999996</v>
      </c>
      <c r="L27" s="12">
        <v>790.98468000000003</v>
      </c>
      <c r="M27" s="12">
        <v>802.85687299999995</v>
      </c>
      <c r="N27" s="12">
        <v>813.23309300000005</v>
      </c>
      <c r="O27" s="12">
        <v>827.45910600000002</v>
      </c>
      <c r="P27" s="12">
        <v>843.94348100000002</v>
      </c>
      <c r="Q27" s="12">
        <v>862.15979000000004</v>
      </c>
      <c r="R27" s="12">
        <v>880.03509499999996</v>
      </c>
      <c r="S27" s="12">
        <v>897.29656999999997</v>
      </c>
      <c r="T27" s="12">
        <v>914.82000700000003</v>
      </c>
      <c r="U27" s="12">
        <v>933.20800799999995</v>
      </c>
      <c r="V27" s="12">
        <v>953.43170199999997</v>
      </c>
      <c r="W27" s="12">
        <v>975.35888699999998</v>
      </c>
      <c r="X27" s="12">
        <v>997.74951199999998</v>
      </c>
      <c r="Y27" s="12">
        <v>1019.687012</v>
      </c>
      <c r="Z27" s="12">
        <v>1042.3709719999999</v>
      </c>
      <c r="AA27" s="12">
        <v>1065.8680420000001</v>
      </c>
      <c r="AB27" s="12">
        <v>1088.6770019999999</v>
      </c>
      <c r="AC27" s="12">
        <v>1110.6949460000001</v>
      </c>
      <c r="AD27" s="12">
        <v>1133.380981</v>
      </c>
      <c r="AE27" s="12">
        <v>1157.4620359999999</v>
      </c>
      <c r="AF27" s="12">
        <v>1181.973999</v>
      </c>
      <c r="AG27" s="12">
        <v>1207.344971</v>
      </c>
      <c r="AH27" s="12">
        <v>1233.0410159999999</v>
      </c>
      <c r="AI27" s="12">
        <v>1259.1899410000001</v>
      </c>
      <c r="AJ27" s="12">
        <v>1285.9930420000001</v>
      </c>
      <c r="AK27" s="12">
        <v>1313.6639399999999</v>
      </c>
      <c r="AL27" s="12">
        <v>1342.839966</v>
      </c>
      <c r="AM27" s="13">
        <v>2.0681000000000001E-2</v>
      </c>
    </row>
    <row r="28" spans="1:39" ht="15" customHeight="1" x14ac:dyDescent="0.25">
      <c r="A28" s="7" t="s">
        <v>670</v>
      </c>
      <c r="B28" s="11" t="s">
        <v>671</v>
      </c>
      <c r="C28" s="12">
        <v>160.120407</v>
      </c>
      <c r="D28" s="12">
        <v>157.15289300000001</v>
      </c>
      <c r="E28" s="12">
        <v>157.72230500000001</v>
      </c>
      <c r="F28" s="12">
        <v>156.567001</v>
      </c>
      <c r="G28" s="12">
        <v>155.70820599999999</v>
      </c>
      <c r="H28" s="12">
        <v>156.5224</v>
      </c>
      <c r="I28" s="12">
        <v>157.97659300000001</v>
      </c>
      <c r="J28" s="12">
        <v>159.24679599999999</v>
      </c>
      <c r="K28" s="12">
        <v>160.350098</v>
      </c>
      <c r="L28" s="12">
        <v>161.65849299999999</v>
      </c>
      <c r="M28" s="12">
        <v>162.23039199999999</v>
      </c>
      <c r="N28" s="12">
        <v>162.27209500000001</v>
      </c>
      <c r="O28" s="12">
        <v>164.409897</v>
      </c>
      <c r="P28" s="12">
        <v>166.913895</v>
      </c>
      <c r="Q28" s="12">
        <v>168.47880599999999</v>
      </c>
      <c r="R28" s="12">
        <v>169.80119300000001</v>
      </c>
      <c r="S28" s="12">
        <v>170.47929400000001</v>
      </c>
      <c r="T28" s="12">
        <v>171.143204</v>
      </c>
      <c r="U28" s="12">
        <v>172.19279499999999</v>
      </c>
      <c r="V28" s="12">
        <v>173.429092</v>
      </c>
      <c r="W28" s="12">
        <v>174.63960299999999</v>
      </c>
      <c r="X28" s="12">
        <v>175.11189300000001</v>
      </c>
      <c r="Y28" s="12">
        <v>175.53169299999999</v>
      </c>
      <c r="Z28" s="12">
        <v>175.87460300000001</v>
      </c>
      <c r="AA28" s="12">
        <v>175.771896</v>
      </c>
      <c r="AB28" s="12">
        <v>175.529099</v>
      </c>
      <c r="AC28" s="12">
        <v>175.18139600000001</v>
      </c>
      <c r="AD28" s="12">
        <v>174.56770299999999</v>
      </c>
      <c r="AE28" s="12">
        <v>173.889893</v>
      </c>
      <c r="AF28" s="12">
        <v>173.21820099999999</v>
      </c>
      <c r="AG28" s="12">
        <v>172.56109599999999</v>
      </c>
      <c r="AH28" s="12">
        <v>171.908905</v>
      </c>
      <c r="AI28" s="12">
        <v>171.179001</v>
      </c>
      <c r="AJ28" s="12">
        <v>170.39660599999999</v>
      </c>
      <c r="AK28" s="12">
        <v>169.65490700000001</v>
      </c>
      <c r="AL28" s="12">
        <v>168.88360599999999</v>
      </c>
      <c r="AM28" s="13">
        <v>2.1199999999999999E-3</v>
      </c>
    </row>
    <row r="29" spans="1:39" ht="15" customHeight="1" x14ac:dyDescent="0.25">
      <c r="A29" s="7" t="s">
        <v>672</v>
      </c>
      <c r="B29" s="11" t="s">
        <v>673</v>
      </c>
      <c r="C29" s="12">
        <v>84.721046000000001</v>
      </c>
      <c r="D29" s="12">
        <v>82.778480999999999</v>
      </c>
      <c r="E29" s="12">
        <v>81.062888999999998</v>
      </c>
      <c r="F29" s="12">
        <v>79.073447999999999</v>
      </c>
      <c r="G29" s="12">
        <v>76.653487999999996</v>
      </c>
      <c r="H29" s="12">
        <v>75.970412999999994</v>
      </c>
      <c r="I29" s="12">
        <v>76.575980999999999</v>
      </c>
      <c r="J29" s="12">
        <v>76.420981999999995</v>
      </c>
      <c r="K29" s="12">
        <v>75.505347999999998</v>
      </c>
      <c r="L29" s="12">
        <v>75.533507999999998</v>
      </c>
      <c r="M29" s="12">
        <v>74.367012000000003</v>
      </c>
      <c r="N29" s="12">
        <v>71.643051</v>
      </c>
      <c r="O29" s="12">
        <v>69.185349000000002</v>
      </c>
      <c r="P29" s="12">
        <v>67.449119999999994</v>
      </c>
      <c r="Q29" s="12">
        <v>65.760138999999995</v>
      </c>
      <c r="R29" s="12">
        <v>63.672111999999998</v>
      </c>
      <c r="S29" s="12">
        <v>61.706749000000002</v>
      </c>
      <c r="T29" s="12">
        <v>59.980708999999997</v>
      </c>
      <c r="U29" s="12">
        <v>59.054340000000003</v>
      </c>
      <c r="V29" s="12">
        <v>58.312679000000003</v>
      </c>
      <c r="W29" s="12">
        <v>57.225619999999999</v>
      </c>
      <c r="X29" s="12">
        <v>55.993271</v>
      </c>
      <c r="Y29" s="12">
        <v>55.137690999999997</v>
      </c>
      <c r="Z29" s="12">
        <v>54.714111000000003</v>
      </c>
      <c r="AA29" s="12">
        <v>53.823078000000002</v>
      </c>
      <c r="AB29" s="12">
        <v>52.921478</v>
      </c>
      <c r="AC29" s="12">
        <v>52.244450000000001</v>
      </c>
      <c r="AD29" s="12">
        <v>51.651679999999999</v>
      </c>
      <c r="AE29" s="12">
        <v>50.933472000000002</v>
      </c>
      <c r="AF29" s="12">
        <v>50.142670000000003</v>
      </c>
      <c r="AG29" s="12">
        <v>49.361080000000001</v>
      </c>
      <c r="AH29" s="12">
        <v>48.615360000000003</v>
      </c>
      <c r="AI29" s="12">
        <v>47.792197999999999</v>
      </c>
      <c r="AJ29" s="12">
        <v>47.018219000000002</v>
      </c>
      <c r="AK29" s="12">
        <v>46.528950000000002</v>
      </c>
      <c r="AL29" s="12">
        <v>45.923800999999997</v>
      </c>
      <c r="AM29" s="13">
        <v>-1.7180000000000001E-2</v>
      </c>
    </row>
    <row r="30" spans="1:39" ht="15" customHeight="1" x14ac:dyDescent="0.25">
      <c r="A30" s="7" t="s">
        <v>674</v>
      </c>
      <c r="B30" s="11" t="s">
        <v>675</v>
      </c>
      <c r="C30" s="12">
        <v>79.968781000000007</v>
      </c>
      <c r="D30" s="12">
        <v>82.344070000000002</v>
      </c>
      <c r="E30" s="12">
        <v>89.628829999999994</v>
      </c>
      <c r="F30" s="12">
        <v>93.408919999999995</v>
      </c>
      <c r="G30" s="12">
        <v>93.661925999999994</v>
      </c>
      <c r="H30" s="12">
        <v>94.304931999999994</v>
      </c>
      <c r="I30" s="12">
        <v>96.288200000000003</v>
      </c>
      <c r="J30" s="12">
        <v>99.659621999999999</v>
      </c>
      <c r="K30" s="12">
        <v>103.08869900000001</v>
      </c>
      <c r="L30" s="12">
        <v>105.7015</v>
      </c>
      <c r="M30" s="12">
        <v>107.25160200000001</v>
      </c>
      <c r="N30" s="12">
        <v>107.98380299999999</v>
      </c>
      <c r="O30" s="12">
        <v>107.7145</v>
      </c>
      <c r="P30" s="12">
        <v>107.413399</v>
      </c>
      <c r="Q30" s="12">
        <v>107.285202</v>
      </c>
      <c r="R30" s="12">
        <v>107.618599</v>
      </c>
      <c r="S30" s="12">
        <v>107.98249800000001</v>
      </c>
      <c r="T30" s="12">
        <v>108.117699</v>
      </c>
      <c r="U30" s="12">
        <v>109.21379899999999</v>
      </c>
      <c r="V30" s="12">
        <v>111.644402</v>
      </c>
      <c r="W30" s="12">
        <v>114.542503</v>
      </c>
      <c r="X30" s="12">
        <v>117.316399</v>
      </c>
      <c r="Y30" s="12">
        <v>119.998199</v>
      </c>
      <c r="Z30" s="12">
        <v>122.792198</v>
      </c>
      <c r="AA30" s="12">
        <v>125.531097</v>
      </c>
      <c r="AB30" s="12">
        <v>128.09599299999999</v>
      </c>
      <c r="AC30" s="12">
        <v>130.21809400000001</v>
      </c>
      <c r="AD30" s="12">
        <v>132.41400100000001</v>
      </c>
      <c r="AE30" s="12">
        <v>135.264206</v>
      </c>
      <c r="AF30" s="12">
        <v>138.185303</v>
      </c>
      <c r="AG30" s="12">
        <v>140.825806</v>
      </c>
      <c r="AH30" s="12">
        <v>143.367493</v>
      </c>
      <c r="AI30" s="12">
        <v>145.19850199999999</v>
      </c>
      <c r="AJ30" s="12">
        <v>146.54750100000001</v>
      </c>
      <c r="AK30" s="12">
        <v>147.91610700000001</v>
      </c>
      <c r="AL30" s="12">
        <v>149.37240600000001</v>
      </c>
      <c r="AM30" s="13">
        <v>1.7670000000000002E-2</v>
      </c>
    </row>
    <row r="31" spans="1:39" ht="15" customHeight="1" x14ac:dyDescent="0.25">
      <c r="A31" s="7" t="s">
        <v>676</v>
      </c>
      <c r="B31" s="11" t="s">
        <v>677</v>
      </c>
      <c r="C31" s="12">
        <v>69.582008000000002</v>
      </c>
      <c r="D31" s="12">
        <v>71.761429000000007</v>
      </c>
      <c r="E31" s="12">
        <v>74.601249999999993</v>
      </c>
      <c r="F31" s="12">
        <v>77.258087000000003</v>
      </c>
      <c r="G31" s="12">
        <v>78.487410999999994</v>
      </c>
      <c r="H31" s="12">
        <v>79.388137999999998</v>
      </c>
      <c r="I31" s="12">
        <v>80.680580000000006</v>
      </c>
      <c r="J31" s="12">
        <v>83.106307999999999</v>
      </c>
      <c r="K31" s="12">
        <v>85.211662000000004</v>
      </c>
      <c r="L31" s="12">
        <v>87.0364</v>
      </c>
      <c r="M31" s="12">
        <v>88.532889999999995</v>
      </c>
      <c r="N31" s="12">
        <v>89.230048999999994</v>
      </c>
      <c r="O31" s="12">
        <v>90.300422999999995</v>
      </c>
      <c r="P31" s="12">
        <v>91.615371999999994</v>
      </c>
      <c r="Q31" s="12">
        <v>92.869011</v>
      </c>
      <c r="R31" s="12">
        <v>93.739799000000005</v>
      </c>
      <c r="S31" s="12">
        <v>95.108322000000001</v>
      </c>
      <c r="T31" s="12">
        <v>96.868301000000002</v>
      </c>
      <c r="U31" s="12">
        <v>98.271529999999998</v>
      </c>
      <c r="V31" s="12">
        <v>99.801682</v>
      </c>
      <c r="W31" s="12">
        <v>101.772102</v>
      </c>
      <c r="X31" s="12">
        <v>103.67800099999999</v>
      </c>
      <c r="Y31" s="12">
        <v>105.556099</v>
      </c>
      <c r="Z31" s="12">
        <v>107.324303</v>
      </c>
      <c r="AA31" s="12">
        <v>108.73629800000001</v>
      </c>
      <c r="AB31" s="12">
        <v>109.97580000000001</v>
      </c>
      <c r="AC31" s="12">
        <v>111.256203</v>
      </c>
      <c r="AD31" s="12">
        <v>112.976196</v>
      </c>
      <c r="AE31" s="12">
        <v>114.899902</v>
      </c>
      <c r="AF31" s="12">
        <v>116.466003</v>
      </c>
      <c r="AG31" s="12">
        <v>118.08110000000001</v>
      </c>
      <c r="AH31" s="12">
        <v>119.76280199999999</v>
      </c>
      <c r="AI31" s="12">
        <v>121.66709899999999</v>
      </c>
      <c r="AJ31" s="12">
        <v>123.74960299999999</v>
      </c>
      <c r="AK31" s="12">
        <v>126.11509700000001</v>
      </c>
      <c r="AL31" s="12">
        <v>128.37730400000001</v>
      </c>
      <c r="AM31" s="13">
        <v>1.7253999999999999E-2</v>
      </c>
    </row>
    <row r="32" spans="1:39" ht="15" customHeight="1" x14ac:dyDescent="0.25">
      <c r="A32" s="7" t="s">
        <v>678</v>
      </c>
      <c r="B32" s="11" t="s">
        <v>679</v>
      </c>
      <c r="C32" s="12">
        <v>172.535507</v>
      </c>
      <c r="D32" s="12">
        <v>169.15389999999999</v>
      </c>
      <c r="E32" s="12">
        <v>168.498795</v>
      </c>
      <c r="F32" s="12">
        <v>166.60539199999999</v>
      </c>
      <c r="G32" s="12">
        <v>163.573196</v>
      </c>
      <c r="H32" s="12">
        <v>162.64639299999999</v>
      </c>
      <c r="I32" s="12">
        <v>162.945007</v>
      </c>
      <c r="J32" s="12">
        <v>163.19859299999999</v>
      </c>
      <c r="K32" s="12">
        <v>163.36790500000001</v>
      </c>
      <c r="L32" s="12">
        <v>162.22079500000001</v>
      </c>
      <c r="M32" s="12">
        <v>159.30740399999999</v>
      </c>
      <c r="N32" s="12">
        <v>156.06689499999999</v>
      </c>
      <c r="O32" s="12">
        <v>155.130493</v>
      </c>
      <c r="P32" s="12">
        <v>154.39889500000001</v>
      </c>
      <c r="Q32" s="12">
        <v>153.00169399999999</v>
      </c>
      <c r="R32" s="12">
        <v>150.486603</v>
      </c>
      <c r="S32" s="12">
        <v>148.61090100000001</v>
      </c>
      <c r="T32" s="12">
        <v>147.33749399999999</v>
      </c>
      <c r="U32" s="12">
        <v>146.8116</v>
      </c>
      <c r="V32" s="12">
        <v>145.96589700000001</v>
      </c>
      <c r="W32" s="12">
        <v>144.99499499999999</v>
      </c>
      <c r="X32" s="12">
        <v>144.06399500000001</v>
      </c>
      <c r="Y32" s="12">
        <v>144.17309599999999</v>
      </c>
      <c r="Z32" s="12">
        <v>144.58459500000001</v>
      </c>
      <c r="AA32" s="12">
        <v>144.195999</v>
      </c>
      <c r="AB32" s="12">
        <v>144.119598</v>
      </c>
      <c r="AC32" s="12">
        <v>144.678101</v>
      </c>
      <c r="AD32" s="12">
        <v>145.473907</v>
      </c>
      <c r="AE32" s="12">
        <v>146.12269599999999</v>
      </c>
      <c r="AF32" s="12">
        <v>146.43760700000001</v>
      </c>
      <c r="AG32" s="12">
        <v>146.90370200000001</v>
      </c>
      <c r="AH32" s="12">
        <v>146.99389600000001</v>
      </c>
      <c r="AI32" s="12">
        <v>146.520996</v>
      </c>
      <c r="AJ32" s="12">
        <v>146.27380400000001</v>
      </c>
      <c r="AK32" s="12">
        <v>146.171707</v>
      </c>
      <c r="AL32" s="12">
        <v>145.858597</v>
      </c>
      <c r="AM32" s="13">
        <v>-4.3489999999999996E-3</v>
      </c>
    </row>
    <row r="33" spans="1:39" ht="15" customHeight="1" x14ac:dyDescent="0.25">
      <c r="A33" s="7" t="s">
        <v>680</v>
      </c>
      <c r="B33" s="11" t="s">
        <v>681</v>
      </c>
      <c r="C33" s="12">
        <v>85.049400000000006</v>
      </c>
      <c r="D33" s="12">
        <v>85.217697000000001</v>
      </c>
      <c r="E33" s="12">
        <v>83.820449999999994</v>
      </c>
      <c r="F33" s="12">
        <v>82.920837000000006</v>
      </c>
      <c r="G33" s="12">
        <v>81.723213000000001</v>
      </c>
      <c r="H33" s="12">
        <v>81.034180000000006</v>
      </c>
      <c r="I33" s="12">
        <v>80.886748999999995</v>
      </c>
      <c r="J33" s="12">
        <v>80.745887999999994</v>
      </c>
      <c r="K33" s="12">
        <v>80.373901000000004</v>
      </c>
      <c r="L33" s="12">
        <v>80.166411999999994</v>
      </c>
      <c r="M33" s="12">
        <v>79.728470000000002</v>
      </c>
      <c r="N33" s="12">
        <v>79.445503000000002</v>
      </c>
      <c r="O33" s="12">
        <v>79.422652999999997</v>
      </c>
      <c r="P33" s="12">
        <v>79.761062999999993</v>
      </c>
      <c r="Q33" s="12">
        <v>80.097442999999998</v>
      </c>
      <c r="R33" s="12">
        <v>80.236320000000006</v>
      </c>
      <c r="S33" s="12">
        <v>80.366401999999994</v>
      </c>
      <c r="T33" s="12">
        <v>80.633492000000004</v>
      </c>
      <c r="U33" s="12">
        <v>81.151588000000004</v>
      </c>
      <c r="V33" s="12">
        <v>81.770561000000001</v>
      </c>
      <c r="W33" s="12">
        <v>82.336258000000001</v>
      </c>
      <c r="X33" s="12">
        <v>82.926536999999996</v>
      </c>
      <c r="Y33" s="12">
        <v>83.719855999999993</v>
      </c>
      <c r="Z33" s="12">
        <v>84.770813000000004</v>
      </c>
      <c r="AA33" s="12">
        <v>85.552261000000001</v>
      </c>
      <c r="AB33" s="12">
        <v>86.191322</v>
      </c>
      <c r="AC33" s="12">
        <v>86.887969999999996</v>
      </c>
      <c r="AD33" s="12">
        <v>87.729202000000001</v>
      </c>
      <c r="AE33" s="12">
        <v>88.571083000000002</v>
      </c>
      <c r="AF33" s="12">
        <v>89.342972000000003</v>
      </c>
      <c r="AG33" s="12">
        <v>90.115172999999999</v>
      </c>
      <c r="AH33" s="12">
        <v>90.850548000000003</v>
      </c>
      <c r="AI33" s="12">
        <v>91.486937999999995</v>
      </c>
      <c r="AJ33" s="12">
        <v>92.213859999999997</v>
      </c>
      <c r="AK33" s="12">
        <v>93.092421999999999</v>
      </c>
      <c r="AL33" s="12">
        <v>93.918266000000003</v>
      </c>
      <c r="AM33" s="13">
        <v>2.8630000000000001E-3</v>
      </c>
    </row>
    <row r="34" spans="1:39" ht="15" customHeight="1" x14ac:dyDescent="0.25">
      <c r="A34" s="7" t="s">
        <v>682</v>
      </c>
      <c r="B34" s="11" t="s">
        <v>683</v>
      </c>
      <c r="C34" s="12">
        <v>683.54095500000005</v>
      </c>
      <c r="D34" s="12">
        <v>699.51129200000003</v>
      </c>
      <c r="E34" s="12">
        <v>752.49804700000004</v>
      </c>
      <c r="F34" s="12">
        <v>777.68518100000006</v>
      </c>
      <c r="G34" s="12">
        <v>800.52319299999999</v>
      </c>
      <c r="H34" s="12">
        <v>818.04925500000002</v>
      </c>
      <c r="I34" s="12">
        <v>835.41076699999996</v>
      </c>
      <c r="J34" s="12">
        <v>860.60363800000005</v>
      </c>
      <c r="K34" s="12">
        <v>887.49896200000001</v>
      </c>
      <c r="L34" s="12">
        <v>910.72778300000004</v>
      </c>
      <c r="M34" s="12">
        <v>929.38708499999996</v>
      </c>
      <c r="N34" s="12">
        <v>948.31811500000003</v>
      </c>
      <c r="O34" s="12">
        <v>956.50762899999995</v>
      </c>
      <c r="P34" s="12">
        <v>961.16760299999999</v>
      </c>
      <c r="Q34" s="12">
        <v>965.22668499999997</v>
      </c>
      <c r="R34" s="12">
        <v>971.74847399999999</v>
      </c>
      <c r="S34" s="12">
        <v>978.21197500000005</v>
      </c>
      <c r="T34" s="12">
        <v>986.73913600000003</v>
      </c>
      <c r="U34" s="12">
        <v>993.82379200000003</v>
      </c>
      <c r="V34" s="12">
        <v>1003.014648</v>
      </c>
      <c r="W34" s="12">
        <v>1007.633484</v>
      </c>
      <c r="X34" s="12">
        <v>1015.099609</v>
      </c>
      <c r="Y34" s="12">
        <v>1025.6645510000001</v>
      </c>
      <c r="Z34" s="12">
        <v>1039.7502440000001</v>
      </c>
      <c r="AA34" s="12">
        <v>1051.7531739999999</v>
      </c>
      <c r="AB34" s="12">
        <v>1060.7045900000001</v>
      </c>
      <c r="AC34" s="12">
        <v>1069.2310789999999</v>
      </c>
      <c r="AD34" s="12">
        <v>1079.6064449999999</v>
      </c>
      <c r="AE34" s="12">
        <v>1089.7822269999999</v>
      </c>
      <c r="AF34" s="12">
        <v>1097.9255370000001</v>
      </c>
      <c r="AG34" s="12">
        <v>1104.230591</v>
      </c>
      <c r="AH34" s="12">
        <v>1108.687866</v>
      </c>
      <c r="AI34" s="12">
        <v>1116.2080080000001</v>
      </c>
      <c r="AJ34" s="12">
        <v>1123.9764399999999</v>
      </c>
      <c r="AK34" s="12">
        <v>1133.381836</v>
      </c>
      <c r="AL34" s="12">
        <v>1145.315308</v>
      </c>
      <c r="AM34" s="13">
        <v>1.4607E-2</v>
      </c>
    </row>
    <row r="35" spans="1:39" ht="15" customHeight="1" x14ac:dyDescent="0.25">
      <c r="A35" s="7" t="s">
        <v>684</v>
      </c>
      <c r="B35" s="11" t="s">
        <v>685</v>
      </c>
      <c r="C35" s="12">
        <v>351.83294699999999</v>
      </c>
      <c r="D35" s="12">
        <v>364.64480600000002</v>
      </c>
      <c r="E35" s="12">
        <v>429.26470899999998</v>
      </c>
      <c r="F35" s="12">
        <v>452.03192100000001</v>
      </c>
      <c r="G35" s="12">
        <v>472.253784</v>
      </c>
      <c r="H35" s="12">
        <v>484.95666499999999</v>
      </c>
      <c r="I35" s="12">
        <v>498.50479100000001</v>
      </c>
      <c r="J35" s="12">
        <v>516.103882</v>
      </c>
      <c r="K35" s="12">
        <v>532.99627699999996</v>
      </c>
      <c r="L35" s="12">
        <v>543.95898399999999</v>
      </c>
      <c r="M35" s="12">
        <v>552.53076199999998</v>
      </c>
      <c r="N35" s="12">
        <v>563.91198699999995</v>
      </c>
      <c r="O35" s="12">
        <v>566.52593999999999</v>
      </c>
      <c r="P35" s="12">
        <v>567.88281199999994</v>
      </c>
      <c r="Q35" s="12">
        <v>570.772156</v>
      </c>
      <c r="R35" s="12">
        <v>575.85266100000001</v>
      </c>
      <c r="S35" s="12">
        <v>580.89306599999998</v>
      </c>
      <c r="T35" s="12">
        <v>585.822632</v>
      </c>
      <c r="U35" s="12">
        <v>588.58288600000003</v>
      </c>
      <c r="V35" s="12">
        <v>594.75402799999995</v>
      </c>
      <c r="W35" s="12">
        <v>599.68109100000004</v>
      </c>
      <c r="X35" s="12">
        <v>605.26538100000005</v>
      </c>
      <c r="Y35" s="12">
        <v>609.016479</v>
      </c>
      <c r="Z35" s="12">
        <v>613.11450200000002</v>
      </c>
      <c r="AA35" s="12">
        <v>621.02417000000003</v>
      </c>
      <c r="AB35" s="12">
        <v>626.33575399999995</v>
      </c>
      <c r="AC35" s="12">
        <v>627.26068099999998</v>
      </c>
      <c r="AD35" s="12">
        <v>627.99108899999999</v>
      </c>
      <c r="AE35" s="12">
        <v>630.13421600000004</v>
      </c>
      <c r="AF35" s="12">
        <v>631.65203899999995</v>
      </c>
      <c r="AG35" s="12">
        <v>633.02477999999996</v>
      </c>
      <c r="AH35" s="12">
        <v>633.68420400000002</v>
      </c>
      <c r="AI35" s="12">
        <v>637.70324700000003</v>
      </c>
      <c r="AJ35" s="12">
        <v>641.03143299999999</v>
      </c>
      <c r="AK35" s="12">
        <v>645.43792699999995</v>
      </c>
      <c r="AL35" s="12">
        <v>653.12396200000001</v>
      </c>
      <c r="AM35" s="13">
        <v>1.729E-2</v>
      </c>
    </row>
    <row r="36" spans="1:39" ht="15" customHeight="1" x14ac:dyDescent="0.25">
      <c r="A36" s="7" t="s">
        <v>686</v>
      </c>
      <c r="B36" s="11" t="s">
        <v>687</v>
      </c>
      <c r="C36" s="12">
        <v>45.657749000000003</v>
      </c>
      <c r="D36" s="12">
        <v>45.590881000000003</v>
      </c>
      <c r="E36" s="12">
        <v>46.672691</v>
      </c>
      <c r="F36" s="12">
        <v>46.762130999999997</v>
      </c>
      <c r="G36" s="12">
        <v>47.596660999999997</v>
      </c>
      <c r="H36" s="12">
        <v>48.558472000000002</v>
      </c>
      <c r="I36" s="12">
        <v>50.033138000000001</v>
      </c>
      <c r="J36" s="12">
        <v>51.457419999999999</v>
      </c>
      <c r="K36" s="12">
        <v>52.763568999999997</v>
      </c>
      <c r="L36" s="12">
        <v>53.536911000000003</v>
      </c>
      <c r="M36" s="12">
        <v>54.060009000000001</v>
      </c>
      <c r="N36" s="12">
        <v>54.715178999999999</v>
      </c>
      <c r="O36" s="12">
        <v>54.558948999999998</v>
      </c>
      <c r="P36" s="12">
        <v>54.136650000000003</v>
      </c>
      <c r="Q36" s="12">
        <v>53.623001000000002</v>
      </c>
      <c r="R36" s="12">
        <v>53.031058999999999</v>
      </c>
      <c r="S36" s="12">
        <v>52.478119</v>
      </c>
      <c r="T36" s="12">
        <v>51.914569999999998</v>
      </c>
      <c r="U36" s="12">
        <v>51.491928000000001</v>
      </c>
      <c r="V36" s="12">
        <v>51.061508000000003</v>
      </c>
      <c r="W36" s="12">
        <v>50.597900000000003</v>
      </c>
      <c r="X36" s="12">
        <v>50.194068999999999</v>
      </c>
      <c r="Y36" s="12">
        <v>49.702240000000003</v>
      </c>
      <c r="Z36" s="12">
        <v>49.183819</v>
      </c>
      <c r="AA36" s="12">
        <v>48.843552000000003</v>
      </c>
      <c r="AB36" s="12">
        <v>48.636318000000003</v>
      </c>
      <c r="AC36" s="12">
        <v>48.361172000000003</v>
      </c>
      <c r="AD36" s="12">
        <v>47.987431000000001</v>
      </c>
      <c r="AE36" s="12">
        <v>47.722580000000001</v>
      </c>
      <c r="AF36" s="12">
        <v>47.40889</v>
      </c>
      <c r="AG36" s="12">
        <v>47.084068000000002</v>
      </c>
      <c r="AH36" s="12">
        <v>46.778801000000001</v>
      </c>
      <c r="AI36" s="12">
        <v>46.376888000000001</v>
      </c>
      <c r="AJ36" s="12">
        <v>46.004970999999998</v>
      </c>
      <c r="AK36" s="12">
        <v>45.651851999999998</v>
      </c>
      <c r="AL36" s="12">
        <v>45.277358999999997</v>
      </c>
      <c r="AM36" s="13">
        <v>-2.03E-4</v>
      </c>
    </row>
    <row r="37" spans="1:39" ht="15" customHeight="1" x14ac:dyDescent="0.25">
      <c r="A37" s="7" t="s">
        <v>688</v>
      </c>
      <c r="B37" s="11" t="s">
        <v>689</v>
      </c>
      <c r="C37" s="12">
        <v>176.87510700000001</v>
      </c>
      <c r="D37" s="12">
        <v>185.712402</v>
      </c>
      <c r="E37" s="12">
        <v>239.41009500000001</v>
      </c>
      <c r="F37" s="12">
        <v>254.05140700000001</v>
      </c>
      <c r="G37" s="12">
        <v>263.066711</v>
      </c>
      <c r="H37" s="12">
        <v>266.53530899999998</v>
      </c>
      <c r="I37" s="12">
        <v>272.32308999999998</v>
      </c>
      <c r="J37" s="12">
        <v>281.90600599999999</v>
      </c>
      <c r="K37" s="12">
        <v>291.115814</v>
      </c>
      <c r="L37" s="12">
        <v>295.85150099999998</v>
      </c>
      <c r="M37" s="12">
        <v>298.49490400000002</v>
      </c>
      <c r="N37" s="12">
        <v>302.70519999999999</v>
      </c>
      <c r="O37" s="12">
        <v>300.778412</v>
      </c>
      <c r="P37" s="12">
        <v>298.76080300000001</v>
      </c>
      <c r="Q37" s="12">
        <v>298.82861300000002</v>
      </c>
      <c r="R37" s="12">
        <v>300.63339200000001</v>
      </c>
      <c r="S37" s="12">
        <v>302.22170999999997</v>
      </c>
      <c r="T37" s="12">
        <v>304.218414</v>
      </c>
      <c r="U37" s="12">
        <v>304.850189</v>
      </c>
      <c r="V37" s="12">
        <v>308.61151100000001</v>
      </c>
      <c r="W37" s="12">
        <v>311.242096</v>
      </c>
      <c r="X37" s="12">
        <v>314.65451000000002</v>
      </c>
      <c r="Y37" s="12">
        <v>316.08261099999999</v>
      </c>
      <c r="Z37" s="12">
        <v>318.02371199999999</v>
      </c>
      <c r="AA37" s="12">
        <v>324.03100599999999</v>
      </c>
      <c r="AB37" s="12">
        <v>327.59060699999998</v>
      </c>
      <c r="AC37" s="12">
        <v>327.90640300000001</v>
      </c>
      <c r="AD37" s="12">
        <v>329.09420799999998</v>
      </c>
      <c r="AE37" s="12">
        <v>329.88571200000001</v>
      </c>
      <c r="AF37" s="12">
        <v>330.24920700000001</v>
      </c>
      <c r="AG37" s="12">
        <v>330.40139799999997</v>
      </c>
      <c r="AH37" s="12">
        <v>329.55731200000002</v>
      </c>
      <c r="AI37" s="12">
        <v>332.13909899999999</v>
      </c>
      <c r="AJ37" s="12">
        <v>334.36999500000002</v>
      </c>
      <c r="AK37" s="12">
        <v>337.30801400000001</v>
      </c>
      <c r="AL37" s="12">
        <v>343.16558800000001</v>
      </c>
      <c r="AM37" s="13">
        <v>1.8223E-2</v>
      </c>
    </row>
    <row r="38" spans="1:39" ht="15" customHeight="1" x14ac:dyDescent="0.25">
      <c r="A38" s="7" t="s">
        <v>690</v>
      </c>
      <c r="B38" s="11" t="s">
        <v>691</v>
      </c>
      <c r="C38" s="12">
        <v>85.826248000000007</v>
      </c>
      <c r="D38" s="12">
        <v>88.537459999999996</v>
      </c>
      <c r="E38" s="12">
        <v>95.515540999999999</v>
      </c>
      <c r="F38" s="12">
        <v>102.176697</v>
      </c>
      <c r="G38" s="12">
        <v>111.149002</v>
      </c>
      <c r="H38" s="12">
        <v>118.65979799999999</v>
      </c>
      <c r="I38" s="12">
        <v>124.037201</v>
      </c>
      <c r="J38" s="12">
        <v>129.641006</v>
      </c>
      <c r="K38" s="12">
        <v>135.02310199999999</v>
      </c>
      <c r="L38" s="12">
        <v>139.89759799999999</v>
      </c>
      <c r="M38" s="12">
        <v>144.67520099999999</v>
      </c>
      <c r="N38" s="12">
        <v>150.383499</v>
      </c>
      <c r="O38" s="12">
        <v>154.91980000000001</v>
      </c>
      <c r="P38" s="12">
        <v>158.87570199999999</v>
      </c>
      <c r="Q38" s="12">
        <v>162.207596</v>
      </c>
      <c r="R38" s="12">
        <v>165.89129600000001</v>
      </c>
      <c r="S38" s="12">
        <v>169.679901</v>
      </c>
      <c r="T38" s="12">
        <v>172.994598</v>
      </c>
      <c r="U38" s="12">
        <v>175.567093</v>
      </c>
      <c r="V38" s="12">
        <v>178.246094</v>
      </c>
      <c r="W38" s="12">
        <v>180.86900299999999</v>
      </c>
      <c r="X38" s="12">
        <v>183.176895</v>
      </c>
      <c r="Y38" s="12">
        <v>185.94679300000001</v>
      </c>
      <c r="Z38" s="12">
        <v>188.67289700000001</v>
      </c>
      <c r="AA38" s="12">
        <v>190.50149500000001</v>
      </c>
      <c r="AB38" s="12">
        <v>192.249405</v>
      </c>
      <c r="AC38" s="12">
        <v>193.27839700000001</v>
      </c>
      <c r="AD38" s="12">
        <v>193.48240699999999</v>
      </c>
      <c r="AE38" s="12">
        <v>195.006699</v>
      </c>
      <c r="AF38" s="12">
        <v>196.569199</v>
      </c>
      <c r="AG38" s="12">
        <v>198.141403</v>
      </c>
      <c r="AH38" s="12">
        <v>200.05290199999999</v>
      </c>
      <c r="AI38" s="12">
        <v>201.792404</v>
      </c>
      <c r="AJ38" s="12">
        <v>203.40690599999999</v>
      </c>
      <c r="AK38" s="12">
        <v>205.24290500000001</v>
      </c>
      <c r="AL38" s="12">
        <v>207.54269400000001</v>
      </c>
      <c r="AM38" s="13">
        <v>2.5373E-2</v>
      </c>
    </row>
    <row r="39" spans="1:39" ht="15" customHeight="1" x14ac:dyDescent="0.25">
      <c r="A39" s="7" t="s">
        <v>692</v>
      </c>
      <c r="B39" s="11" t="s">
        <v>693</v>
      </c>
      <c r="C39" s="12">
        <v>43.473830999999997</v>
      </c>
      <c r="D39" s="12">
        <v>44.804039000000003</v>
      </c>
      <c r="E39" s="12">
        <v>47.666389000000002</v>
      </c>
      <c r="F39" s="12">
        <v>49.041691</v>
      </c>
      <c r="G39" s="12">
        <v>50.441409999999998</v>
      </c>
      <c r="H39" s="12">
        <v>51.203110000000002</v>
      </c>
      <c r="I39" s="12">
        <v>52.111370000000001</v>
      </c>
      <c r="J39" s="12">
        <v>53.099400000000003</v>
      </c>
      <c r="K39" s="12">
        <v>54.093761000000001</v>
      </c>
      <c r="L39" s="12">
        <v>54.672950999999998</v>
      </c>
      <c r="M39" s="12">
        <v>55.300659000000003</v>
      </c>
      <c r="N39" s="12">
        <v>56.10812</v>
      </c>
      <c r="O39" s="12">
        <v>56.268791</v>
      </c>
      <c r="P39" s="12">
        <v>56.109631</v>
      </c>
      <c r="Q39" s="12">
        <v>56.112960999999999</v>
      </c>
      <c r="R39" s="12">
        <v>56.296860000000002</v>
      </c>
      <c r="S39" s="12">
        <v>56.513278999999997</v>
      </c>
      <c r="T39" s="12">
        <v>56.695090999999998</v>
      </c>
      <c r="U39" s="12">
        <v>56.673690999999998</v>
      </c>
      <c r="V39" s="12">
        <v>56.83493</v>
      </c>
      <c r="W39" s="12">
        <v>56.972118000000002</v>
      </c>
      <c r="X39" s="12">
        <v>57.239899000000001</v>
      </c>
      <c r="Y39" s="12">
        <v>57.284840000000003</v>
      </c>
      <c r="Z39" s="12">
        <v>57.234099999999998</v>
      </c>
      <c r="AA39" s="12">
        <v>57.648060000000001</v>
      </c>
      <c r="AB39" s="12">
        <v>57.859428000000001</v>
      </c>
      <c r="AC39" s="12">
        <v>57.714748</v>
      </c>
      <c r="AD39" s="12">
        <v>57.427059</v>
      </c>
      <c r="AE39" s="12">
        <v>57.519241000000001</v>
      </c>
      <c r="AF39" s="12">
        <v>57.42474</v>
      </c>
      <c r="AG39" s="12">
        <v>57.3979</v>
      </c>
      <c r="AH39" s="12">
        <v>57.295138999999999</v>
      </c>
      <c r="AI39" s="12">
        <v>57.394821</v>
      </c>
      <c r="AJ39" s="12">
        <v>57.249549999999999</v>
      </c>
      <c r="AK39" s="12">
        <v>57.235168000000002</v>
      </c>
      <c r="AL39" s="12">
        <v>57.138351</v>
      </c>
      <c r="AM39" s="13">
        <v>7.1780000000000004E-3</v>
      </c>
    </row>
    <row r="40" spans="1:39" ht="15" customHeight="1" x14ac:dyDescent="0.25">
      <c r="A40" s="7" t="s">
        <v>694</v>
      </c>
      <c r="B40" s="11" t="s">
        <v>695</v>
      </c>
      <c r="C40" s="12">
        <v>331.70800800000001</v>
      </c>
      <c r="D40" s="12">
        <v>334.86648600000001</v>
      </c>
      <c r="E40" s="12">
        <v>323.23330700000002</v>
      </c>
      <c r="F40" s="12">
        <v>325.65329000000003</v>
      </c>
      <c r="G40" s="12">
        <v>328.269409</v>
      </c>
      <c r="H40" s="12">
        <v>333.09258999999997</v>
      </c>
      <c r="I40" s="12">
        <v>336.90600599999999</v>
      </c>
      <c r="J40" s="12">
        <v>344.49978599999997</v>
      </c>
      <c r="K40" s="12">
        <v>354.50268599999998</v>
      </c>
      <c r="L40" s="12">
        <v>366.768799</v>
      </c>
      <c r="M40" s="12">
        <v>376.85629299999999</v>
      </c>
      <c r="N40" s="12">
        <v>384.40609699999999</v>
      </c>
      <c r="O40" s="12">
        <v>389.98168900000002</v>
      </c>
      <c r="P40" s="12">
        <v>393.28478999999999</v>
      </c>
      <c r="Q40" s="12">
        <v>394.454498</v>
      </c>
      <c r="R40" s="12">
        <v>395.89581299999998</v>
      </c>
      <c r="S40" s="12">
        <v>397.31890900000002</v>
      </c>
      <c r="T40" s="12">
        <v>400.91650399999997</v>
      </c>
      <c r="U40" s="12">
        <v>405.240906</v>
      </c>
      <c r="V40" s="12">
        <v>408.26058999999998</v>
      </c>
      <c r="W40" s="12">
        <v>407.95239299999997</v>
      </c>
      <c r="X40" s="12">
        <v>409.83419800000001</v>
      </c>
      <c r="Y40" s="12">
        <v>416.64810199999999</v>
      </c>
      <c r="Z40" s="12">
        <v>426.63580300000001</v>
      </c>
      <c r="AA40" s="12">
        <v>430.72900399999997</v>
      </c>
      <c r="AB40" s="12">
        <v>434.36880500000001</v>
      </c>
      <c r="AC40" s="12">
        <v>441.97039799999999</v>
      </c>
      <c r="AD40" s="12">
        <v>451.615295</v>
      </c>
      <c r="AE40" s="12">
        <v>459.64801</v>
      </c>
      <c r="AF40" s="12">
        <v>466.27349900000002</v>
      </c>
      <c r="AG40" s="12">
        <v>471.20581099999998</v>
      </c>
      <c r="AH40" s="12">
        <v>475.003693</v>
      </c>
      <c r="AI40" s="12">
        <v>478.50479100000001</v>
      </c>
      <c r="AJ40" s="12">
        <v>482.94500699999998</v>
      </c>
      <c r="AK40" s="12">
        <v>487.94390900000002</v>
      </c>
      <c r="AL40" s="12">
        <v>492.19131499999997</v>
      </c>
      <c r="AM40" s="13">
        <v>1.1391999999999999E-2</v>
      </c>
    </row>
    <row r="41" spans="1:39" ht="15" customHeight="1" x14ac:dyDescent="0.25">
      <c r="A41" s="7" t="s">
        <v>696</v>
      </c>
      <c r="B41" s="11" t="s">
        <v>697</v>
      </c>
      <c r="C41" s="12">
        <v>550.66754200000003</v>
      </c>
      <c r="D41" s="12">
        <v>569.17443800000001</v>
      </c>
      <c r="E41" s="12">
        <v>570.19635000000005</v>
      </c>
      <c r="F41" s="12">
        <v>577.39495799999997</v>
      </c>
      <c r="G41" s="12">
        <v>582.03539999999998</v>
      </c>
      <c r="H41" s="12">
        <v>581.40081799999996</v>
      </c>
      <c r="I41" s="12">
        <v>581.01122999999995</v>
      </c>
      <c r="J41" s="12">
        <v>578.99755900000002</v>
      </c>
      <c r="K41" s="12">
        <v>576.00970500000005</v>
      </c>
      <c r="L41" s="12">
        <v>572.43566899999996</v>
      </c>
      <c r="M41" s="12">
        <v>566.97094700000002</v>
      </c>
      <c r="N41" s="12">
        <v>561.63122599999997</v>
      </c>
      <c r="O41" s="12">
        <v>556.17779499999995</v>
      </c>
      <c r="P41" s="12">
        <v>552.46978799999999</v>
      </c>
      <c r="Q41" s="12">
        <v>549.27252199999998</v>
      </c>
      <c r="R41" s="12">
        <v>546.04589799999997</v>
      </c>
      <c r="S41" s="12">
        <v>542.03008999999997</v>
      </c>
      <c r="T41" s="12">
        <v>538.37078899999995</v>
      </c>
      <c r="U41" s="12">
        <v>536.26135299999999</v>
      </c>
      <c r="V41" s="12">
        <v>535.19097899999997</v>
      </c>
      <c r="W41" s="12">
        <v>534.24273700000003</v>
      </c>
      <c r="X41" s="12">
        <v>533.29577600000005</v>
      </c>
      <c r="Y41" s="12">
        <v>533.28912400000002</v>
      </c>
      <c r="Z41" s="12">
        <v>533.74487299999998</v>
      </c>
      <c r="AA41" s="12">
        <v>533.29766800000004</v>
      </c>
      <c r="AB41" s="12">
        <v>533.24993900000004</v>
      </c>
      <c r="AC41" s="12">
        <v>534.40393100000006</v>
      </c>
      <c r="AD41" s="12">
        <v>535.16265899999996</v>
      </c>
      <c r="AE41" s="12">
        <v>537.07312000000002</v>
      </c>
      <c r="AF41" s="12">
        <v>538.93609600000002</v>
      </c>
      <c r="AG41" s="12">
        <v>540.99713099999997</v>
      </c>
      <c r="AH41" s="12">
        <v>543.41973900000005</v>
      </c>
      <c r="AI41" s="12">
        <v>545.81897000000004</v>
      </c>
      <c r="AJ41" s="12">
        <v>547.91418499999997</v>
      </c>
      <c r="AK41" s="12">
        <v>551.30029300000001</v>
      </c>
      <c r="AL41" s="12">
        <v>555.57031199999994</v>
      </c>
      <c r="AM41" s="13">
        <v>-7.1100000000000004E-4</v>
      </c>
    </row>
    <row r="42" spans="1:39" ht="15" customHeight="1" x14ac:dyDescent="0.25">
      <c r="A42" s="7" t="s">
        <v>698</v>
      </c>
      <c r="B42" s="11" t="s">
        <v>699</v>
      </c>
      <c r="C42" s="12">
        <v>508.992096</v>
      </c>
      <c r="D42" s="12">
        <v>526.09832800000004</v>
      </c>
      <c r="E42" s="12">
        <v>525.42718500000001</v>
      </c>
      <c r="F42" s="12">
        <v>532.04431199999999</v>
      </c>
      <c r="G42" s="12">
        <v>536.91699200000005</v>
      </c>
      <c r="H42" s="12">
        <v>536.51709000000005</v>
      </c>
      <c r="I42" s="12">
        <v>535.90948500000002</v>
      </c>
      <c r="J42" s="12">
        <v>533.70782499999996</v>
      </c>
      <c r="K42" s="12">
        <v>530.76159700000005</v>
      </c>
      <c r="L42" s="12">
        <v>527.19781499999999</v>
      </c>
      <c r="M42" s="12">
        <v>522.17401099999995</v>
      </c>
      <c r="N42" s="12">
        <v>517.86370799999997</v>
      </c>
      <c r="O42" s="12">
        <v>513.05957000000001</v>
      </c>
      <c r="P42" s="12">
        <v>510.06839000000002</v>
      </c>
      <c r="Q42" s="12">
        <v>507.50109900000001</v>
      </c>
      <c r="R42" s="12">
        <v>504.990295</v>
      </c>
      <c r="S42" s="12">
        <v>501.87020899999999</v>
      </c>
      <c r="T42" s="12">
        <v>499.31860399999999</v>
      </c>
      <c r="U42" s="12">
        <v>498.21820100000002</v>
      </c>
      <c r="V42" s="12">
        <v>497.941711</v>
      </c>
      <c r="W42" s="12">
        <v>497.82650799999999</v>
      </c>
      <c r="X42" s="12">
        <v>497.96820100000002</v>
      </c>
      <c r="Y42" s="12">
        <v>499.23049900000001</v>
      </c>
      <c r="Z42" s="12">
        <v>500.98349000000002</v>
      </c>
      <c r="AA42" s="12">
        <v>502.07070900000002</v>
      </c>
      <c r="AB42" s="12">
        <v>503.54940800000003</v>
      </c>
      <c r="AC42" s="12">
        <v>506.156586</v>
      </c>
      <c r="AD42" s="12">
        <v>508.31320199999999</v>
      </c>
      <c r="AE42" s="12">
        <v>511.29458599999998</v>
      </c>
      <c r="AF42" s="12">
        <v>514.23492399999998</v>
      </c>
      <c r="AG42" s="12">
        <v>517.37738000000002</v>
      </c>
      <c r="AH42" s="12">
        <v>520.66760299999999</v>
      </c>
      <c r="AI42" s="12">
        <v>524.01251200000002</v>
      </c>
      <c r="AJ42" s="12">
        <v>527.082581</v>
      </c>
      <c r="AK42" s="12">
        <v>531.31188999999995</v>
      </c>
      <c r="AL42" s="12">
        <v>536.34191899999996</v>
      </c>
      <c r="AM42" s="13">
        <v>5.6700000000000001E-4</v>
      </c>
    </row>
    <row r="43" spans="1:39" ht="15" customHeight="1" x14ac:dyDescent="0.25">
      <c r="A43" s="7" t="s">
        <v>700</v>
      </c>
      <c r="B43" s="11" t="s">
        <v>701</v>
      </c>
      <c r="C43" s="12">
        <v>41.675468000000002</v>
      </c>
      <c r="D43" s="12">
        <v>43.076098999999999</v>
      </c>
      <c r="E43" s="12">
        <v>44.769179999999999</v>
      </c>
      <c r="F43" s="12">
        <v>45.350619999999999</v>
      </c>
      <c r="G43" s="12">
        <v>45.11842</v>
      </c>
      <c r="H43" s="12">
        <v>44.883738999999998</v>
      </c>
      <c r="I43" s="12">
        <v>45.101761000000003</v>
      </c>
      <c r="J43" s="12">
        <v>45.289729999999999</v>
      </c>
      <c r="K43" s="12">
        <v>45.248111999999999</v>
      </c>
      <c r="L43" s="12">
        <v>45.237831</v>
      </c>
      <c r="M43" s="12">
        <v>44.796920999999998</v>
      </c>
      <c r="N43" s="12">
        <v>43.767521000000002</v>
      </c>
      <c r="O43" s="12">
        <v>43.118220999999998</v>
      </c>
      <c r="P43" s="12">
        <v>42.401370999999997</v>
      </c>
      <c r="Q43" s="12">
        <v>41.771411999999998</v>
      </c>
      <c r="R43" s="12">
        <v>41.055579999999999</v>
      </c>
      <c r="S43" s="12">
        <v>40.159900999999998</v>
      </c>
      <c r="T43" s="12">
        <v>39.052199999999999</v>
      </c>
      <c r="U43" s="12">
        <v>38.043129</v>
      </c>
      <c r="V43" s="12">
        <v>37.249279000000001</v>
      </c>
      <c r="W43" s="12">
        <v>36.41621</v>
      </c>
      <c r="X43" s="12">
        <v>35.327559999999998</v>
      </c>
      <c r="Y43" s="12">
        <v>34.058639999999997</v>
      </c>
      <c r="Z43" s="12">
        <v>32.761360000000003</v>
      </c>
      <c r="AA43" s="12">
        <v>31.226939999999999</v>
      </c>
      <c r="AB43" s="12">
        <v>29.700529</v>
      </c>
      <c r="AC43" s="12">
        <v>28.24737</v>
      </c>
      <c r="AD43" s="12">
        <v>26.849440000000001</v>
      </c>
      <c r="AE43" s="12">
        <v>25.778561</v>
      </c>
      <c r="AF43" s="12">
        <v>24.701160000000002</v>
      </c>
      <c r="AG43" s="12">
        <v>23.619748999999999</v>
      </c>
      <c r="AH43" s="12">
        <v>22.752158999999999</v>
      </c>
      <c r="AI43" s="12">
        <v>21.806439999999998</v>
      </c>
      <c r="AJ43" s="12">
        <v>20.831631000000002</v>
      </c>
      <c r="AK43" s="12">
        <v>19.988430000000001</v>
      </c>
      <c r="AL43" s="12">
        <v>19.22842</v>
      </c>
      <c r="AM43" s="13">
        <v>-2.3444E-2</v>
      </c>
    </row>
    <row r="44" spans="1:39" ht="15" customHeight="1" x14ac:dyDescent="0.25">
      <c r="A44" s="7" t="s">
        <v>702</v>
      </c>
      <c r="B44" s="11" t="s">
        <v>703</v>
      </c>
      <c r="C44" s="12">
        <v>214.732193</v>
      </c>
      <c r="D44" s="12">
        <v>214.25</v>
      </c>
      <c r="E44" s="12">
        <v>225.917404</v>
      </c>
      <c r="F44" s="12">
        <v>234.4888</v>
      </c>
      <c r="G44" s="12">
        <v>241.64239499999999</v>
      </c>
      <c r="H44" s="12">
        <v>248.3871</v>
      </c>
      <c r="I44" s="12">
        <v>257.21218900000002</v>
      </c>
      <c r="J44" s="12">
        <v>266.04791299999999</v>
      </c>
      <c r="K44" s="12">
        <v>274.78500400000001</v>
      </c>
      <c r="L44" s="12">
        <v>282.21038800000002</v>
      </c>
      <c r="M44" s="12">
        <v>288.94140599999997</v>
      </c>
      <c r="N44" s="12">
        <v>296.00131199999998</v>
      </c>
      <c r="O44" s="12">
        <v>302.20559700000001</v>
      </c>
      <c r="P44" s="12">
        <v>308.40429699999999</v>
      </c>
      <c r="Q44" s="12">
        <v>315.58898900000003</v>
      </c>
      <c r="R44" s="12">
        <v>323.10379</v>
      </c>
      <c r="S44" s="12">
        <v>330.79809599999999</v>
      </c>
      <c r="T44" s="12">
        <v>338.552887</v>
      </c>
      <c r="U44" s="12">
        <v>347.52359000000001</v>
      </c>
      <c r="V44" s="12">
        <v>357.87631199999998</v>
      </c>
      <c r="W44" s="12">
        <v>368.63980099999998</v>
      </c>
      <c r="X44" s="12">
        <v>380.02349900000002</v>
      </c>
      <c r="Y44" s="12">
        <v>391.16580199999999</v>
      </c>
      <c r="Z44" s="12">
        <v>402.78381300000001</v>
      </c>
      <c r="AA44" s="12">
        <v>415.723297</v>
      </c>
      <c r="AB44" s="12">
        <v>429.07501200000002</v>
      </c>
      <c r="AC44" s="12">
        <v>441.841095</v>
      </c>
      <c r="AD44" s="12">
        <v>455.26370200000002</v>
      </c>
      <c r="AE44" s="12">
        <v>469.88400300000001</v>
      </c>
      <c r="AF44" s="12">
        <v>484.448486</v>
      </c>
      <c r="AG44" s="12">
        <v>499.05590799999999</v>
      </c>
      <c r="AH44" s="12">
        <v>514.21209699999997</v>
      </c>
      <c r="AI44" s="12">
        <v>529.172729</v>
      </c>
      <c r="AJ44" s="12">
        <v>544.92089799999997</v>
      </c>
      <c r="AK44" s="12">
        <v>561.96801800000003</v>
      </c>
      <c r="AL44" s="12">
        <v>580.44689900000003</v>
      </c>
      <c r="AM44" s="13">
        <v>2.9746999999999999E-2</v>
      </c>
    </row>
    <row r="45" spans="1:39" ht="15" customHeight="1" x14ac:dyDescent="0.25">
      <c r="A45" s="7" t="s">
        <v>704</v>
      </c>
      <c r="B45" s="11" t="s">
        <v>705</v>
      </c>
      <c r="C45" s="12">
        <v>108.970749</v>
      </c>
      <c r="D45" s="12">
        <v>113.019516</v>
      </c>
      <c r="E45" s="12">
        <v>119.385071</v>
      </c>
      <c r="F45" s="12">
        <v>124.30901299999999</v>
      </c>
      <c r="G45" s="12">
        <v>126.356911</v>
      </c>
      <c r="H45" s="12">
        <v>128.49726899999999</v>
      </c>
      <c r="I45" s="12">
        <v>132.21579</v>
      </c>
      <c r="J45" s="12">
        <v>135.51707500000001</v>
      </c>
      <c r="K45" s="12">
        <v>139.06500199999999</v>
      </c>
      <c r="L45" s="12">
        <v>141.698151</v>
      </c>
      <c r="M45" s="12">
        <v>143.27157600000001</v>
      </c>
      <c r="N45" s="12">
        <v>145.060822</v>
      </c>
      <c r="O45" s="12">
        <v>147.27990700000001</v>
      </c>
      <c r="P45" s="12">
        <v>148.73095699999999</v>
      </c>
      <c r="Q45" s="12">
        <v>151.266571</v>
      </c>
      <c r="R45" s="12">
        <v>155.79849200000001</v>
      </c>
      <c r="S45" s="12">
        <v>159.736954</v>
      </c>
      <c r="T45" s="12">
        <v>161.493225</v>
      </c>
      <c r="U45" s="12">
        <v>164.56362899999999</v>
      </c>
      <c r="V45" s="12">
        <v>169.627228</v>
      </c>
      <c r="W45" s="12">
        <v>175.04083299999999</v>
      </c>
      <c r="X45" s="12">
        <v>180.312927</v>
      </c>
      <c r="Y45" s="12">
        <v>185.327988</v>
      </c>
      <c r="Z45" s="12">
        <v>190.70884699999999</v>
      </c>
      <c r="AA45" s="12">
        <v>195.93893399999999</v>
      </c>
      <c r="AB45" s="12">
        <v>202.19223</v>
      </c>
      <c r="AC45" s="12">
        <v>208.71785</v>
      </c>
      <c r="AD45" s="12">
        <v>214.18255600000001</v>
      </c>
      <c r="AE45" s="12">
        <v>221.09359699999999</v>
      </c>
      <c r="AF45" s="12">
        <v>229.065155</v>
      </c>
      <c r="AG45" s="12">
        <v>236.91134600000001</v>
      </c>
      <c r="AH45" s="12">
        <v>245.18161000000001</v>
      </c>
      <c r="AI45" s="12">
        <v>252.66461200000001</v>
      </c>
      <c r="AJ45" s="12">
        <v>259.79794299999998</v>
      </c>
      <c r="AK45" s="12">
        <v>266.651794</v>
      </c>
      <c r="AL45" s="12">
        <v>274.05499300000002</v>
      </c>
      <c r="AM45" s="13">
        <v>2.6394000000000001E-2</v>
      </c>
    </row>
    <row r="46" spans="1:39" ht="15" customHeight="1" x14ac:dyDescent="0.25">
      <c r="A46" s="7" t="s">
        <v>706</v>
      </c>
      <c r="B46" s="11" t="s">
        <v>707</v>
      </c>
      <c r="C46" s="12">
        <v>23.328150000000001</v>
      </c>
      <c r="D46" s="12">
        <v>24.226859999999999</v>
      </c>
      <c r="E46" s="12">
        <v>25.760981000000001</v>
      </c>
      <c r="F46" s="12">
        <v>26.676359000000001</v>
      </c>
      <c r="G46" s="12">
        <v>27.021179</v>
      </c>
      <c r="H46" s="12">
        <v>27.224150000000002</v>
      </c>
      <c r="I46" s="12">
        <v>27.841809999999999</v>
      </c>
      <c r="J46" s="12">
        <v>28.611339999999998</v>
      </c>
      <c r="K46" s="12">
        <v>29.380911000000001</v>
      </c>
      <c r="L46" s="12">
        <v>29.84684</v>
      </c>
      <c r="M46" s="12">
        <v>30.159821000000001</v>
      </c>
      <c r="N46" s="12">
        <v>30.537068999999999</v>
      </c>
      <c r="O46" s="12">
        <v>30.72505</v>
      </c>
      <c r="P46" s="12">
        <v>30.742611</v>
      </c>
      <c r="Q46" s="12">
        <v>31.010508999999999</v>
      </c>
      <c r="R46" s="12">
        <v>31.645299999999999</v>
      </c>
      <c r="S46" s="12">
        <v>32.117019999999997</v>
      </c>
      <c r="T46" s="12">
        <v>32.108921000000002</v>
      </c>
      <c r="U46" s="12">
        <v>32.282848000000001</v>
      </c>
      <c r="V46" s="12">
        <v>33.223399999999998</v>
      </c>
      <c r="W46" s="12">
        <v>34.174079999999996</v>
      </c>
      <c r="X46" s="12">
        <v>35.045459999999999</v>
      </c>
      <c r="Y46" s="12">
        <v>35.641768999999996</v>
      </c>
      <c r="Z46" s="12">
        <v>36.222369999999998</v>
      </c>
      <c r="AA46" s="12">
        <v>36.817340999999999</v>
      </c>
      <c r="AB46" s="12">
        <v>37.619838999999999</v>
      </c>
      <c r="AC46" s="12">
        <v>38.397281999999997</v>
      </c>
      <c r="AD46" s="12">
        <v>38.836120999999999</v>
      </c>
      <c r="AE46" s="12">
        <v>39.648398999999998</v>
      </c>
      <c r="AF46" s="12">
        <v>40.774737999999999</v>
      </c>
      <c r="AG46" s="12">
        <v>41.814442</v>
      </c>
      <c r="AH46" s="12">
        <v>42.861350999999999</v>
      </c>
      <c r="AI46" s="12">
        <v>43.537078999999999</v>
      </c>
      <c r="AJ46" s="12">
        <v>44.187069000000001</v>
      </c>
      <c r="AK46" s="12">
        <v>44.836948</v>
      </c>
      <c r="AL46" s="12">
        <v>45.561408999999998</v>
      </c>
      <c r="AM46" s="13">
        <v>1.8749999999999999E-2</v>
      </c>
    </row>
    <row r="47" spans="1:39" ht="15" customHeight="1" x14ac:dyDescent="0.25">
      <c r="A47" s="7" t="s">
        <v>708</v>
      </c>
      <c r="B47" s="11" t="s">
        <v>709</v>
      </c>
      <c r="C47" s="12">
        <v>13.609313999999999</v>
      </c>
      <c r="D47" s="12">
        <v>14.574109999999999</v>
      </c>
      <c r="E47" s="12">
        <v>15.406480999999999</v>
      </c>
      <c r="F47" s="12">
        <v>15.725107</v>
      </c>
      <c r="G47" s="12">
        <v>15.928077999999999</v>
      </c>
      <c r="H47" s="12">
        <v>16.023461999999999</v>
      </c>
      <c r="I47" s="12">
        <v>16.583454</v>
      </c>
      <c r="J47" s="12">
        <v>17.035865999999999</v>
      </c>
      <c r="K47" s="12">
        <v>17.429459000000001</v>
      </c>
      <c r="L47" s="12">
        <v>17.716847999999999</v>
      </c>
      <c r="M47" s="12">
        <v>17.882145000000001</v>
      </c>
      <c r="N47" s="12">
        <v>18.126175</v>
      </c>
      <c r="O47" s="12">
        <v>18.317879000000001</v>
      </c>
      <c r="P47" s="12">
        <v>18.467697000000001</v>
      </c>
      <c r="Q47" s="12">
        <v>18.620462</v>
      </c>
      <c r="R47" s="12">
        <v>18.885097999999999</v>
      </c>
      <c r="S47" s="12">
        <v>19.164733999999999</v>
      </c>
      <c r="T47" s="12">
        <v>19.348400000000002</v>
      </c>
      <c r="U47" s="12">
        <v>19.687874000000001</v>
      </c>
      <c r="V47" s="12">
        <v>20.128112999999999</v>
      </c>
      <c r="W47" s="12">
        <v>20.548753999999999</v>
      </c>
      <c r="X47" s="12">
        <v>21.009466</v>
      </c>
      <c r="Y47" s="12">
        <v>21.489211999999998</v>
      </c>
      <c r="Z47" s="12">
        <v>21.913474999999998</v>
      </c>
      <c r="AA47" s="12">
        <v>22.400386999999998</v>
      </c>
      <c r="AB47" s="12">
        <v>23.018298999999999</v>
      </c>
      <c r="AC47" s="12">
        <v>23.604278999999998</v>
      </c>
      <c r="AD47" s="12">
        <v>24.101939999999999</v>
      </c>
      <c r="AE47" s="12">
        <v>24.765899999999998</v>
      </c>
      <c r="AF47" s="12">
        <v>25.502220000000001</v>
      </c>
      <c r="AG47" s="12">
        <v>26.170798999999999</v>
      </c>
      <c r="AH47" s="12">
        <v>26.844560999999999</v>
      </c>
      <c r="AI47" s="12">
        <v>27.437721</v>
      </c>
      <c r="AJ47" s="12">
        <v>28.023281000000001</v>
      </c>
      <c r="AK47" s="12">
        <v>28.657330000000002</v>
      </c>
      <c r="AL47" s="12">
        <v>29.276568999999999</v>
      </c>
      <c r="AM47" s="13">
        <v>2.0728E-2</v>
      </c>
    </row>
    <row r="48" spans="1:39" ht="15" customHeight="1" x14ac:dyDescent="0.25">
      <c r="A48" s="7" t="s">
        <v>710</v>
      </c>
      <c r="B48" s="11" t="s">
        <v>711</v>
      </c>
      <c r="C48" s="12">
        <v>72.033278999999993</v>
      </c>
      <c r="D48" s="12">
        <v>74.218552000000003</v>
      </c>
      <c r="E48" s="12">
        <v>78.217613</v>
      </c>
      <c r="F48" s="12">
        <v>81.907546999999994</v>
      </c>
      <c r="G48" s="12">
        <v>83.407653999999994</v>
      </c>
      <c r="H48" s="12">
        <v>85.249656999999999</v>
      </c>
      <c r="I48" s="12">
        <v>87.790520000000001</v>
      </c>
      <c r="J48" s="12">
        <v>89.869872999999998</v>
      </c>
      <c r="K48" s="12">
        <v>92.254622999999995</v>
      </c>
      <c r="L48" s="12">
        <v>94.134460000000004</v>
      </c>
      <c r="M48" s="12">
        <v>95.229622000000006</v>
      </c>
      <c r="N48" s="12">
        <v>96.397568000000007</v>
      </c>
      <c r="O48" s="12">
        <v>98.236969000000002</v>
      </c>
      <c r="P48" s="12">
        <v>99.520652999999996</v>
      </c>
      <c r="Q48" s="12">
        <v>101.635597</v>
      </c>
      <c r="R48" s="12">
        <v>105.268097</v>
      </c>
      <c r="S48" s="12">
        <v>108.4552</v>
      </c>
      <c r="T48" s="12">
        <v>110.03589599999999</v>
      </c>
      <c r="U48" s="12">
        <v>112.59290300000001</v>
      </c>
      <c r="V48" s="12">
        <v>116.27570299999999</v>
      </c>
      <c r="W48" s="12">
        <v>120.318001</v>
      </c>
      <c r="X48" s="12">
        <v>124.258003</v>
      </c>
      <c r="Y48" s="12">
        <v>128.19700599999999</v>
      </c>
      <c r="Z48" s="12">
        <v>132.57299800000001</v>
      </c>
      <c r="AA48" s="12">
        <v>136.72120699999999</v>
      </c>
      <c r="AB48" s="12">
        <v>141.554092</v>
      </c>
      <c r="AC48" s="12">
        <v>146.71629300000001</v>
      </c>
      <c r="AD48" s="12">
        <v>151.244507</v>
      </c>
      <c r="AE48" s="12">
        <v>156.679306</v>
      </c>
      <c r="AF48" s="12">
        <v>162.78819300000001</v>
      </c>
      <c r="AG48" s="12">
        <v>168.92610199999999</v>
      </c>
      <c r="AH48" s="12">
        <v>175.47569300000001</v>
      </c>
      <c r="AI48" s="12">
        <v>181.68980400000001</v>
      </c>
      <c r="AJ48" s="12">
        <v>187.58760100000001</v>
      </c>
      <c r="AK48" s="12">
        <v>193.157501</v>
      </c>
      <c r="AL48" s="12">
        <v>199.216995</v>
      </c>
      <c r="AM48" s="13">
        <v>2.9465999999999999E-2</v>
      </c>
    </row>
    <row r="49" spans="1:39" ht="15" customHeight="1" x14ac:dyDescent="0.25">
      <c r="A49" s="7" t="s">
        <v>712</v>
      </c>
      <c r="B49" s="11" t="s">
        <v>713</v>
      </c>
      <c r="C49" s="12">
        <v>221.767639</v>
      </c>
      <c r="D49" s="12">
        <v>218.429596</v>
      </c>
      <c r="E49" s="12">
        <v>223.080704</v>
      </c>
      <c r="F49" s="12">
        <v>219.854187</v>
      </c>
      <c r="G49" s="12">
        <v>221.79209900000001</v>
      </c>
      <c r="H49" s="12">
        <v>228.80444299999999</v>
      </c>
      <c r="I49" s="12">
        <v>238.17202800000001</v>
      </c>
      <c r="J49" s="12">
        <v>243.755493</v>
      </c>
      <c r="K49" s="12">
        <v>247.036621</v>
      </c>
      <c r="L49" s="12">
        <v>248.62274199999999</v>
      </c>
      <c r="M49" s="12">
        <v>247.14733899999999</v>
      </c>
      <c r="N49" s="12">
        <v>243.835815</v>
      </c>
      <c r="O49" s="12">
        <v>243.43240399999999</v>
      </c>
      <c r="P49" s="12">
        <v>243.51280199999999</v>
      </c>
      <c r="Q49" s="12">
        <v>243.538757</v>
      </c>
      <c r="R49" s="12">
        <v>243.82540900000001</v>
      </c>
      <c r="S49" s="12">
        <v>244.332245</v>
      </c>
      <c r="T49" s="12">
        <v>245.02273600000001</v>
      </c>
      <c r="U49" s="12">
        <v>248.23834199999999</v>
      </c>
      <c r="V49" s="12">
        <v>251.13876300000001</v>
      </c>
      <c r="W49" s="12">
        <v>253.673889</v>
      </c>
      <c r="X49" s="12">
        <v>255.78095999999999</v>
      </c>
      <c r="Y49" s="12">
        <v>259.99704000000003</v>
      </c>
      <c r="Z49" s="12">
        <v>265.50329599999998</v>
      </c>
      <c r="AA49" s="12">
        <v>269.41851800000001</v>
      </c>
      <c r="AB49" s="12">
        <v>273.713165</v>
      </c>
      <c r="AC49" s="12">
        <v>277.86569200000002</v>
      </c>
      <c r="AD49" s="12">
        <v>282.237976</v>
      </c>
      <c r="AE49" s="12">
        <v>286.54324300000002</v>
      </c>
      <c r="AF49" s="12">
        <v>290.77648900000003</v>
      </c>
      <c r="AG49" s="12">
        <v>294.97961400000003</v>
      </c>
      <c r="AH49" s="12">
        <v>299.79754600000001</v>
      </c>
      <c r="AI49" s="12">
        <v>303.67620799999997</v>
      </c>
      <c r="AJ49" s="12">
        <v>308.42437699999999</v>
      </c>
      <c r="AK49" s="12">
        <v>313.86810300000002</v>
      </c>
      <c r="AL49" s="12">
        <v>318.85760499999998</v>
      </c>
      <c r="AM49" s="13">
        <v>1.1188E-2</v>
      </c>
    </row>
    <row r="50" spans="1:39" ht="15" customHeight="1" x14ac:dyDescent="0.25">
      <c r="A50" s="7" t="s">
        <v>714</v>
      </c>
      <c r="B50" s="11" t="s">
        <v>715</v>
      </c>
      <c r="C50" s="12">
        <v>99.176536999999996</v>
      </c>
      <c r="D50" s="12">
        <v>95.828818999999996</v>
      </c>
      <c r="E50" s="12">
        <v>99.28904</v>
      </c>
      <c r="F50" s="12">
        <v>94.84272</v>
      </c>
      <c r="G50" s="12">
        <v>94.514702</v>
      </c>
      <c r="H50" s="12">
        <v>96.463333000000006</v>
      </c>
      <c r="I50" s="12">
        <v>100.17420199999999</v>
      </c>
      <c r="J50" s="12">
        <v>101.439598</v>
      </c>
      <c r="K50" s="12">
        <v>101.37249799999999</v>
      </c>
      <c r="L50" s="12">
        <v>99.852858999999995</v>
      </c>
      <c r="M50" s="12">
        <v>97.119986999999995</v>
      </c>
      <c r="N50" s="12">
        <v>93.765540999999999</v>
      </c>
      <c r="O50" s="12">
        <v>92.060592999999997</v>
      </c>
      <c r="P50" s="12">
        <v>90.162375999999995</v>
      </c>
      <c r="Q50" s="12">
        <v>88.541709999999995</v>
      </c>
      <c r="R50" s="12">
        <v>87.412811000000005</v>
      </c>
      <c r="S50" s="12">
        <v>86.519073000000006</v>
      </c>
      <c r="T50" s="12">
        <v>85.770088000000001</v>
      </c>
      <c r="U50" s="12">
        <v>86.337158000000002</v>
      </c>
      <c r="V50" s="12">
        <v>86.464737</v>
      </c>
      <c r="W50" s="12">
        <v>86.148246999999998</v>
      </c>
      <c r="X50" s="12">
        <v>85.273712000000003</v>
      </c>
      <c r="Y50" s="12">
        <v>85.764770999999996</v>
      </c>
      <c r="Z50" s="12">
        <v>86.748992999999999</v>
      </c>
      <c r="AA50" s="12">
        <v>86.637710999999996</v>
      </c>
      <c r="AB50" s="12">
        <v>86.962044000000006</v>
      </c>
      <c r="AC50" s="12">
        <v>86.999236999999994</v>
      </c>
      <c r="AD50" s="12">
        <v>86.891563000000005</v>
      </c>
      <c r="AE50" s="12">
        <v>86.882728999999998</v>
      </c>
      <c r="AF50" s="12">
        <v>87.067749000000006</v>
      </c>
      <c r="AG50" s="12">
        <v>87.370215999999999</v>
      </c>
      <c r="AH50" s="12">
        <v>88.240516999999997</v>
      </c>
      <c r="AI50" s="12">
        <v>88.494743</v>
      </c>
      <c r="AJ50" s="12">
        <v>89.475753999999995</v>
      </c>
      <c r="AK50" s="12">
        <v>90.534142000000003</v>
      </c>
      <c r="AL50" s="12">
        <v>91.243369999999999</v>
      </c>
      <c r="AM50" s="13">
        <v>-1.441E-3</v>
      </c>
    </row>
    <row r="51" spans="1:39" ht="15" customHeight="1" x14ac:dyDescent="0.25">
      <c r="A51" s="7" t="s">
        <v>716</v>
      </c>
      <c r="B51" s="11" t="s">
        <v>717</v>
      </c>
      <c r="C51" s="12">
        <v>35.707169</v>
      </c>
      <c r="D51" s="12">
        <v>34.216869000000003</v>
      </c>
      <c r="E51" s="12">
        <v>34.294120999999997</v>
      </c>
      <c r="F51" s="12">
        <v>34.416381999999999</v>
      </c>
      <c r="G51" s="12">
        <v>34.750529999999998</v>
      </c>
      <c r="H51" s="12">
        <v>36.123699000000002</v>
      </c>
      <c r="I51" s="12">
        <v>37.645229</v>
      </c>
      <c r="J51" s="12">
        <v>38.736691</v>
      </c>
      <c r="K51" s="12">
        <v>39.835030000000003</v>
      </c>
      <c r="L51" s="12">
        <v>40.859878999999999</v>
      </c>
      <c r="M51" s="12">
        <v>41.295051999999998</v>
      </c>
      <c r="N51" s="12">
        <v>41.345981999999999</v>
      </c>
      <c r="O51" s="12">
        <v>41.589908999999999</v>
      </c>
      <c r="P51" s="12">
        <v>41.917819999999999</v>
      </c>
      <c r="Q51" s="12">
        <v>42.181640999999999</v>
      </c>
      <c r="R51" s="12">
        <v>42.259498999999998</v>
      </c>
      <c r="S51" s="12">
        <v>42.256779000000002</v>
      </c>
      <c r="T51" s="12">
        <v>42.212440000000001</v>
      </c>
      <c r="U51" s="12">
        <v>42.516089999999998</v>
      </c>
      <c r="V51" s="12">
        <v>42.782429</v>
      </c>
      <c r="W51" s="12">
        <v>42.894641999999997</v>
      </c>
      <c r="X51" s="12">
        <v>43.019150000000003</v>
      </c>
      <c r="Y51" s="12">
        <v>43.338970000000003</v>
      </c>
      <c r="Z51" s="12">
        <v>43.813899999999997</v>
      </c>
      <c r="AA51" s="12">
        <v>43.994410999999999</v>
      </c>
      <c r="AB51" s="12">
        <v>44.238318999999997</v>
      </c>
      <c r="AC51" s="12">
        <v>44.506351000000002</v>
      </c>
      <c r="AD51" s="12">
        <v>44.809108999999999</v>
      </c>
      <c r="AE51" s="12">
        <v>44.826908000000003</v>
      </c>
      <c r="AF51" s="12">
        <v>44.983131</v>
      </c>
      <c r="AG51" s="12">
        <v>44.961880000000001</v>
      </c>
      <c r="AH51" s="12">
        <v>44.911301000000002</v>
      </c>
      <c r="AI51" s="12">
        <v>44.936450999999998</v>
      </c>
      <c r="AJ51" s="12">
        <v>45.022148000000001</v>
      </c>
      <c r="AK51" s="12">
        <v>45.276038999999997</v>
      </c>
      <c r="AL51" s="12">
        <v>45.390030000000003</v>
      </c>
      <c r="AM51" s="13">
        <v>8.3459999999999993E-3</v>
      </c>
    </row>
    <row r="52" spans="1:39" ht="15" customHeight="1" x14ac:dyDescent="0.25">
      <c r="A52" s="7" t="s">
        <v>718</v>
      </c>
      <c r="B52" s="11" t="s">
        <v>719</v>
      </c>
      <c r="C52" s="12">
        <v>86.883942000000005</v>
      </c>
      <c r="D52" s="12">
        <v>88.383904000000001</v>
      </c>
      <c r="E52" s="12">
        <v>89.497542999999993</v>
      </c>
      <c r="F52" s="12">
        <v>90.595100000000002</v>
      </c>
      <c r="G52" s="12">
        <v>92.526871</v>
      </c>
      <c r="H52" s="12">
        <v>96.217406999999994</v>
      </c>
      <c r="I52" s="12">
        <v>100.3526</v>
      </c>
      <c r="J52" s="12">
        <v>103.579201</v>
      </c>
      <c r="K52" s="12">
        <v>105.82910200000001</v>
      </c>
      <c r="L52" s="12">
        <v>107.910004</v>
      </c>
      <c r="M52" s="12">
        <v>108.7323</v>
      </c>
      <c r="N52" s="12">
        <v>108.72429700000001</v>
      </c>
      <c r="O52" s="12">
        <v>109.781898</v>
      </c>
      <c r="P52" s="12">
        <v>111.432602</v>
      </c>
      <c r="Q52" s="12">
        <v>112.815399</v>
      </c>
      <c r="R52" s="12">
        <v>114.153099</v>
      </c>
      <c r="S52" s="12">
        <v>115.55639600000001</v>
      </c>
      <c r="T52" s="12">
        <v>117.040199</v>
      </c>
      <c r="U52" s="12">
        <v>119.38510100000001</v>
      </c>
      <c r="V52" s="12">
        <v>121.89160200000001</v>
      </c>
      <c r="W52" s="12">
        <v>124.63099699999999</v>
      </c>
      <c r="X52" s="12">
        <v>127.48809799999999</v>
      </c>
      <c r="Y52" s="12">
        <v>130.89329499999999</v>
      </c>
      <c r="Z52" s="12">
        <v>134.94039900000001</v>
      </c>
      <c r="AA52" s="12">
        <v>138.786407</v>
      </c>
      <c r="AB52" s="12">
        <v>142.51280199999999</v>
      </c>
      <c r="AC52" s="12">
        <v>146.360107</v>
      </c>
      <c r="AD52" s="12">
        <v>150.53729200000001</v>
      </c>
      <c r="AE52" s="12">
        <v>154.83360300000001</v>
      </c>
      <c r="AF52" s="12">
        <v>158.72560100000001</v>
      </c>
      <c r="AG52" s="12">
        <v>162.64750699999999</v>
      </c>
      <c r="AH52" s="12">
        <v>166.64570599999999</v>
      </c>
      <c r="AI52" s="12">
        <v>170.24499499999999</v>
      </c>
      <c r="AJ52" s="12">
        <v>173.92649800000001</v>
      </c>
      <c r="AK52" s="12">
        <v>178.057907</v>
      </c>
      <c r="AL52" s="12">
        <v>182.224197</v>
      </c>
      <c r="AM52" s="13">
        <v>2.1509E-2</v>
      </c>
    </row>
    <row r="53" spans="1:39" ht="15" customHeight="1" x14ac:dyDescent="0.25">
      <c r="A53" s="7" t="s">
        <v>720</v>
      </c>
      <c r="B53" s="11" t="s">
        <v>721</v>
      </c>
      <c r="C53" s="12">
        <v>355.25329599999998</v>
      </c>
      <c r="D53" s="12">
        <v>349.63330100000002</v>
      </c>
      <c r="E53" s="12">
        <v>363.42041</v>
      </c>
      <c r="F53" s="12">
        <v>365.44140599999997</v>
      </c>
      <c r="G53" s="12">
        <v>371.01660199999998</v>
      </c>
      <c r="H53" s="12">
        <v>384.30911300000002</v>
      </c>
      <c r="I53" s="12">
        <v>402.562408</v>
      </c>
      <c r="J53" s="12">
        <v>414.69570900000002</v>
      </c>
      <c r="K53" s="12">
        <v>421.20901500000002</v>
      </c>
      <c r="L53" s="12">
        <v>425.21508799999998</v>
      </c>
      <c r="M53" s="12">
        <v>420.25839200000001</v>
      </c>
      <c r="N53" s="12">
        <v>411.77230800000001</v>
      </c>
      <c r="O53" s="12">
        <v>417.15548699999999</v>
      </c>
      <c r="P53" s="12">
        <v>426.79870599999998</v>
      </c>
      <c r="Q53" s="12">
        <v>432.94641100000001</v>
      </c>
      <c r="R53" s="12">
        <v>437.90759300000002</v>
      </c>
      <c r="S53" s="12">
        <v>447.464111</v>
      </c>
      <c r="T53" s="12">
        <v>457.41241500000001</v>
      </c>
      <c r="U53" s="12">
        <v>476.529785</v>
      </c>
      <c r="V53" s="12">
        <v>485.00408900000002</v>
      </c>
      <c r="W53" s="12">
        <v>493.35330199999999</v>
      </c>
      <c r="X53" s="12">
        <v>497.99410999999998</v>
      </c>
      <c r="Y53" s="12">
        <v>508.78179899999998</v>
      </c>
      <c r="Z53" s="12">
        <v>519.77600099999995</v>
      </c>
      <c r="AA53" s="12">
        <v>524.89019800000005</v>
      </c>
      <c r="AB53" s="12">
        <v>534.49340800000004</v>
      </c>
      <c r="AC53" s="12">
        <v>545.92340100000001</v>
      </c>
      <c r="AD53" s="12">
        <v>555.50689699999998</v>
      </c>
      <c r="AE53" s="12">
        <v>563.77838099999997</v>
      </c>
      <c r="AF53" s="12">
        <v>572.19140600000003</v>
      </c>
      <c r="AG53" s="12">
        <v>585.08099400000003</v>
      </c>
      <c r="AH53" s="12">
        <v>597.54998799999998</v>
      </c>
      <c r="AI53" s="12">
        <v>605.50262499999997</v>
      </c>
      <c r="AJ53" s="12">
        <v>619.84252900000001</v>
      </c>
      <c r="AK53" s="12">
        <v>634.17871100000002</v>
      </c>
      <c r="AL53" s="12">
        <v>645.52819799999997</v>
      </c>
      <c r="AM53" s="13">
        <v>1.8197999999999999E-2</v>
      </c>
    </row>
    <row r="54" spans="1:39" ht="15" customHeight="1" x14ac:dyDescent="0.25">
      <c r="A54" s="7" t="s">
        <v>722</v>
      </c>
      <c r="B54" s="11" t="s">
        <v>723</v>
      </c>
      <c r="C54" s="12">
        <v>371.19680799999998</v>
      </c>
      <c r="D54" s="12">
        <v>352.85540800000001</v>
      </c>
      <c r="E54" s="12">
        <v>365.66738900000001</v>
      </c>
      <c r="F54" s="12">
        <v>377.72628800000001</v>
      </c>
      <c r="G54" s="12">
        <v>391.42700200000002</v>
      </c>
      <c r="H54" s="12">
        <v>420.14700299999998</v>
      </c>
      <c r="I54" s="12">
        <v>456.054688</v>
      </c>
      <c r="J54" s="12">
        <v>483.37380999999999</v>
      </c>
      <c r="K54" s="12">
        <v>502.84979199999998</v>
      </c>
      <c r="L54" s="12">
        <v>528.50518799999998</v>
      </c>
      <c r="M54" s="12">
        <v>546.58227499999998</v>
      </c>
      <c r="N54" s="12">
        <v>550.37170400000002</v>
      </c>
      <c r="O54" s="12">
        <v>562.04351799999995</v>
      </c>
      <c r="P54" s="12">
        <v>579.56561299999998</v>
      </c>
      <c r="Q54" s="12">
        <v>597.20660399999997</v>
      </c>
      <c r="R54" s="12">
        <v>611.42230199999995</v>
      </c>
      <c r="S54" s="12">
        <v>626.62237500000003</v>
      </c>
      <c r="T54" s="12">
        <v>644.35418700000002</v>
      </c>
      <c r="U54" s="12">
        <v>670.99041699999998</v>
      </c>
      <c r="V54" s="12">
        <v>695.32428000000004</v>
      </c>
      <c r="W54" s="12">
        <v>716.05712900000003</v>
      </c>
      <c r="X54" s="12">
        <v>736.70007299999997</v>
      </c>
      <c r="Y54" s="12">
        <v>762.99218800000006</v>
      </c>
      <c r="Z54" s="12">
        <v>795.59558100000004</v>
      </c>
      <c r="AA54" s="12">
        <v>822.84320100000002</v>
      </c>
      <c r="AB54" s="12">
        <v>848.80450399999995</v>
      </c>
      <c r="AC54" s="12">
        <v>880.45892300000003</v>
      </c>
      <c r="AD54" s="12">
        <v>913.80718999999999</v>
      </c>
      <c r="AE54" s="12">
        <v>944.10180700000001</v>
      </c>
      <c r="AF54" s="12">
        <v>972.38568099999998</v>
      </c>
      <c r="AG54" s="12">
        <v>1000.575989</v>
      </c>
      <c r="AH54" s="12">
        <v>1029.406982</v>
      </c>
      <c r="AI54" s="12">
        <v>1055.3950199999999</v>
      </c>
      <c r="AJ54" s="12">
        <v>1082.3979489999999</v>
      </c>
      <c r="AK54" s="12">
        <v>1115.880981</v>
      </c>
      <c r="AL54" s="12">
        <v>1145.1829829999999</v>
      </c>
      <c r="AM54" s="13">
        <v>3.5231999999999999E-2</v>
      </c>
    </row>
    <row r="55" spans="1:39" ht="15" customHeight="1" x14ac:dyDescent="0.25">
      <c r="A55" s="7" t="s">
        <v>724</v>
      </c>
      <c r="B55" s="11" t="s">
        <v>725</v>
      </c>
      <c r="C55" s="12">
        <v>324.88668799999999</v>
      </c>
      <c r="D55" s="12">
        <v>328.77560399999999</v>
      </c>
      <c r="E55" s="12">
        <v>341.78869600000002</v>
      </c>
      <c r="F55" s="12">
        <v>354.35360700000001</v>
      </c>
      <c r="G55" s="12">
        <v>362.15210000000002</v>
      </c>
      <c r="H55" s="12">
        <v>375.57809400000002</v>
      </c>
      <c r="I55" s="12">
        <v>391.626892</v>
      </c>
      <c r="J55" s="12">
        <v>406.86230499999999</v>
      </c>
      <c r="K55" s="12">
        <v>419.089294</v>
      </c>
      <c r="L55" s="12">
        <v>432.89621</v>
      </c>
      <c r="M55" s="12">
        <v>442.46249399999999</v>
      </c>
      <c r="N55" s="12">
        <v>446.54629499999999</v>
      </c>
      <c r="O55" s="12">
        <v>458.31338499999998</v>
      </c>
      <c r="P55" s="12">
        <v>473.984711</v>
      </c>
      <c r="Q55" s="12">
        <v>488.68319700000001</v>
      </c>
      <c r="R55" s="12">
        <v>502.05230699999998</v>
      </c>
      <c r="S55" s="12">
        <v>516.83837900000003</v>
      </c>
      <c r="T55" s="12">
        <v>532.73211700000002</v>
      </c>
      <c r="U55" s="12">
        <v>551.48791500000004</v>
      </c>
      <c r="V55" s="12">
        <v>569.551514</v>
      </c>
      <c r="W55" s="12">
        <v>586.01068099999998</v>
      </c>
      <c r="X55" s="12">
        <v>600.53729199999998</v>
      </c>
      <c r="Y55" s="12">
        <v>616.56097399999999</v>
      </c>
      <c r="Z55" s="12">
        <v>633.58581500000003</v>
      </c>
      <c r="AA55" s="12">
        <v>647.07372999999995</v>
      </c>
      <c r="AB55" s="12">
        <v>659.62676999999996</v>
      </c>
      <c r="AC55" s="12">
        <v>674.62237500000003</v>
      </c>
      <c r="AD55" s="12">
        <v>691.14141800000004</v>
      </c>
      <c r="AE55" s="12">
        <v>706.57867399999998</v>
      </c>
      <c r="AF55" s="12">
        <v>720.71661400000005</v>
      </c>
      <c r="AG55" s="12">
        <v>735.18481399999996</v>
      </c>
      <c r="AH55" s="12">
        <v>749.37591599999996</v>
      </c>
      <c r="AI55" s="12">
        <v>762.84478799999999</v>
      </c>
      <c r="AJ55" s="12">
        <v>777.78808600000002</v>
      </c>
      <c r="AK55" s="12">
        <v>795.77539100000001</v>
      </c>
      <c r="AL55" s="12">
        <v>812.96948199999997</v>
      </c>
      <c r="AM55" s="13">
        <v>2.6984999999999999E-2</v>
      </c>
    </row>
    <row r="56" spans="1:39" ht="15" customHeight="1" x14ac:dyDescent="0.25">
      <c r="A56" s="7" t="s">
        <v>726</v>
      </c>
      <c r="B56" s="11" t="s">
        <v>727</v>
      </c>
      <c r="C56" s="12">
        <v>903.53887899999995</v>
      </c>
      <c r="D56" s="12">
        <v>925.88372800000002</v>
      </c>
      <c r="E56" s="12">
        <v>1054.2919919999999</v>
      </c>
      <c r="F56" s="12">
        <v>1060.2120359999999</v>
      </c>
      <c r="G56" s="12">
        <v>1072.0770259999999</v>
      </c>
      <c r="H56" s="12">
        <v>1089.8120120000001</v>
      </c>
      <c r="I56" s="12">
        <v>1104.1770019999999</v>
      </c>
      <c r="J56" s="12">
        <v>1112.723999</v>
      </c>
      <c r="K56" s="12">
        <v>1131.6920170000001</v>
      </c>
      <c r="L56" s="12">
        <v>1153.295044</v>
      </c>
      <c r="M56" s="12">
        <v>1154.790039</v>
      </c>
      <c r="N56" s="12">
        <v>1157.040039</v>
      </c>
      <c r="O56" s="12">
        <v>1176.9339600000001</v>
      </c>
      <c r="P56" s="12">
        <v>1199.366943</v>
      </c>
      <c r="Q56" s="12">
        <v>1221.3270259999999</v>
      </c>
      <c r="R56" s="12">
        <v>1234.385986</v>
      </c>
      <c r="S56" s="12">
        <v>1246.8900149999999</v>
      </c>
      <c r="T56" s="12">
        <v>1265.8210449999999</v>
      </c>
      <c r="U56" s="12">
        <v>1296.786987</v>
      </c>
      <c r="V56" s="12">
        <v>1331.890991</v>
      </c>
      <c r="W56" s="12">
        <v>1376.964966</v>
      </c>
      <c r="X56" s="12">
        <v>1414.6669919999999</v>
      </c>
      <c r="Y56" s="12">
        <v>1459.0639650000001</v>
      </c>
      <c r="Z56" s="12">
        <v>1512.901001</v>
      </c>
      <c r="AA56" s="12">
        <v>1558.7829589999999</v>
      </c>
      <c r="AB56" s="12">
        <v>1602.862061</v>
      </c>
      <c r="AC56" s="12">
        <v>1642.514038</v>
      </c>
      <c r="AD56" s="12">
        <v>1693.373047</v>
      </c>
      <c r="AE56" s="12">
        <v>1753.883057</v>
      </c>
      <c r="AF56" s="12">
        <v>1807.0610349999999</v>
      </c>
      <c r="AG56" s="12">
        <v>1859.151001</v>
      </c>
      <c r="AH56" s="12">
        <v>1916.390991</v>
      </c>
      <c r="AI56" s="12">
        <v>1968.5469969999999</v>
      </c>
      <c r="AJ56" s="12">
        <v>2025.7320560000001</v>
      </c>
      <c r="AK56" s="12">
        <v>2087.5500489999999</v>
      </c>
      <c r="AL56" s="12">
        <v>2153.3950199999999</v>
      </c>
      <c r="AM56" s="13">
        <v>2.5135999999999999E-2</v>
      </c>
    </row>
    <row r="57" spans="1:39" ht="15" customHeight="1" x14ac:dyDescent="0.25">
      <c r="A57" s="7" t="s">
        <v>728</v>
      </c>
      <c r="B57" s="11" t="s">
        <v>729</v>
      </c>
      <c r="C57" s="12">
        <v>118.642403</v>
      </c>
      <c r="D57" s="12">
        <v>121.391296</v>
      </c>
      <c r="E57" s="12">
        <v>125.02220199999999</v>
      </c>
      <c r="F57" s="12">
        <v>128.77619899999999</v>
      </c>
      <c r="G57" s="12">
        <v>132.78329500000001</v>
      </c>
      <c r="H57" s="12">
        <v>136.29480000000001</v>
      </c>
      <c r="I57" s="12">
        <v>140.26710499999999</v>
      </c>
      <c r="J57" s="12">
        <v>145.503006</v>
      </c>
      <c r="K57" s="12">
        <v>150.31779499999999</v>
      </c>
      <c r="L57" s="12">
        <v>155.23379499999999</v>
      </c>
      <c r="M57" s="12">
        <v>159.15789799999999</v>
      </c>
      <c r="N57" s="12">
        <v>161.69670099999999</v>
      </c>
      <c r="O57" s="12">
        <v>166.006699</v>
      </c>
      <c r="P57" s="12">
        <v>171.665695</v>
      </c>
      <c r="Q57" s="12">
        <v>177.53540000000001</v>
      </c>
      <c r="R57" s="12">
        <v>182.65550200000001</v>
      </c>
      <c r="S57" s="12">
        <v>188.187805</v>
      </c>
      <c r="T57" s="12">
        <v>194.358307</v>
      </c>
      <c r="U57" s="12">
        <v>200.61489900000001</v>
      </c>
      <c r="V57" s="12">
        <v>207.22709699999999</v>
      </c>
      <c r="W57" s="12">
        <v>213.945404</v>
      </c>
      <c r="X57" s="12">
        <v>220.55600000000001</v>
      </c>
      <c r="Y57" s="12">
        <v>226.68330399999999</v>
      </c>
      <c r="Z57" s="12">
        <v>233.09509299999999</v>
      </c>
      <c r="AA57" s="12">
        <v>239.39450099999999</v>
      </c>
      <c r="AB57" s="12">
        <v>245.79220599999999</v>
      </c>
      <c r="AC57" s="12">
        <v>252.24220299999999</v>
      </c>
      <c r="AD57" s="12">
        <v>259.28369099999998</v>
      </c>
      <c r="AE57" s="12">
        <v>267.191101</v>
      </c>
      <c r="AF57" s="12">
        <v>275.00518799999998</v>
      </c>
      <c r="AG57" s="12">
        <v>282.382812</v>
      </c>
      <c r="AH57" s="12">
        <v>288.86630200000002</v>
      </c>
      <c r="AI57" s="12">
        <v>295.40579200000002</v>
      </c>
      <c r="AJ57" s="12">
        <v>302.66799900000001</v>
      </c>
      <c r="AK57" s="12">
        <v>311.11050399999999</v>
      </c>
      <c r="AL57" s="12">
        <v>319.283997</v>
      </c>
      <c r="AM57" s="13">
        <v>2.8851000000000002E-2</v>
      </c>
    </row>
    <row r="58" spans="1:39" ht="15" customHeight="1" x14ac:dyDescent="0.25">
      <c r="A58" s="7" t="s">
        <v>730</v>
      </c>
      <c r="B58" s="11" t="s">
        <v>731</v>
      </c>
      <c r="C58" s="12">
        <v>158.15190100000001</v>
      </c>
      <c r="D58" s="12">
        <v>163.45019500000001</v>
      </c>
      <c r="E58" s="12">
        <v>171.390106</v>
      </c>
      <c r="F58" s="12">
        <v>179.61810299999999</v>
      </c>
      <c r="G58" s="12">
        <v>184.56959499999999</v>
      </c>
      <c r="H58" s="12">
        <v>190.526703</v>
      </c>
      <c r="I58" s="12">
        <v>197.29170199999999</v>
      </c>
      <c r="J58" s="12">
        <v>205.02340699999999</v>
      </c>
      <c r="K58" s="12">
        <v>212.794693</v>
      </c>
      <c r="L58" s="12">
        <v>220.74929800000001</v>
      </c>
      <c r="M58" s="12">
        <v>228.41799900000001</v>
      </c>
      <c r="N58" s="12">
        <v>235.42210399999999</v>
      </c>
      <c r="O58" s="12">
        <v>241.71549999999999</v>
      </c>
      <c r="P58" s="12">
        <v>248.248795</v>
      </c>
      <c r="Q58" s="12">
        <v>255.04130599999999</v>
      </c>
      <c r="R58" s="12">
        <v>261.83340500000003</v>
      </c>
      <c r="S58" s="12">
        <v>268.48040800000001</v>
      </c>
      <c r="T58" s="12">
        <v>275.13580300000001</v>
      </c>
      <c r="U58" s="12">
        <v>282.02819799999997</v>
      </c>
      <c r="V58" s="12">
        <v>289.530396</v>
      </c>
      <c r="W58" s="12">
        <v>297.23980699999998</v>
      </c>
      <c r="X58" s="12">
        <v>305.07128899999998</v>
      </c>
      <c r="Y58" s="12">
        <v>312.82620200000002</v>
      </c>
      <c r="Z58" s="12">
        <v>320.78750600000001</v>
      </c>
      <c r="AA58" s="12">
        <v>328.68869000000001</v>
      </c>
      <c r="AB58" s="12">
        <v>336.465912</v>
      </c>
      <c r="AC58" s="12">
        <v>344.11190800000003</v>
      </c>
      <c r="AD58" s="12">
        <v>351.66821299999998</v>
      </c>
      <c r="AE58" s="12">
        <v>359.47409099999999</v>
      </c>
      <c r="AF58" s="12">
        <v>367.43188500000002</v>
      </c>
      <c r="AG58" s="12">
        <v>375.33059700000001</v>
      </c>
      <c r="AH58" s="12">
        <v>383.192902</v>
      </c>
      <c r="AI58" s="12">
        <v>391.21810900000003</v>
      </c>
      <c r="AJ58" s="12">
        <v>399.23941000000002</v>
      </c>
      <c r="AK58" s="12">
        <v>407.39950599999997</v>
      </c>
      <c r="AL58" s="12">
        <v>415.59759500000001</v>
      </c>
      <c r="AM58" s="13">
        <v>2.7827999999999999E-2</v>
      </c>
    </row>
    <row r="60" spans="1:39" ht="15" customHeight="1" x14ac:dyDescent="0.25">
      <c r="A60" s="7" t="s">
        <v>732</v>
      </c>
      <c r="B60" s="10" t="s">
        <v>733</v>
      </c>
      <c r="C60" s="14">
        <v>7373.6572269999997</v>
      </c>
      <c r="D60" s="14">
        <v>7453.439453</v>
      </c>
      <c r="E60" s="14">
        <v>7879.9487300000001</v>
      </c>
      <c r="F60" s="14">
        <v>8057.5712890000004</v>
      </c>
      <c r="G60" s="14">
        <v>8187.0034180000002</v>
      </c>
      <c r="H60" s="14">
        <v>8345.3710940000001</v>
      </c>
      <c r="I60" s="14">
        <v>8541.1542969999991</v>
      </c>
      <c r="J60" s="14">
        <v>8725.5107420000004</v>
      </c>
      <c r="K60" s="14">
        <v>8895.7148440000001</v>
      </c>
      <c r="L60" s="14">
        <v>9054.9951170000004</v>
      </c>
      <c r="M60" s="14">
        <v>9146.625</v>
      </c>
      <c r="N60" s="14">
        <v>9187.6005860000005</v>
      </c>
      <c r="O60" s="14">
        <v>9277.4824219999991</v>
      </c>
      <c r="P60" s="14">
        <v>9402.3662110000005</v>
      </c>
      <c r="Q60" s="14">
        <v>9529.2763670000004</v>
      </c>
      <c r="R60" s="14">
        <v>9655.3261719999991</v>
      </c>
      <c r="S60" s="14">
        <v>9782.1308590000008</v>
      </c>
      <c r="T60" s="14">
        <v>9900.8525389999995</v>
      </c>
      <c r="U60" s="14">
        <v>10066.594727</v>
      </c>
      <c r="V60" s="14">
        <v>10268.724609000001</v>
      </c>
      <c r="W60" s="14">
        <v>10475.728515999999</v>
      </c>
      <c r="X60" s="14">
        <v>10660.493164</v>
      </c>
      <c r="Y60" s="14">
        <v>10863.242188</v>
      </c>
      <c r="Z60" s="14">
        <v>11098.891602</v>
      </c>
      <c r="AA60" s="14">
        <v>11293.282227</v>
      </c>
      <c r="AB60" s="14">
        <v>11490.916992</v>
      </c>
      <c r="AC60" s="14">
        <v>11701.945312</v>
      </c>
      <c r="AD60" s="14">
        <v>11918.263671999999</v>
      </c>
      <c r="AE60" s="14">
        <v>12160.557617</v>
      </c>
      <c r="AF60" s="14">
        <v>12395.129883</v>
      </c>
      <c r="AG60" s="14">
        <v>12629.050781</v>
      </c>
      <c r="AH60" s="14">
        <v>12871.939453000001</v>
      </c>
      <c r="AI60" s="14">
        <v>13096.238281</v>
      </c>
      <c r="AJ60" s="14">
        <v>13324.597656</v>
      </c>
      <c r="AK60" s="14">
        <v>13575.392578000001</v>
      </c>
      <c r="AL60" s="14">
        <v>13836.375977</v>
      </c>
      <c r="AM60" s="15">
        <v>1.8360999999999999E-2</v>
      </c>
    </row>
    <row r="61" spans="1:39" ht="15" customHeight="1" thickBot="1" x14ac:dyDescent="0.3"/>
    <row r="62" spans="1:39" ht="15" customHeight="1" x14ac:dyDescent="0.25">
      <c r="B62" s="364" t="s">
        <v>734</v>
      </c>
      <c r="C62" s="364"/>
      <c r="D62" s="364"/>
      <c r="E62" s="364"/>
      <c r="F62" s="364"/>
      <c r="G62" s="364"/>
      <c r="H62" s="364"/>
      <c r="I62" s="364"/>
      <c r="J62" s="364"/>
      <c r="K62" s="364"/>
      <c r="L62" s="364"/>
      <c r="M62" s="364"/>
      <c r="N62" s="364"/>
      <c r="O62" s="364"/>
      <c r="P62" s="364"/>
      <c r="Q62" s="364"/>
      <c r="R62" s="364"/>
      <c r="S62" s="364"/>
      <c r="T62" s="364"/>
      <c r="U62" s="364"/>
      <c r="V62" s="364"/>
      <c r="W62" s="364"/>
      <c r="X62" s="364"/>
      <c r="Y62" s="364"/>
      <c r="Z62" s="364"/>
      <c r="AA62" s="364"/>
      <c r="AB62" s="364"/>
      <c r="AC62" s="364"/>
      <c r="AD62" s="364"/>
      <c r="AE62" s="364"/>
      <c r="AF62" s="364"/>
      <c r="AG62" s="364"/>
      <c r="AH62" s="364"/>
      <c r="AI62" s="364"/>
      <c r="AJ62" s="364"/>
      <c r="AK62" s="364"/>
      <c r="AL62" s="364"/>
      <c r="AM62" s="364"/>
    </row>
    <row r="63" spans="1:39" ht="15" customHeight="1" x14ac:dyDescent="0.25">
      <c r="B63" s="18" t="s">
        <v>735</v>
      </c>
    </row>
    <row r="64" spans="1:39" ht="15" customHeight="1" x14ac:dyDescent="0.25">
      <c r="B64" s="18" t="s">
        <v>736</v>
      </c>
    </row>
  </sheetData>
  <mergeCells count="1">
    <mergeCell ref="B62:AM6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5" tint="0.79998168889431442"/>
  </sheetPr>
  <dimension ref="A1:AM48"/>
  <sheetViews>
    <sheetView topLeftCell="B1" workbookViewId="0">
      <selection activeCell="E37" sqref="E37"/>
    </sheetView>
  </sheetViews>
  <sheetFormatPr defaultRowHeight="15" x14ac:dyDescent="0.25"/>
  <cols>
    <col min="1" max="1" width="20.85546875" hidden="1" customWidth="1"/>
    <col min="2" max="2" width="45.7109375" customWidth="1"/>
  </cols>
  <sheetData>
    <row r="1" spans="1:39" ht="15" customHeight="1" thickBot="1" x14ac:dyDescent="0.3">
      <c r="B1" s="4" t="s">
        <v>502</v>
      </c>
      <c r="C1" s="5">
        <v>2015</v>
      </c>
      <c r="D1" s="5">
        <v>2016</v>
      </c>
      <c r="E1" s="5">
        <v>2017</v>
      </c>
      <c r="F1" s="5">
        <v>2018</v>
      </c>
      <c r="G1" s="5">
        <v>2019</v>
      </c>
      <c r="H1" s="5">
        <v>2020</v>
      </c>
      <c r="I1" s="5">
        <v>2021</v>
      </c>
      <c r="J1" s="5">
        <v>2022</v>
      </c>
      <c r="K1" s="5">
        <v>2023</v>
      </c>
      <c r="L1" s="5">
        <v>2024</v>
      </c>
      <c r="M1" s="5">
        <v>2025</v>
      </c>
      <c r="N1" s="5">
        <v>2026</v>
      </c>
      <c r="O1" s="5">
        <v>2027</v>
      </c>
      <c r="P1" s="5">
        <v>2028</v>
      </c>
      <c r="Q1" s="5">
        <v>2029</v>
      </c>
      <c r="R1" s="5">
        <v>2030</v>
      </c>
      <c r="S1" s="5">
        <v>2031</v>
      </c>
      <c r="T1" s="5">
        <v>2032</v>
      </c>
      <c r="U1" s="5">
        <v>2033</v>
      </c>
      <c r="V1" s="5">
        <v>2034</v>
      </c>
      <c r="W1" s="5">
        <v>2035</v>
      </c>
      <c r="X1" s="5">
        <v>2036</v>
      </c>
      <c r="Y1" s="5">
        <v>2037</v>
      </c>
      <c r="Z1" s="5">
        <v>2038</v>
      </c>
      <c r="AA1" s="5">
        <v>2039</v>
      </c>
      <c r="AB1" s="5">
        <v>2040</v>
      </c>
      <c r="AC1" s="5">
        <v>2041</v>
      </c>
      <c r="AD1" s="5">
        <v>2042</v>
      </c>
      <c r="AE1" s="5">
        <v>2043</v>
      </c>
      <c r="AF1" s="5">
        <v>2044</v>
      </c>
      <c r="AG1" s="5">
        <v>2045</v>
      </c>
      <c r="AH1" s="5">
        <v>2046</v>
      </c>
      <c r="AI1" s="5">
        <v>2047</v>
      </c>
      <c r="AJ1" s="5">
        <v>2048</v>
      </c>
      <c r="AK1" s="5">
        <v>2049</v>
      </c>
      <c r="AL1" s="5">
        <v>2050</v>
      </c>
    </row>
    <row r="2" spans="1:39" ht="15.75" thickTop="1" x14ac:dyDescent="0.25"/>
    <row r="3" spans="1:39" x14ac:dyDescent="0.25">
      <c r="C3" s="6" t="s">
        <v>16</v>
      </c>
      <c r="D3" s="6" t="s">
        <v>17</v>
      </c>
      <c r="E3" s="6"/>
      <c r="F3" s="6"/>
      <c r="G3" s="6"/>
    </row>
    <row r="4" spans="1:39" x14ac:dyDescent="0.25">
      <c r="C4" s="6" t="s">
        <v>18</v>
      </c>
      <c r="D4" s="6" t="s">
        <v>503</v>
      </c>
      <c r="E4" s="6"/>
      <c r="F4" s="6"/>
      <c r="G4" s="6" t="s">
        <v>504</v>
      </c>
    </row>
    <row r="5" spans="1:39" x14ac:dyDescent="0.25">
      <c r="C5" s="6" t="s">
        <v>21</v>
      </c>
      <c r="D5" s="6" t="s">
        <v>22</v>
      </c>
      <c r="E5" s="6"/>
      <c r="F5" s="6"/>
      <c r="G5" s="6"/>
    </row>
    <row r="6" spans="1:39" x14ac:dyDescent="0.25">
      <c r="C6" s="6" t="s">
        <v>23</v>
      </c>
      <c r="D6" s="6"/>
      <c r="E6" s="6" t="s">
        <v>24</v>
      </c>
      <c r="F6" s="6"/>
      <c r="G6" s="6"/>
    </row>
    <row r="10" spans="1:39" ht="15.75" x14ac:dyDescent="0.25">
      <c r="A10" s="7" t="s">
        <v>1542</v>
      </c>
      <c r="B10" s="8" t="s">
        <v>1543</v>
      </c>
    </row>
    <row r="11" spans="1:39" x14ac:dyDescent="0.25">
      <c r="B11" s="4" t="s">
        <v>27</v>
      </c>
    </row>
    <row r="12" spans="1:39" x14ac:dyDescent="0.25">
      <c r="B12" s="4" t="s">
        <v>27</v>
      </c>
      <c r="C12" s="9" t="s">
        <v>27</v>
      </c>
      <c r="D12" s="9" t="s">
        <v>27</v>
      </c>
      <c r="E12" s="9" t="s">
        <v>27</v>
      </c>
      <c r="F12" s="9" t="s">
        <v>27</v>
      </c>
      <c r="G12" s="9" t="s">
        <v>27</v>
      </c>
      <c r="H12" s="9" t="s">
        <v>27</v>
      </c>
      <c r="I12" s="9" t="s">
        <v>27</v>
      </c>
      <c r="J12" s="9" t="s">
        <v>27</v>
      </c>
      <c r="K12" s="9" t="s">
        <v>27</v>
      </c>
      <c r="L12" s="9" t="s">
        <v>27</v>
      </c>
      <c r="M12" s="9" t="s">
        <v>27</v>
      </c>
      <c r="N12" s="9" t="s">
        <v>27</v>
      </c>
      <c r="O12" s="9" t="s">
        <v>27</v>
      </c>
      <c r="P12" s="9" t="s">
        <v>27</v>
      </c>
      <c r="Q12" s="9" t="s">
        <v>27</v>
      </c>
      <c r="R12" s="9" t="s">
        <v>27</v>
      </c>
      <c r="S12" s="9" t="s">
        <v>27</v>
      </c>
      <c r="T12" s="9" t="s">
        <v>27</v>
      </c>
      <c r="U12" s="9" t="s">
        <v>27</v>
      </c>
      <c r="V12" s="9" t="s">
        <v>27</v>
      </c>
      <c r="W12" s="9" t="s">
        <v>27</v>
      </c>
      <c r="X12" s="9" t="s">
        <v>27</v>
      </c>
      <c r="Y12" s="9" t="s">
        <v>27</v>
      </c>
      <c r="Z12" s="9" t="s">
        <v>27</v>
      </c>
      <c r="AA12" s="9" t="s">
        <v>27</v>
      </c>
      <c r="AB12" s="9" t="s">
        <v>27</v>
      </c>
      <c r="AC12" s="9" t="s">
        <v>27</v>
      </c>
      <c r="AD12" s="9" t="s">
        <v>27</v>
      </c>
      <c r="AE12" s="9" t="s">
        <v>27</v>
      </c>
      <c r="AF12" s="9" t="s">
        <v>27</v>
      </c>
      <c r="AG12" s="9" t="s">
        <v>27</v>
      </c>
      <c r="AH12" s="9" t="s">
        <v>27</v>
      </c>
      <c r="AI12" s="9" t="s">
        <v>27</v>
      </c>
      <c r="AJ12" s="9" t="s">
        <v>27</v>
      </c>
      <c r="AK12" s="9" t="s">
        <v>27</v>
      </c>
      <c r="AL12" s="9" t="s">
        <v>27</v>
      </c>
      <c r="AM12" s="9" t="s">
        <v>28</v>
      </c>
    </row>
    <row r="13" spans="1:39" ht="15.75" thickBot="1" x14ac:dyDescent="0.3">
      <c r="B13" s="5" t="s">
        <v>1544</v>
      </c>
      <c r="C13" s="5">
        <v>2015</v>
      </c>
      <c r="D13" s="5">
        <v>2016</v>
      </c>
      <c r="E13" s="5">
        <v>2017</v>
      </c>
      <c r="F13" s="5">
        <v>2018</v>
      </c>
      <c r="G13" s="5">
        <v>2019</v>
      </c>
      <c r="H13" s="5">
        <v>2020</v>
      </c>
      <c r="I13" s="5">
        <v>2021</v>
      </c>
      <c r="J13" s="5">
        <v>2022</v>
      </c>
      <c r="K13" s="5">
        <v>2023</v>
      </c>
      <c r="L13" s="5">
        <v>2024</v>
      </c>
      <c r="M13" s="5">
        <v>2025</v>
      </c>
      <c r="N13" s="5">
        <v>2026</v>
      </c>
      <c r="O13" s="5">
        <v>2027</v>
      </c>
      <c r="P13" s="5">
        <v>2028</v>
      </c>
      <c r="Q13" s="5">
        <v>2029</v>
      </c>
      <c r="R13" s="5">
        <v>2030</v>
      </c>
      <c r="S13" s="5">
        <v>2031</v>
      </c>
      <c r="T13" s="5">
        <v>2032</v>
      </c>
      <c r="U13" s="5">
        <v>2033</v>
      </c>
      <c r="V13" s="5">
        <v>2034</v>
      </c>
      <c r="W13" s="5">
        <v>2035</v>
      </c>
      <c r="X13" s="5">
        <v>2036</v>
      </c>
      <c r="Y13" s="5">
        <v>2037</v>
      </c>
      <c r="Z13" s="5">
        <v>2038</v>
      </c>
      <c r="AA13" s="5">
        <v>2039</v>
      </c>
      <c r="AB13" s="5">
        <v>2040</v>
      </c>
      <c r="AC13" s="5">
        <v>2041</v>
      </c>
      <c r="AD13" s="5">
        <v>2042</v>
      </c>
      <c r="AE13" s="5">
        <v>2043</v>
      </c>
      <c r="AF13" s="5">
        <v>2044</v>
      </c>
      <c r="AG13" s="5">
        <v>2045</v>
      </c>
      <c r="AH13" s="5">
        <v>2046</v>
      </c>
      <c r="AI13" s="5">
        <v>2047</v>
      </c>
      <c r="AJ13" s="5">
        <v>2048</v>
      </c>
      <c r="AK13" s="5">
        <v>2049</v>
      </c>
      <c r="AL13" s="5">
        <v>2050</v>
      </c>
      <c r="AM13" s="5">
        <v>2050</v>
      </c>
    </row>
    <row r="14" spans="1:39" ht="15.75" thickTop="1" x14ac:dyDescent="0.25"/>
    <row r="15" spans="1:39" x14ac:dyDescent="0.25">
      <c r="B15" s="10" t="s">
        <v>1545</v>
      </c>
    </row>
    <row r="16" spans="1:39" x14ac:dyDescent="0.25">
      <c r="A16" s="7" t="s">
        <v>1546</v>
      </c>
      <c r="B16" s="11" t="s">
        <v>1547</v>
      </c>
      <c r="C16" s="16">
        <v>2.7183470000000001</v>
      </c>
      <c r="D16" s="16">
        <v>3.006453</v>
      </c>
      <c r="E16" s="16">
        <v>2.7289979999999998</v>
      </c>
      <c r="F16" s="16">
        <v>2.5606230000000001</v>
      </c>
      <c r="G16" s="16">
        <v>2.331337</v>
      </c>
      <c r="H16" s="16">
        <v>2.157975</v>
      </c>
      <c r="I16" s="16">
        <v>2.0250530000000002</v>
      </c>
      <c r="J16" s="16">
        <v>1.904247</v>
      </c>
      <c r="K16" s="16">
        <v>1.7830699999999999</v>
      </c>
      <c r="L16" s="16">
        <v>1.7380150000000001</v>
      </c>
      <c r="M16" s="16">
        <v>1.7024159999999999</v>
      </c>
      <c r="N16" s="16">
        <v>1.6766209999999999</v>
      </c>
      <c r="O16" s="16">
        <v>1.5955999999999999</v>
      </c>
      <c r="P16" s="16">
        <v>1.561499</v>
      </c>
      <c r="Q16" s="16">
        <v>1.4867790000000001</v>
      </c>
      <c r="R16" s="16">
        <v>1.446353</v>
      </c>
      <c r="S16" s="16">
        <v>1.4154929999999999</v>
      </c>
      <c r="T16" s="16">
        <v>1.4065000000000001</v>
      </c>
      <c r="U16" s="16">
        <v>1.3846799999999999</v>
      </c>
      <c r="V16" s="16">
        <v>1.363666</v>
      </c>
      <c r="W16" s="16">
        <v>1.3257129999999999</v>
      </c>
      <c r="X16" s="16">
        <v>1.2888489999999999</v>
      </c>
      <c r="Y16" s="16">
        <v>1.2729090000000001</v>
      </c>
      <c r="Z16" s="16">
        <v>1.2758119999999999</v>
      </c>
      <c r="AA16" s="16">
        <v>1.2778510000000001</v>
      </c>
      <c r="AB16" s="16">
        <v>1.277485</v>
      </c>
      <c r="AC16" s="16">
        <v>1.283342</v>
      </c>
      <c r="AD16" s="16">
        <v>1.27939</v>
      </c>
      <c r="AE16" s="16">
        <v>1.280254</v>
      </c>
      <c r="AF16" s="16">
        <v>1.280378</v>
      </c>
      <c r="AG16" s="16">
        <v>1.2816970000000001</v>
      </c>
      <c r="AH16" s="16">
        <v>1.2775030000000001</v>
      </c>
      <c r="AI16" s="16">
        <v>1.276138</v>
      </c>
      <c r="AJ16" s="16">
        <v>1.266605</v>
      </c>
      <c r="AK16" s="16">
        <v>1.2542679999999999</v>
      </c>
      <c r="AL16" s="16">
        <v>1.2561739999999999</v>
      </c>
      <c r="AM16" s="13">
        <v>-2.5340999999999999E-2</v>
      </c>
    </row>
    <row r="17" spans="1:39" x14ac:dyDescent="0.25">
      <c r="A17" s="7" t="s">
        <v>1548</v>
      </c>
      <c r="B17" s="11" t="s">
        <v>1549</v>
      </c>
      <c r="C17" s="16">
        <v>2.6263420000000002</v>
      </c>
      <c r="D17" s="16">
        <v>2.925014</v>
      </c>
      <c r="E17" s="16">
        <v>2.6551480000000001</v>
      </c>
      <c r="F17" s="16">
        <v>2.487323</v>
      </c>
      <c r="G17" s="16">
        <v>2.2670370000000002</v>
      </c>
      <c r="H17" s="16">
        <v>2.1026750000000001</v>
      </c>
      <c r="I17" s="16">
        <v>1.9697530000000001</v>
      </c>
      <c r="J17" s="16">
        <v>1.8489469999999999</v>
      </c>
      <c r="K17" s="16">
        <v>1.72777</v>
      </c>
      <c r="L17" s="16">
        <v>1.682715</v>
      </c>
      <c r="M17" s="16">
        <v>1.647116</v>
      </c>
      <c r="N17" s="16">
        <v>1.621321</v>
      </c>
      <c r="O17" s="16">
        <v>1.5403</v>
      </c>
      <c r="P17" s="16">
        <v>1.5061990000000001</v>
      </c>
      <c r="Q17" s="16">
        <v>1.4314789999999999</v>
      </c>
      <c r="R17" s="16">
        <v>1.3910530000000001</v>
      </c>
      <c r="S17" s="16">
        <v>1.360193</v>
      </c>
      <c r="T17" s="16">
        <v>1.3512</v>
      </c>
      <c r="U17" s="16">
        <v>1.32938</v>
      </c>
      <c r="V17" s="16">
        <v>1.3083659999999999</v>
      </c>
      <c r="W17" s="16">
        <v>1.270413</v>
      </c>
      <c r="X17" s="16">
        <v>1.233549</v>
      </c>
      <c r="Y17" s="16">
        <v>1.2176089999999999</v>
      </c>
      <c r="Z17" s="16">
        <v>1.220512</v>
      </c>
      <c r="AA17" s="16">
        <v>1.2225509999999999</v>
      </c>
      <c r="AB17" s="16">
        <v>1.2221850000000001</v>
      </c>
      <c r="AC17" s="16">
        <v>1.2280420000000001</v>
      </c>
      <c r="AD17" s="16">
        <v>1.2240899999999999</v>
      </c>
      <c r="AE17" s="16">
        <v>1.2249540000000001</v>
      </c>
      <c r="AF17" s="16">
        <v>1.2250779999999999</v>
      </c>
      <c r="AG17" s="16">
        <v>1.226397</v>
      </c>
      <c r="AH17" s="16">
        <v>1.2222029999999999</v>
      </c>
      <c r="AI17" s="16">
        <v>1.2208380000000001</v>
      </c>
      <c r="AJ17" s="16">
        <v>1.2113050000000001</v>
      </c>
      <c r="AK17" s="16">
        <v>1.198968</v>
      </c>
      <c r="AL17" s="16">
        <v>1.200874</v>
      </c>
      <c r="AM17" s="13">
        <v>-2.5843999999999999E-2</v>
      </c>
    </row>
    <row r="18" spans="1:39" x14ac:dyDescent="0.25">
      <c r="A18" s="7" t="s">
        <v>1550</v>
      </c>
      <c r="B18" s="11" t="s">
        <v>1551</v>
      </c>
      <c r="C18" s="16">
        <v>9.3199999999999999E-4</v>
      </c>
      <c r="D18" s="16">
        <v>9.19E-4</v>
      </c>
      <c r="E18" s="16">
        <v>8.4999999999999995E-4</v>
      </c>
      <c r="F18" s="16">
        <v>2.9999999999999997E-4</v>
      </c>
      <c r="G18" s="16">
        <v>2.9999999999999997E-4</v>
      </c>
      <c r="H18" s="16">
        <v>2.9999999999999997E-4</v>
      </c>
      <c r="I18" s="16">
        <v>2.9999999999999997E-4</v>
      </c>
      <c r="J18" s="16">
        <v>2.9999999999999997E-4</v>
      </c>
      <c r="K18" s="16">
        <v>2.9999999999999997E-4</v>
      </c>
      <c r="L18" s="16">
        <v>2.9999999999999997E-4</v>
      </c>
      <c r="M18" s="16">
        <v>2.9999999999999997E-4</v>
      </c>
      <c r="N18" s="16">
        <v>2.9999999999999997E-4</v>
      </c>
      <c r="O18" s="16">
        <v>2.9999999999999997E-4</v>
      </c>
      <c r="P18" s="16">
        <v>2.9999999999999997E-4</v>
      </c>
      <c r="Q18" s="16">
        <v>2.9999999999999997E-4</v>
      </c>
      <c r="R18" s="16">
        <v>2.9999999999999997E-4</v>
      </c>
      <c r="S18" s="16">
        <v>2.9999999999999997E-4</v>
      </c>
      <c r="T18" s="16">
        <v>2.9999999999999997E-4</v>
      </c>
      <c r="U18" s="16">
        <v>2.9999999999999997E-4</v>
      </c>
      <c r="V18" s="16">
        <v>2.9999999999999997E-4</v>
      </c>
      <c r="W18" s="16">
        <v>2.9999999999999997E-4</v>
      </c>
      <c r="X18" s="16">
        <v>2.9999999999999997E-4</v>
      </c>
      <c r="Y18" s="16">
        <v>2.9999999999999997E-4</v>
      </c>
      <c r="Z18" s="16">
        <v>2.9999999999999997E-4</v>
      </c>
      <c r="AA18" s="16">
        <v>2.9999999999999997E-4</v>
      </c>
      <c r="AB18" s="16">
        <v>2.9999999999999997E-4</v>
      </c>
      <c r="AC18" s="16">
        <v>2.9999999999999997E-4</v>
      </c>
      <c r="AD18" s="16">
        <v>2.9999999999999997E-4</v>
      </c>
      <c r="AE18" s="16">
        <v>2.9999999999999997E-4</v>
      </c>
      <c r="AF18" s="16">
        <v>2.9999999999999997E-4</v>
      </c>
      <c r="AG18" s="16">
        <v>2.9999999999999997E-4</v>
      </c>
      <c r="AH18" s="16">
        <v>2.9999999999999997E-4</v>
      </c>
      <c r="AI18" s="16">
        <v>2.9999999999999997E-4</v>
      </c>
      <c r="AJ18" s="16">
        <v>2.9999999999999997E-4</v>
      </c>
      <c r="AK18" s="16">
        <v>2.9999999999999997E-4</v>
      </c>
      <c r="AL18" s="16">
        <v>2.9999999999999997E-4</v>
      </c>
      <c r="AM18" s="13">
        <v>-3.2390000000000002E-2</v>
      </c>
    </row>
    <row r="19" spans="1:39" x14ac:dyDescent="0.25">
      <c r="A19" s="7" t="s">
        <v>1552</v>
      </c>
      <c r="B19" s="11" t="s">
        <v>1553</v>
      </c>
      <c r="C19" s="16">
        <v>0</v>
      </c>
      <c r="D19" s="16">
        <v>0</v>
      </c>
      <c r="E19" s="16">
        <v>0</v>
      </c>
      <c r="F19" s="16">
        <v>0</v>
      </c>
      <c r="G19" s="16">
        <v>0</v>
      </c>
      <c r="H19" s="16">
        <v>0</v>
      </c>
      <c r="I19" s="16">
        <v>0</v>
      </c>
      <c r="J19" s="16">
        <v>0</v>
      </c>
      <c r="K19" s="16">
        <v>0</v>
      </c>
      <c r="L19" s="16">
        <v>0</v>
      </c>
      <c r="M19" s="16">
        <v>0</v>
      </c>
      <c r="N19" s="16">
        <v>0</v>
      </c>
      <c r="O19" s="16">
        <v>0</v>
      </c>
      <c r="P19" s="16">
        <v>0</v>
      </c>
      <c r="Q19" s="16">
        <v>0</v>
      </c>
      <c r="R19" s="16">
        <v>0</v>
      </c>
      <c r="S19" s="16">
        <v>0</v>
      </c>
      <c r="T19" s="16">
        <v>0</v>
      </c>
      <c r="U19" s="16">
        <v>0</v>
      </c>
      <c r="V19" s="16">
        <v>0</v>
      </c>
      <c r="W19" s="16">
        <v>0</v>
      </c>
      <c r="X19" s="16">
        <v>0</v>
      </c>
      <c r="Y19" s="16">
        <v>0</v>
      </c>
      <c r="Z19" s="16">
        <v>0</v>
      </c>
      <c r="AA19" s="16">
        <v>0</v>
      </c>
      <c r="AB19" s="16">
        <v>0</v>
      </c>
      <c r="AC19" s="16">
        <v>0</v>
      </c>
      <c r="AD19" s="16">
        <v>0</v>
      </c>
      <c r="AE19" s="16">
        <v>0</v>
      </c>
      <c r="AF19" s="16">
        <v>0</v>
      </c>
      <c r="AG19" s="16">
        <v>0</v>
      </c>
      <c r="AH19" s="16">
        <v>0</v>
      </c>
      <c r="AI19" s="16">
        <v>0</v>
      </c>
      <c r="AJ19" s="16">
        <v>0</v>
      </c>
      <c r="AK19" s="16">
        <v>0</v>
      </c>
      <c r="AL19" s="16">
        <v>0</v>
      </c>
      <c r="AM19" s="13" t="s">
        <v>13</v>
      </c>
    </row>
    <row r="20" spans="1:39" x14ac:dyDescent="0.25">
      <c r="A20" s="7" t="s">
        <v>1554</v>
      </c>
      <c r="B20" s="11" t="s">
        <v>1555</v>
      </c>
      <c r="C20" s="16">
        <v>9.1073000000000001E-2</v>
      </c>
      <c r="D20" s="16">
        <v>8.0519999999999994E-2</v>
      </c>
      <c r="E20" s="16">
        <v>7.2999999999999995E-2</v>
      </c>
      <c r="F20" s="16">
        <v>7.2999999999999995E-2</v>
      </c>
      <c r="G20" s="16">
        <v>6.4000000000000001E-2</v>
      </c>
      <c r="H20" s="16">
        <v>5.5E-2</v>
      </c>
      <c r="I20" s="16">
        <v>5.5E-2</v>
      </c>
      <c r="J20" s="16">
        <v>5.5E-2</v>
      </c>
      <c r="K20" s="16">
        <v>5.5E-2</v>
      </c>
      <c r="L20" s="16">
        <v>5.5E-2</v>
      </c>
      <c r="M20" s="16">
        <v>5.5E-2</v>
      </c>
      <c r="N20" s="16">
        <v>5.5E-2</v>
      </c>
      <c r="O20" s="16">
        <v>5.5E-2</v>
      </c>
      <c r="P20" s="16">
        <v>5.5E-2</v>
      </c>
      <c r="Q20" s="16">
        <v>5.5E-2</v>
      </c>
      <c r="R20" s="16">
        <v>5.5E-2</v>
      </c>
      <c r="S20" s="16">
        <v>5.5E-2</v>
      </c>
      <c r="T20" s="16">
        <v>5.5E-2</v>
      </c>
      <c r="U20" s="16">
        <v>5.5E-2</v>
      </c>
      <c r="V20" s="16">
        <v>5.5E-2</v>
      </c>
      <c r="W20" s="16">
        <v>5.5E-2</v>
      </c>
      <c r="X20" s="16">
        <v>5.5E-2</v>
      </c>
      <c r="Y20" s="16">
        <v>5.5E-2</v>
      </c>
      <c r="Z20" s="16">
        <v>5.5E-2</v>
      </c>
      <c r="AA20" s="16">
        <v>5.5E-2</v>
      </c>
      <c r="AB20" s="16">
        <v>5.5E-2</v>
      </c>
      <c r="AC20" s="16">
        <v>5.5E-2</v>
      </c>
      <c r="AD20" s="16">
        <v>5.5E-2</v>
      </c>
      <c r="AE20" s="16">
        <v>5.5E-2</v>
      </c>
      <c r="AF20" s="16">
        <v>5.5E-2</v>
      </c>
      <c r="AG20" s="16">
        <v>5.5E-2</v>
      </c>
      <c r="AH20" s="16">
        <v>5.5E-2</v>
      </c>
      <c r="AI20" s="16">
        <v>5.5E-2</v>
      </c>
      <c r="AJ20" s="16">
        <v>5.5E-2</v>
      </c>
      <c r="AK20" s="16">
        <v>5.5E-2</v>
      </c>
      <c r="AL20" s="16">
        <v>5.5E-2</v>
      </c>
      <c r="AM20" s="13">
        <v>-1.1148E-2</v>
      </c>
    </row>
    <row r="21" spans="1:39" x14ac:dyDescent="0.25">
      <c r="A21" s="7" t="s">
        <v>1556</v>
      </c>
      <c r="B21" s="11" t="s">
        <v>1557</v>
      </c>
      <c r="C21" s="16">
        <v>1.7835129999999999</v>
      </c>
      <c r="D21" s="16">
        <v>2.0679829999999999</v>
      </c>
      <c r="E21" s="16">
        <v>2.4348999999999998</v>
      </c>
      <c r="F21" s="16">
        <v>3.3357299999999999</v>
      </c>
      <c r="G21" s="16">
        <v>4.3860960000000002</v>
      </c>
      <c r="H21" s="16">
        <v>5.5205289999999998</v>
      </c>
      <c r="I21" s="16">
        <v>5.6842889999999997</v>
      </c>
      <c r="J21" s="16">
        <v>5.8587100000000003</v>
      </c>
      <c r="K21" s="16">
        <v>6.081054</v>
      </c>
      <c r="L21" s="16">
        <v>6.2652960000000002</v>
      </c>
      <c r="M21" s="16">
        <v>6.4073510000000002</v>
      </c>
      <c r="N21" s="16">
        <v>6.5463079999999998</v>
      </c>
      <c r="O21" s="16">
        <v>6.6788639999999999</v>
      </c>
      <c r="P21" s="16">
        <v>6.7404419999999998</v>
      </c>
      <c r="Q21" s="16">
        <v>6.7469650000000003</v>
      </c>
      <c r="R21" s="16">
        <v>6.8024040000000001</v>
      </c>
      <c r="S21" s="16">
        <v>6.8505989999999999</v>
      </c>
      <c r="T21" s="16">
        <v>6.9045579999999998</v>
      </c>
      <c r="U21" s="16">
        <v>6.973719</v>
      </c>
      <c r="V21" s="16">
        <v>7.0361859999999998</v>
      </c>
      <c r="W21" s="16">
        <v>7.0779480000000001</v>
      </c>
      <c r="X21" s="16">
        <v>7.0681779999999996</v>
      </c>
      <c r="Y21" s="16">
        <v>7.0582070000000003</v>
      </c>
      <c r="Z21" s="16">
        <v>7.0430760000000001</v>
      </c>
      <c r="AA21" s="16">
        <v>7.0242259999999996</v>
      </c>
      <c r="AB21" s="16">
        <v>7.0044259999999996</v>
      </c>
      <c r="AC21" s="16">
        <v>6.9765259999999998</v>
      </c>
      <c r="AD21" s="16">
        <v>6.9514060000000004</v>
      </c>
      <c r="AE21" s="16">
        <v>6.9232889999999996</v>
      </c>
      <c r="AF21" s="16">
        <v>6.8986960000000002</v>
      </c>
      <c r="AG21" s="16">
        <v>6.8702550000000002</v>
      </c>
      <c r="AH21" s="16">
        <v>6.8503270000000001</v>
      </c>
      <c r="AI21" s="16">
        <v>6.8350059999999999</v>
      </c>
      <c r="AJ21" s="16">
        <v>6.8281919999999996</v>
      </c>
      <c r="AK21" s="16">
        <v>6.8346150000000003</v>
      </c>
      <c r="AL21" s="16">
        <v>6.8168129999999998</v>
      </c>
      <c r="AM21" s="13">
        <v>3.5706000000000002E-2</v>
      </c>
    </row>
    <row r="22" spans="1:39" x14ac:dyDescent="0.25">
      <c r="A22" s="7" t="s">
        <v>1558</v>
      </c>
      <c r="B22" s="11" t="s">
        <v>1559</v>
      </c>
      <c r="C22" s="16">
        <v>0.70090300000000005</v>
      </c>
      <c r="D22" s="16">
        <v>0.73000100000000001</v>
      </c>
      <c r="E22" s="16">
        <v>0.72499999999999998</v>
      </c>
      <c r="F22" s="16">
        <v>0.73622799999999999</v>
      </c>
      <c r="G22" s="16">
        <v>0.76721099999999998</v>
      </c>
      <c r="H22" s="16">
        <v>0.780532</v>
      </c>
      <c r="I22" s="16">
        <v>0.80677399999999999</v>
      </c>
      <c r="J22" s="16">
        <v>0.82632899999999998</v>
      </c>
      <c r="K22" s="16">
        <v>0.85442399999999996</v>
      </c>
      <c r="L22" s="16">
        <v>0.86151699999999998</v>
      </c>
      <c r="M22" s="16">
        <v>0.89060799999999996</v>
      </c>
      <c r="N22" s="16">
        <v>0.91908699999999999</v>
      </c>
      <c r="O22" s="16">
        <v>0.940971</v>
      </c>
      <c r="P22" s="16">
        <v>0.95838299999999998</v>
      </c>
      <c r="Q22" s="16">
        <v>0.98661500000000002</v>
      </c>
      <c r="R22" s="16">
        <v>0.99588500000000002</v>
      </c>
      <c r="S22" s="16">
        <v>0.99923899999999999</v>
      </c>
      <c r="T22" s="16">
        <v>1.004413</v>
      </c>
      <c r="U22" s="16">
        <v>1.0199879999999999</v>
      </c>
      <c r="V22" s="16">
        <v>1.0299560000000001</v>
      </c>
      <c r="W22" s="16">
        <v>1.025825</v>
      </c>
      <c r="X22" s="16">
        <v>1.031002</v>
      </c>
      <c r="Y22" s="16">
        <v>1.03634</v>
      </c>
      <c r="Z22" s="16">
        <v>1.0354559999999999</v>
      </c>
      <c r="AA22" s="16">
        <v>1.033056</v>
      </c>
      <c r="AB22" s="16">
        <v>1.02504</v>
      </c>
      <c r="AC22" s="16">
        <v>1.0131019999999999</v>
      </c>
      <c r="AD22" s="16">
        <v>1.0086949999999999</v>
      </c>
      <c r="AE22" s="16">
        <v>1.00345</v>
      </c>
      <c r="AF22" s="16">
        <v>0.998919</v>
      </c>
      <c r="AG22" s="16">
        <v>0.99016700000000002</v>
      </c>
      <c r="AH22" s="16">
        <v>0.990587</v>
      </c>
      <c r="AI22" s="16">
        <v>0.99692400000000003</v>
      </c>
      <c r="AJ22" s="16">
        <v>1.0163009999999999</v>
      </c>
      <c r="AK22" s="16">
        <v>1.0438350000000001</v>
      </c>
      <c r="AL22" s="16">
        <v>1.0477959999999999</v>
      </c>
      <c r="AM22" s="13">
        <v>1.0685999999999999E-2</v>
      </c>
    </row>
    <row r="23" spans="1:39" x14ac:dyDescent="0.25">
      <c r="A23" s="7" t="s">
        <v>1560</v>
      </c>
      <c r="B23" s="11" t="s">
        <v>1561</v>
      </c>
      <c r="C23" s="16">
        <v>1.0544659999999999</v>
      </c>
      <c r="D23" s="16">
        <v>1.1659999999999999</v>
      </c>
      <c r="E23" s="16">
        <v>1.177</v>
      </c>
      <c r="F23" s="16">
        <v>1.5821019999999999</v>
      </c>
      <c r="G23" s="16">
        <v>1.745285</v>
      </c>
      <c r="H23" s="16">
        <v>1.826497</v>
      </c>
      <c r="I23" s="16">
        <v>1.8410150000000001</v>
      </c>
      <c r="J23" s="16">
        <v>1.8625480000000001</v>
      </c>
      <c r="K23" s="16">
        <v>1.856797</v>
      </c>
      <c r="L23" s="16">
        <v>1.8339460000000001</v>
      </c>
      <c r="M23" s="16">
        <v>1.8135760000000001</v>
      </c>
      <c r="N23" s="16">
        <v>1.7907200000000001</v>
      </c>
      <c r="O23" s="16">
        <v>1.768059</v>
      </c>
      <c r="P23" s="16">
        <v>1.7455590000000001</v>
      </c>
      <c r="Q23" s="16">
        <v>1.7238500000000001</v>
      </c>
      <c r="R23" s="16">
        <v>1.703352</v>
      </c>
      <c r="S23" s="16">
        <v>1.681527</v>
      </c>
      <c r="T23" s="16">
        <v>1.6636439999999999</v>
      </c>
      <c r="U23" s="16">
        <v>1.650563</v>
      </c>
      <c r="V23" s="16">
        <v>1.6363970000000001</v>
      </c>
      <c r="W23" s="16">
        <v>1.615623</v>
      </c>
      <c r="X23" s="16">
        <v>1.6006769999999999</v>
      </c>
      <c r="Y23" s="16">
        <v>1.5853660000000001</v>
      </c>
      <c r="Z23" s="16">
        <v>1.5711200000000001</v>
      </c>
      <c r="AA23" s="16">
        <v>1.55467</v>
      </c>
      <c r="AB23" s="16">
        <v>1.542886</v>
      </c>
      <c r="AC23" s="16">
        <v>1.5269239999999999</v>
      </c>
      <c r="AD23" s="16">
        <v>1.506211</v>
      </c>
      <c r="AE23" s="16">
        <v>1.483339</v>
      </c>
      <c r="AF23" s="16">
        <v>1.4632769999999999</v>
      </c>
      <c r="AG23" s="16">
        <v>1.443587</v>
      </c>
      <c r="AH23" s="16">
        <v>1.4232389999999999</v>
      </c>
      <c r="AI23" s="16">
        <v>1.4015820000000001</v>
      </c>
      <c r="AJ23" s="16">
        <v>1.3753899999999999</v>
      </c>
      <c r="AK23" s="16">
        <v>1.3542799999999999</v>
      </c>
      <c r="AL23" s="16">
        <v>1.332516</v>
      </c>
      <c r="AM23" s="13">
        <v>3.934E-3</v>
      </c>
    </row>
    <row r="24" spans="1:39" x14ac:dyDescent="0.25">
      <c r="A24" s="7" t="s">
        <v>1562</v>
      </c>
      <c r="B24" s="11" t="s">
        <v>1563</v>
      </c>
      <c r="C24" s="16">
        <v>2.8143999999999999E-2</v>
      </c>
      <c r="D24" s="16">
        <v>0.171982</v>
      </c>
      <c r="E24" s="16">
        <v>0.53290000000000004</v>
      </c>
      <c r="F24" s="16">
        <v>1.0174000000000001</v>
      </c>
      <c r="G24" s="16">
        <v>1.8735999999999999</v>
      </c>
      <c r="H24" s="16">
        <v>2.9135</v>
      </c>
      <c r="I24" s="16">
        <v>3.0365000000000002</v>
      </c>
      <c r="J24" s="16">
        <v>3.1698339999999998</v>
      </c>
      <c r="K24" s="16">
        <v>3.3698329999999999</v>
      </c>
      <c r="L24" s="16">
        <v>3.5698340000000002</v>
      </c>
      <c r="M24" s="16">
        <v>3.7031670000000001</v>
      </c>
      <c r="N24" s="16">
        <v>3.8365</v>
      </c>
      <c r="O24" s="16">
        <v>3.9698329999999999</v>
      </c>
      <c r="P24" s="16">
        <v>4.0365000000000002</v>
      </c>
      <c r="Q24" s="16">
        <v>4.0365000000000002</v>
      </c>
      <c r="R24" s="16">
        <v>4.103167</v>
      </c>
      <c r="S24" s="16">
        <v>4.1698329999999997</v>
      </c>
      <c r="T24" s="16">
        <v>4.2365000000000004</v>
      </c>
      <c r="U24" s="16">
        <v>4.3031670000000002</v>
      </c>
      <c r="V24" s="16">
        <v>4.3698329999999999</v>
      </c>
      <c r="W24" s="16">
        <v>4.4364999999999997</v>
      </c>
      <c r="X24" s="16">
        <v>4.4364999999999997</v>
      </c>
      <c r="Y24" s="16">
        <v>4.4364999999999997</v>
      </c>
      <c r="Z24" s="16">
        <v>4.4364999999999997</v>
      </c>
      <c r="AA24" s="16">
        <v>4.4364999999999997</v>
      </c>
      <c r="AB24" s="16">
        <v>4.4364999999999997</v>
      </c>
      <c r="AC24" s="16">
        <v>4.4364999999999997</v>
      </c>
      <c r="AD24" s="16">
        <v>4.4364999999999997</v>
      </c>
      <c r="AE24" s="16">
        <v>4.4364999999999997</v>
      </c>
      <c r="AF24" s="16">
        <v>4.4364999999999997</v>
      </c>
      <c r="AG24" s="16">
        <v>4.4364999999999997</v>
      </c>
      <c r="AH24" s="16">
        <v>4.4364999999999997</v>
      </c>
      <c r="AI24" s="16">
        <v>4.4364999999999997</v>
      </c>
      <c r="AJ24" s="16">
        <v>4.4364999999999997</v>
      </c>
      <c r="AK24" s="16">
        <v>4.4364999999999997</v>
      </c>
      <c r="AL24" s="16">
        <v>4.4364999999999997</v>
      </c>
      <c r="AM24" s="13">
        <v>0.100313</v>
      </c>
    </row>
    <row r="25" spans="1:39" x14ac:dyDescent="0.25">
      <c r="A25" s="7" t="s">
        <v>1564</v>
      </c>
      <c r="B25" s="11" t="s">
        <v>1303</v>
      </c>
      <c r="C25" s="16">
        <v>0.93483400000000005</v>
      </c>
      <c r="D25" s="16">
        <v>0.93847000000000003</v>
      </c>
      <c r="E25" s="16">
        <v>0.29409800000000003</v>
      </c>
      <c r="F25" s="16">
        <v>-0.77510699999999999</v>
      </c>
      <c r="G25" s="16">
        <v>-2.0547589999999998</v>
      </c>
      <c r="H25" s="16">
        <v>-3.362555</v>
      </c>
      <c r="I25" s="16">
        <v>-3.6592359999999999</v>
      </c>
      <c r="J25" s="16">
        <v>-3.9544630000000001</v>
      </c>
      <c r="K25" s="16">
        <v>-4.2979839999999996</v>
      </c>
      <c r="L25" s="16">
        <v>-4.5272810000000003</v>
      </c>
      <c r="M25" s="16">
        <v>-4.7049349999999999</v>
      </c>
      <c r="N25" s="16">
        <v>-4.8696859999999997</v>
      </c>
      <c r="O25" s="16">
        <v>-5.0832629999999996</v>
      </c>
      <c r="P25" s="16">
        <v>-5.1789430000000003</v>
      </c>
      <c r="Q25" s="16">
        <v>-5.260186</v>
      </c>
      <c r="R25" s="16">
        <v>-5.3560509999999999</v>
      </c>
      <c r="S25" s="16">
        <v>-5.4351060000000002</v>
      </c>
      <c r="T25" s="16">
        <v>-5.4980570000000002</v>
      </c>
      <c r="U25" s="16">
        <v>-5.5890380000000004</v>
      </c>
      <c r="V25" s="16">
        <v>-5.6725199999999996</v>
      </c>
      <c r="W25" s="16">
        <v>-5.7522349999999998</v>
      </c>
      <c r="X25" s="16">
        <v>-5.7793299999999999</v>
      </c>
      <c r="Y25" s="16">
        <v>-5.7852969999999999</v>
      </c>
      <c r="Z25" s="16">
        <v>-5.7672629999999998</v>
      </c>
      <c r="AA25" s="16">
        <v>-5.7463749999999996</v>
      </c>
      <c r="AB25" s="16">
        <v>-5.7269410000000001</v>
      </c>
      <c r="AC25" s="16">
        <v>-5.6931839999999996</v>
      </c>
      <c r="AD25" s="16">
        <v>-5.6720160000000002</v>
      </c>
      <c r="AE25" s="16">
        <v>-5.6430350000000002</v>
      </c>
      <c r="AF25" s="16">
        <v>-5.6183180000000004</v>
      </c>
      <c r="AG25" s="16">
        <v>-5.5885569999999998</v>
      </c>
      <c r="AH25" s="16">
        <v>-5.5728239999999998</v>
      </c>
      <c r="AI25" s="16">
        <v>-5.5588680000000004</v>
      </c>
      <c r="AJ25" s="16">
        <v>-5.5615860000000001</v>
      </c>
      <c r="AK25" s="16">
        <v>-5.5803469999999997</v>
      </c>
      <c r="AL25" s="16">
        <v>-5.560638</v>
      </c>
      <c r="AM25" s="13" t="s">
        <v>13</v>
      </c>
    </row>
    <row r="26" spans="1:39" x14ac:dyDescent="0.25">
      <c r="A26" s="7" t="s">
        <v>1565</v>
      </c>
      <c r="B26" s="11" t="s">
        <v>1566</v>
      </c>
      <c r="C26" s="16">
        <v>1.9254389999999999</v>
      </c>
      <c r="D26" s="16">
        <v>2.1950129999999999</v>
      </c>
      <c r="E26" s="16">
        <v>1.930148</v>
      </c>
      <c r="F26" s="16">
        <v>1.7510939999999999</v>
      </c>
      <c r="G26" s="16">
        <v>1.4998260000000001</v>
      </c>
      <c r="H26" s="16">
        <v>1.3221419999999999</v>
      </c>
      <c r="I26" s="16">
        <v>1.162979</v>
      </c>
      <c r="J26" s="16">
        <v>1.0226189999999999</v>
      </c>
      <c r="K26" s="16">
        <v>0.87334699999999998</v>
      </c>
      <c r="L26" s="16">
        <v>0.82119799999999998</v>
      </c>
      <c r="M26" s="16">
        <v>0.75650799999999996</v>
      </c>
      <c r="N26" s="16">
        <v>0.70223400000000002</v>
      </c>
      <c r="O26" s="16">
        <v>0.599329</v>
      </c>
      <c r="P26" s="16">
        <v>0.54781599999999997</v>
      </c>
      <c r="Q26" s="16">
        <v>0.44486399999999998</v>
      </c>
      <c r="R26" s="16">
        <v>0.39516699999999999</v>
      </c>
      <c r="S26" s="16">
        <v>0.360954</v>
      </c>
      <c r="T26" s="16">
        <v>0.34678700000000001</v>
      </c>
      <c r="U26" s="16">
        <v>0.309392</v>
      </c>
      <c r="V26" s="16">
        <v>0.27841100000000002</v>
      </c>
      <c r="W26" s="16">
        <v>0.244588</v>
      </c>
      <c r="X26" s="16">
        <v>0.202547</v>
      </c>
      <c r="Y26" s="16">
        <v>0.18126900000000001</v>
      </c>
      <c r="Z26" s="16">
        <v>0.185056</v>
      </c>
      <c r="AA26" s="16">
        <v>0.189495</v>
      </c>
      <c r="AB26" s="16">
        <v>0.19714599999999999</v>
      </c>
      <c r="AC26" s="16">
        <v>0.21493899999999999</v>
      </c>
      <c r="AD26" s="16">
        <v>0.215395</v>
      </c>
      <c r="AE26" s="16">
        <v>0.22150400000000001</v>
      </c>
      <c r="AF26" s="16">
        <v>0.226159</v>
      </c>
      <c r="AG26" s="16">
        <v>0.23623</v>
      </c>
      <c r="AH26" s="16">
        <v>0.23161599999999999</v>
      </c>
      <c r="AI26" s="16">
        <v>0.223914</v>
      </c>
      <c r="AJ26" s="16">
        <v>0.19500400000000001</v>
      </c>
      <c r="AK26" s="16">
        <v>0.15513299999999999</v>
      </c>
      <c r="AL26" s="16">
        <v>0.15307799999999999</v>
      </c>
      <c r="AM26" s="13">
        <v>-7.5334999999999999E-2</v>
      </c>
    </row>
    <row r="27" spans="1:39" x14ac:dyDescent="0.25">
      <c r="A27" s="7" t="s">
        <v>1567</v>
      </c>
      <c r="B27" s="11" t="s">
        <v>1568</v>
      </c>
      <c r="C27" s="16">
        <v>-1.053534</v>
      </c>
      <c r="D27" s="16">
        <v>-1.165081</v>
      </c>
      <c r="E27" s="16">
        <v>-1.17615</v>
      </c>
      <c r="F27" s="16">
        <v>-1.5818019999999999</v>
      </c>
      <c r="G27" s="16">
        <v>-1.744985</v>
      </c>
      <c r="H27" s="16">
        <v>-1.8261970000000001</v>
      </c>
      <c r="I27" s="16">
        <v>-1.8407150000000001</v>
      </c>
      <c r="J27" s="16">
        <v>-1.8622479999999999</v>
      </c>
      <c r="K27" s="16">
        <v>-1.8564970000000001</v>
      </c>
      <c r="L27" s="16">
        <v>-1.8336460000000001</v>
      </c>
      <c r="M27" s="16">
        <v>-1.8132760000000001</v>
      </c>
      <c r="N27" s="16">
        <v>-1.7904199999999999</v>
      </c>
      <c r="O27" s="16">
        <v>-1.7677590000000001</v>
      </c>
      <c r="P27" s="16">
        <v>-1.7452589999999999</v>
      </c>
      <c r="Q27" s="16">
        <v>-1.7235499999999999</v>
      </c>
      <c r="R27" s="16">
        <v>-1.703052</v>
      </c>
      <c r="S27" s="16">
        <v>-1.681227</v>
      </c>
      <c r="T27" s="16">
        <v>-1.6633439999999999</v>
      </c>
      <c r="U27" s="16">
        <v>-1.650263</v>
      </c>
      <c r="V27" s="16">
        <v>-1.6360969999999999</v>
      </c>
      <c r="W27" s="16">
        <v>-1.6153230000000001</v>
      </c>
      <c r="X27" s="16">
        <v>-1.600376</v>
      </c>
      <c r="Y27" s="16">
        <v>-1.5850660000000001</v>
      </c>
      <c r="Z27" s="16">
        <v>-1.5708200000000001</v>
      </c>
      <c r="AA27" s="16">
        <v>-1.55437</v>
      </c>
      <c r="AB27" s="16">
        <v>-1.542586</v>
      </c>
      <c r="AC27" s="16">
        <v>-1.526624</v>
      </c>
      <c r="AD27" s="16">
        <v>-1.505911</v>
      </c>
      <c r="AE27" s="16">
        <v>-1.483039</v>
      </c>
      <c r="AF27" s="16">
        <v>-1.462977</v>
      </c>
      <c r="AG27" s="16">
        <v>-1.443287</v>
      </c>
      <c r="AH27" s="16">
        <v>-1.422939</v>
      </c>
      <c r="AI27" s="16">
        <v>-1.4012819999999999</v>
      </c>
      <c r="AJ27" s="16">
        <v>-1.3750899999999999</v>
      </c>
      <c r="AK27" s="16">
        <v>-1.35398</v>
      </c>
      <c r="AL27" s="16">
        <v>-1.3322160000000001</v>
      </c>
      <c r="AM27" s="13">
        <v>3.9500000000000004E-3</v>
      </c>
    </row>
    <row r="28" spans="1:39" x14ac:dyDescent="0.25">
      <c r="A28" s="7" t="s">
        <v>1569</v>
      </c>
      <c r="B28" s="11" t="s">
        <v>1570</v>
      </c>
      <c r="C28" s="16">
        <v>0</v>
      </c>
      <c r="D28" s="16">
        <v>0</v>
      </c>
      <c r="E28" s="16">
        <v>0</v>
      </c>
      <c r="F28" s="16">
        <v>0</v>
      </c>
      <c r="G28" s="16">
        <v>0</v>
      </c>
      <c r="H28" s="16">
        <v>0</v>
      </c>
      <c r="I28" s="16">
        <v>0</v>
      </c>
      <c r="J28" s="16">
        <v>0</v>
      </c>
      <c r="K28" s="16">
        <v>0</v>
      </c>
      <c r="L28" s="16">
        <v>0</v>
      </c>
      <c r="M28" s="16">
        <v>0</v>
      </c>
      <c r="N28" s="16">
        <v>0</v>
      </c>
      <c r="O28" s="16">
        <v>0</v>
      </c>
      <c r="P28" s="16">
        <v>0</v>
      </c>
      <c r="Q28" s="16">
        <v>0</v>
      </c>
      <c r="R28" s="16">
        <v>0</v>
      </c>
      <c r="S28" s="16">
        <v>0</v>
      </c>
      <c r="T28" s="16">
        <v>0</v>
      </c>
      <c r="U28" s="16">
        <v>0</v>
      </c>
      <c r="V28" s="16">
        <v>0</v>
      </c>
      <c r="W28" s="16">
        <v>0</v>
      </c>
      <c r="X28" s="16">
        <v>0</v>
      </c>
      <c r="Y28" s="16">
        <v>0</v>
      </c>
      <c r="Z28" s="16">
        <v>0</v>
      </c>
      <c r="AA28" s="16">
        <v>0</v>
      </c>
      <c r="AB28" s="16">
        <v>0</v>
      </c>
      <c r="AC28" s="16">
        <v>0</v>
      </c>
      <c r="AD28" s="16">
        <v>0</v>
      </c>
      <c r="AE28" s="16">
        <v>0</v>
      </c>
      <c r="AF28" s="16">
        <v>0</v>
      </c>
      <c r="AG28" s="16">
        <v>0</v>
      </c>
      <c r="AH28" s="16">
        <v>0</v>
      </c>
      <c r="AI28" s="16">
        <v>0</v>
      </c>
      <c r="AJ28" s="16">
        <v>0</v>
      </c>
      <c r="AK28" s="16">
        <v>0</v>
      </c>
      <c r="AL28" s="16">
        <v>0</v>
      </c>
      <c r="AM28" s="13" t="s">
        <v>13</v>
      </c>
    </row>
    <row r="29" spans="1:39" x14ac:dyDescent="0.25">
      <c r="A29" s="7" t="s">
        <v>1571</v>
      </c>
      <c r="B29" s="11" t="s">
        <v>1307</v>
      </c>
      <c r="C29" s="16">
        <v>6.2928999999999999E-2</v>
      </c>
      <c r="D29" s="16">
        <v>-9.1462000000000002E-2</v>
      </c>
      <c r="E29" s="16">
        <v>-0.45989999999999998</v>
      </c>
      <c r="F29" s="16">
        <v>-0.94440000000000002</v>
      </c>
      <c r="G29" s="16">
        <v>-1.8096000000000001</v>
      </c>
      <c r="H29" s="16">
        <v>-2.8584999999999998</v>
      </c>
      <c r="I29" s="16">
        <v>-2.9815</v>
      </c>
      <c r="J29" s="16">
        <v>-3.1148340000000001</v>
      </c>
      <c r="K29" s="16">
        <v>-3.3148330000000001</v>
      </c>
      <c r="L29" s="16">
        <v>-3.5148329999999999</v>
      </c>
      <c r="M29" s="16">
        <v>-3.6481669999999999</v>
      </c>
      <c r="N29" s="16">
        <v>-3.7814999999999999</v>
      </c>
      <c r="O29" s="16">
        <v>-3.9148329999999998</v>
      </c>
      <c r="P29" s="16">
        <v>-3.9815</v>
      </c>
      <c r="Q29" s="16">
        <v>-3.9815</v>
      </c>
      <c r="R29" s="16">
        <v>-4.0481670000000003</v>
      </c>
      <c r="S29" s="16">
        <v>-4.114833</v>
      </c>
      <c r="T29" s="16">
        <v>-4.1814999999999998</v>
      </c>
      <c r="U29" s="16">
        <v>-4.2481679999999997</v>
      </c>
      <c r="V29" s="16">
        <v>-4.3148340000000003</v>
      </c>
      <c r="W29" s="16">
        <v>-4.3815</v>
      </c>
      <c r="X29" s="16">
        <v>-4.3815</v>
      </c>
      <c r="Y29" s="16">
        <v>-4.3815</v>
      </c>
      <c r="Z29" s="16">
        <v>-4.3815</v>
      </c>
      <c r="AA29" s="16">
        <v>-4.3815</v>
      </c>
      <c r="AB29" s="16">
        <v>-4.3815</v>
      </c>
      <c r="AC29" s="16">
        <v>-4.3815</v>
      </c>
      <c r="AD29" s="16">
        <v>-4.3815</v>
      </c>
      <c r="AE29" s="16">
        <v>-4.3815</v>
      </c>
      <c r="AF29" s="16">
        <v>-4.3815</v>
      </c>
      <c r="AG29" s="16">
        <v>-4.3815</v>
      </c>
      <c r="AH29" s="16">
        <v>-4.3815</v>
      </c>
      <c r="AI29" s="16">
        <v>-4.3815</v>
      </c>
      <c r="AJ29" s="16">
        <v>-4.3815</v>
      </c>
      <c r="AK29" s="16">
        <v>-4.3815</v>
      </c>
      <c r="AL29" s="16">
        <v>-4.3815</v>
      </c>
      <c r="AM29" s="13">
        <v>0.120529</v>
      </c>
    </row>
    <row r="31" spans="1:39" x14ac:dyDescent="0.25">
      <c r="B31" s="10" t="s">
        <v>1572</v>
      </c>
    </row>
    <row r="32" spans="1:39" x14ac:dyDescent="0.25">
      <c r="B32" s="10" t="s">
        <v>1573</v>
      </c>
    </row>
    <row r="33" spans="1:39" x14ac:dyDescent="0.25">
      <c r="A33" s="7" t="s">
        <v>1574</v>
      </c>
      <c r="B33" s="11" t="s">
        <v>1575</v>
      </c>
      <c r="C33" s="16">
        <v>3.0439959999999999</v>
      </c>
      <c r="D33" s="16">
        <v>2.6190980000000001</v>
      </c>
      <c r="E33" s="16">
        <v>3.66161</v>
      </c>
      <c r="F33" s="16">
        <v>4.1061420000000002</v>
      </c>
      <c r="G33" s="16">
        <v>4.471838</v>
      </c>
      <c r="H33" s="16">
        <v>4.6628759999999998</v>
      </c>
      <c r="I33" s="16">
        <v>4.719722</v>
      </c>
      <c r="J33" s="16">
        <v>4.7462390000000001</v>
      </c>
      <c r="K33" s="16">
        <v>4.8338229999999998</v>
      </c>
      <c r="L33" s="16">
        <v>4.8834549999999997</v>
      </c>
      <c r="M33" s="16">
        <v>5.0768800000000001</v>
      </c>
      <c r="N33" s="16">
        <v>5.2224919999999999</v>
      </c>
      <c r="O33" s="16">
        <v>5.2269329999999998</v>
      </c>
      <c r="P33" s="16">
        <v>5.3711589999999996</v>
      </c>
      <c r="Q33" s="16">
        <v>5.5839549999999996</v>
      </c>
      <c r="R33" s="16">
        <v>5.6100009999999996</v>
      </c>
      <c r="S33" s="16">
        <v>5.5804130000000001</v>
      </c>
      <c r="T33" s="16">
        <v>5.5698699999999999</v>
      </c>
      <c r="U33" s="16">
        <v>5.5568229999999996</v>
      </c>
      <c r="V33" s="16">
        <v>5.6057399999999999</v>
      </c>
      <c r="W33" s="16">
        <v>5.7487339999999998</v>
      </c>
      <c r="X33" s="16">
        <v>5.8324559999999996</v>
      </c>
      <c r="Y33" s="16">
        <v>5.8237129999999997</v>
      </c>
      <c r="Z33" s="16">
        <v>5.7356170000000004</v>
      </c>
      <c r="AA33" s="16">
        <v>5.685289</v>
      </c>
      <c r="AB33" s="16">
        <v>5.6264139999999996</v>
      </c>
      <c r="AC33" s="16">
        <v>5.6212850000000003</v>
      </c>
      <c r="AD33" s="16">
        <v>5.6575280000000001</v>
      </c>
      <c r="AE33" s="16">
        <v>5.734966</v>
      </c>
      <c r="AF33" s="16">
        <v>5.8254200000000003</v>
      </c>
      <c r="AG33" s="16">
        <v>5.9549390000000004</v>
      </c>
      <c r="AH33" s="16">
        <v>6.0380799999999999</v>
      </c>
      <c r="AI33" s="16">
        <v>6.1350749999999996</v>
      </c>
      <c r="AJ33" s="16">
        <v>6.2836270000000001</v>
      </c>
      <c r="AK33" s="16">
        <v>6.4024830000000001</v>
      </c>
      <c r="AL33" s="16">
        <v>6.2411490000000001</v>
      </c>
      <c r="AM33" s="13">
        <v>2.5867999999999999E-2</v>
      </c>
    </row>
    <row r="34" spans="1:39" x14ac:dyDescent="0.25">
      <c r="B34" s="10" t="s">
        <v>1576</v>
      </c>
    </row>
    <row r="35" spans="1:39" x14ac:dyDescent="0.25">
      <c r="A35" s="7" t="s">
        <v>1577</v>
      </c>
      <c r="B35" s="11" t="s">
        <v>1578</v>
      </c>
      <c r="C35" s="16">
        <v>2.8911090000000002</v>
      </c>
      <c r="D35" s="16">
        <v>2.517271</v>
      </c>
      <c r="E35" s="16">
        <v>3.5838800000000002</v>
      </c>
      <c r="F35" s="16">
        <v>4.0315950000000003</v>
      </c>
      <c r="G35" s="16">
        <v>4.3983569999999999</v>
      </c>
      <c r="H35" s="16">
        <v>4.5892910000000002</v>
      </c>
      <c r="I35" s="16">
        <v>4.6388309999999997</v>
      </c>
      <c r="J35" s="16">
        <v>4.6573929999999999</v>
      </c>
      <c r="K35" s="16">
        <v>4.7392149999999997</v>
      </c>
      <c r="L35" s="16">
        <v>4.7863480000000003</v>
      </c>
      <c r="M35" s="16">
        <v>4.9837899999999999</v>
      </c>
      <c r="N35" s="16">
        <v>5.1339399999999999</v>
      </c>
      <c r="O35" s="16">
        <v>5.1323689999999997</v>
      </c>
      <c r="P35" s="16">
        <v>5.2763869999999997</v>
      </c>
      <c r="Q35" s="16">
        <v>5.4885080000000004</v>
      </c>
      <c r="R35" s="16">
        <v>5.5111350000000003</v>
      </c>
      <c r="S35" s="16">
        <v>5.4794850000000004</v>
      </c>
      <c r="T35" s="16">
        <v>5.4677559999999996</v>
      </c>
      <c r="U35" s="16">
        <v>5.4536639999999998</v>
      </c>
      <c r="V35" s="16">
        <v>5.4995370000000001</v>
      </c>
      <c r="W35" s="16">
        <v>5.6393880000000003</v>
      </c>
      <c r="X35" s="16">
        <v>5.7214320000000001</v>
      </c>
      <c r="Y35" s="16">
        <v>5.7081330000000001</v>
      </c>
      <c r="Z35" s="16">
        <v>5.615049</v>
      </c>
      <c r="AA35" s="16">
        <v>5.5614499999999998</v>
      </c>
      <c r="AB35" s="16">
        <v>5.5017750000000003</v>
      </c>
      <c r="AC35" s="16">
        <v>5.4956899999999997</v>
      </c>
      <c r="AD35" s="16">
        <v>5.5314699999999997</v>
      </c>
      <c r="AE35" s="16">
        <v>5.6093909999999996</v>
      </c>
      <c r="AF35" s="16">
        <v>5.6995149999999999</v>
      </c>
      <c r="AG35" s="16">
        <v>5.8303510000000003</v>
      </c>
      <c r="AH35" s="16">
        <v>5.9127280000000004</v>
      </c>
      <c r="AI35" s="16">
        <v>6.0115689999999997</v>
      </c>
      <c r="AJ35" s="16">
        <v>6.1630849999999997</v>
      </c>
      <c r="AK35" s="16">
        <v>6.2841630000000004</v>
      </c>
      <c r="AL35" s="16">
        <v>6.1184180000000001</v>
      </c>
      <c r="AM35" s="13">
        <v>2.6466E-2</v>
      </c>
    </row>
    <row r="36" spans="1:39" x14ac:dyDescent="0.25">
      <c r="A36" s="7" t="s">
        <v>1579</v>
      </c>
      <c r="B36" s="11" t="s">
        <v>1580</v>
      </c>
      <c r="C36" s="16">
        <v>1.7359819999999999</v>
      </c>
      <c r="D36" s="16">
        <v>1.919368</v>
      </c>
      <c r="E36" s="16">
        <v>2.4015110000000002</v>
      </c>
      <c r="F36" s="16">
        <v>2.7207170000000001</v>
      </c>
      <c r="G36" s="16">
        <v>3.2225820000000001</v>
      </c>
      <c r="H36" s="16">
        <v>3.773285</v>
      </c>
      <c r="I36" s="16">
        <v>3.6824819999999998</v>
      </c>
      <c r="J36" s="16">
        <v>3.5432489999999999</v>
      </c>
      <c r="K36" s="16">
        <v>3.5542449999999999</v>
      </c>
      <c r="L36" s="16">
        <v>3.6666720000000002</v>
      </c>
      <c r="M36" s="16">
        <v>3.756513</v>
      </c>
      <c r="N36" s="16">
        <v>3.8888319999999998</v>
      </c>
      <c r="O36" s="16">
        <v>4.0048779999999997</v>
      </c>
      <c r="P36" s="16">
        <v>4.113893</v>
      </c>
      <c r="Q36" s="16">
        <v>4.2087760000000003</v>
      </c>
      <c r="R36" s="16">
        <v>4.2469039999999998</v>
      </c>
      <c r="S36" s="16">
        <v>4.3311489999999999</v>
      </c>
      <c r="T36" s="16">
        <v>4.3272529999999998</v>
      </c>
      <c r="U36" s="16">
        <v>4.2607869999999997</v>
      </c>
      <c r="V36" s="16">
        <v>4.2387870000000003</v>
      </c>
      <c r="W36" s="16">
        <v>4.3181469999999997</v>
      </c>
      <c r="X36" s="16">
        <v>4.2999099999999997</v>
      </c>
      <c r="Y36" s="16">
        <v>4.2997930000000002</v>
      </c>
      <c r="Z36" s="16">
        <v>4.2845969999999998</v>
      </c>
      <c r="AA36" s="16">
        <v>4.3090130000000002</v>
      </c>
      <c r="AB36" s="16">
        <v>4.291544</v>
      </c>
      <c r="AC36" s="16">
        <v>4.3141369999999997</v>
      </c>
      <c r="AD36" s="16">
        <v>4.3925099999999997</v>
      </c>
      <c r="AE36" s="16">
        <v>4.5076210000000003</v>
      </c>
      <c r="AF36" s="16">
        <v>4.5640280000000004</v>
      </c>
      <c r="AG36" s="16">
        <v>4.6421590000000004</v>
      </c>
      <c r="AH36" s="16">
        <v>4.7041440000000003</v>
      </c>
      <c r="AI36" s="16">
        <v>4.7888890000000002</v>
      </c>
      <c r="AJ36" s="16">
        <v>4.9278959999999996</v>
      </c>
      <c r="AK36" s="16">
        <v>4.9830240000000003</v>
      </c>
      <c r="AL36" s="16">
        <v>5.0626660000000001</v>
      </c>
      <c r="AM36" s="13">
        <v>2.8937000000000001E-2</v>
      </c>
    </row>
    <row r="37" spans="1:39" x14ac:dyDescent="0.25">
      <c r="A37" s="7" t="s">
        <v>1581</v>
      </c>
      <c r="B37" s="11" t="s">
        <v>1582</v>
      </c>
      <c r="C37" s="13" t="s">
        <v>13</v>
      </c>
      <c r="D37" s="13" t="s">
        <v>13</v>
      </c>
      <c r="E37" s="13" t="s">
        <v>13</v>
      </c>
      <c r="F37" s="13" t="s">
        <v>13</v>
      </c>
      <c r="G37" s="13" t="s">
        <v>13</v>
      </c>
      <c r="H37" s="13" t="s">
        <v>13</v>
      </c>
      <c r="I37" s="13" t="s">
        <v>13</v>
      </c>
      <c r="J37" s="13" t="s">
        <v>13</v>
      </c>
      <c r="K37" s="13" t="s">
        <v>13</v>
      </c>
      <c r="L37" s="13" t="s">
        <v>13</v>
      </c>
      <c r="M37" s="13" t="s">
        <v>13</v>
      </c>
      <c r="N37" s="13" t="s">
        <v>13</v>
      </c>
      <c r="O37" s="13" t="s">
        <v>13</v>
      </c>
      <c r="P37" s="13" t="s">
        <v>13</v>
      </c>
      <c r="Q37" s="13" t="s">
        <v>13</v>
      </c>
      <c r="R37" s="13" t="s">
        <v>13</v>
      </c>
      <c r="S37" s="13" t="s">
        <v>13</v>
      </c>
      <c r="T37" s="13" t="s">
        <v>13</v>
      </c>
      <c r="U37" s="13" t="s">
        <v>13</v>
      </c>
      <c r="V37" s="13" t="s">
        <v>13</v>
      </c>
      <c r="W37" s="13" t="s">
        <v>13</v>
      </c>
      <c r="X37" s="13" t="s">
        <v>13</v>
      </c>
      <c r="Y37" s="13" t="s">
        <v>13</v>
      </c>
      <c r="Z37" s="13" t="s">
        <v>13</v>
      </c>
      <c r="AA37" s="13" t="s">
        <v>13</v>
      </c>
      <c r="AB37" s="13" t="s">
        <v>13</v>
      </c>
      <c r="AC37" s="13" t="s">
        <v>13</v>
      </c>
      <c r="AD37" s="13" t="s">
        <v>13</v>
      </c>
      <c r="AE37" s="13" t="s">
        <v>13</v>
      </c>
      <c r="AF37" s="13" t="s">
        <v>13</v>
      </c>
      <c r="AG37" s="13" t="s">
        <v>13</v>
      </c>
      <c r="AH37" s="13" t="s">
        <v>13</v>
      </c>
      <c r="AI37" s="13" t="s">
        <v>13</v>
      </c>
      <c r="AJ37" s="13" t="s">
        <v>13</v>
      </c>
      <c r="AK37" s="13" t="s">
        <v>13</v>
      </c>
      <c r="AL37" s="13" t="s">
        <v>13</v>
      </c>
      <c r="AM37" s="13" t="s">
        <v>13</v>
      </c>
    </row>
    <row r="38" spans="1:39" x14ac:dyDescent="0.25">
      <c r="A38" s="7" t="s">
        <v>1583</v>
      </c>
      <c r="B38" s="11" t="s">
        <v>1584</v>
      </c>
      <c r="C38" s="16">
        <v>7.466291</v>
      </c>
      <c r="D38" s="16">
        <v>6.3260930000000002</v>
      </c>
      <c r="E38" s="16">
        <v>6.5034689999999999</v>
      </c>
      <c r="F38" s="16">
        <v>6.6518509999999997</v>
      </c>
      <c r="G38" s="16">
        <v>7.0805369999999996</v>
      </c>
      <c r="H38" s="16">
        <v>7.480918</v>
      </c>
      <c r="I38" s="16">
        <v>7.6224040000000004</v>
      </c>
      <c r="J38" s="16">
        <v>7.7395649999999998</v>
      </c>
      <c r="K38" s="16">
        <v>7.8128330000000004</v>
      </c>
      <c r="L38" s="16">
        <v>7.8610629999999997</v>
      </c>
      <c r="M38" s="16">
        <v>7.8719070000000002</v>
      </c>
      <c r="N38" s="16">
        <v>7.8401750000000003</v>
      </c>
      <c r="O38" s="16">
        <v>7.8819090000000003</v>
      </c>
      <c r="P38" s="16">
        <v>7.9733980000000004</v>
      </c>
      <c r="Q38" s="16">
        <v>8.0756440000000005</v>
      </c>
      <c r="R38" s="16">
        <v>8.1179670000000002</v>
      </c>
      <c r="S38" s="16">
        <v>8.0832630000000005</v>
      </c>
      <c r="T38" s="16">
        <v>8.0853000000000002</v>
      </c>
      <c r="U38" s="16">
        <v>8.0573139999999999</v>
      </c>
      <c r="V38" s="16">
        <v>8.1396060000000006</v>
      </c>
      <c r="W38" s="16">
        <v>8.2822659999999999</v>
      </c>
      <c r="X38" s="16">
        <v>8.3308850000000003</v>
      </c>
      <c r="Y38" s="16">
        <v>8.3907749999999997</v>
      </c>
      <c r="Z38" s="16">
        <v>8.4190649999999998</v>
      </c>
      <c r="AA38" s="16">
        <v>8.4455200000000001</v>
      </c>
      <c r="AB38" s="16">
        <v>8.4033619999999996</v>
      </c>
      <c r="AC38" s="16">
        <v>8.4327030000000001</v>
      </c>
      <c r="AD38" s="16">
        <v>8.4699869999999997</v>
      </c>
      <c r="AE38" s="16">
        <v>8.5384410000000006</v>
      </c>
      <c r="AF38" s="16">
        <v>8.6367390000000004</v>
      </c>
      <c r="AG38" s="16">
        <v>8.7401700000000009</v>
      </c>
      <c r="AH38" s="16">
        <v>8.8309130000000007</v>
      </c>
      <c r="AI38" s="16">
        <v>8.883877</v>
      </c>
      <c r="AJ38" s="16">
        <v>8.9458029999999997</v>
      </c>
      <c r="AK38" s="16">
        <v>8.9895320000000005</v>
      </c>
      <c r="AL38" s="16">
        <v>8.9273009999999999</v>
      </c>
      <c r="AM38" s="13">
        <v>1.0182E-2</v>
      </c>
    </row>
    <row r="39" spans="1:39" ht="15" customHeight="1" thickBot="1" x14ac:dyDescent="0.3"/>
    <row r="40" spans="1:39" x14ac:dyDescent="0.25">
      <c r="B40" s="364" t="s">
        <v>1585</v>
      </c>
      <c r="C40" s="364"/>
      <c r="D40" s="364"/>
      <c r="E40" s="364"/>
      <c r="F40" s="364"/>
      <c r="G40" s="364"/>
      <c r="H40" s="364"/>
      <c r="I40" s="364"/>
      <c r="J40" s="364"/>
      <c r="K40" s="364"/>
      <c r="L40" s="364"/>
      <c r="M40" s="364"/>
      <c r="N40" s="364"/>
      <c r="O40" s="364"/>
      <c r="P40" s="364"/>
      <c r="Q40" s="364"/>
      <c r="R40" s="364"/>
      <c r="S40" s="364"/>
      <c r="T40" s="364"/>
      <c r="U40" s="364"/>
      <c r="V40" s="364"/>
      <c r="W40" s="364"/>
      <c r="X40" s="364"/>
      <c r="Y40" s="364"/>
      <c r="Z40" s="364"/>
      <c r="AA40" s="364"/>
      <c r="AB40" s="364"/>
      <c r="AC40" s="364"/>
      <c r="AD40" s="364"/>
      <c r="AE40" s="364"/>
      <c r="AF40" s="364"/>
      <c r="AG40" s="364"/>
      <c r="AH40" s="364"/>
      <c r="AI40" s="364"/>
      <c r="AJ40" s="364"/>
      <c r="AK40" s="364"/>
      <c r="AL40" s="364"/>
      <c r="AM40" s="364"/>
    </row>
    <row r="41" spans="1:39" x14ac:dyDescent="0.25">
      <c r="B41" s="18" t="s">
        <v>1586</v>
      </c>
    </row>
    <row r="42" spans="1:39" x14ac:dyDescent="0.25">
      <c r="B42" s="18" t="s">
        <v>1587</v>
      </c>
    </row>
    <row r="43" spans="1:39" x14ac:dyDescent="0.25">
      <c r="B43" s="18" t="s">
        <v>206</v>
      </c>
    </row>
    <row r="44" spans="1:39" x14ac:dyDescent="0.25">
      <c r="B44" s="18" t="s">
        <v>635</v>
      </c>
    </row>
    <row r="45" spans="1:39" x14ac:dyDescent="0.25">
      <c r="B45" s="18" t="s">
        <v>636</v>
      </c>
    </row>
    <row r="46" spans="1:39" x14ac:dyDescent="0.25">
      <c r="B46" s="18" t="s">
        <v>1588</v>
      </c>
    </row>
    <row r="47" spans="1:39" x14ac:dyDescent="0.25">
      <c r="B47" s="18" t="s">
        <v>1589</v>
      </c>
    </row>
    <row r="48" spans="1:39" x14ac:dyDescent="0.25">
      <c r="B48" s="18" t="s">
        <v>1590</v>
      </c>
    </row>
  </sheetData>
  <mergeCells count="1">
    <mergeCell ref="B40:AM40"/>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5" tint="0.79998168889431442"/>
  </sheetPr>
  <dimension ref="A1:AD179"/>
  <sheetViews>
    <sheetView topLeftCell="B19" zoomScaleNormal="100" workbookViewId="0">
      <selection activeCell="E37" sqref="E37"/>
    </sheetView>
  </sheetViews>
  <sheetFormatPr defaultRowHeight="15" x14ac:dyDescent="0.25"/>
  <cols>
    <col min="1" max="1" width="20.85546875" hidden="1" customWidth="1"/>
    <col min="2" max="2" width="45.7109375" customWidth="1"/>
  </cols>
  <sheetData>
    <row r="1" spans="1:30" ht="15" customHeight="1" thickBot="1" x14ac:dyDescent="0.3">
      <c r="B1" s="4" t="s">
        <v>219</v>
      </c>
      <c r="C1" s="5">
        <v>2014</v>
      </c>
      <c r="D1" s="5">
        <v>2015</v>
      </c>
      <c r="E1" s="5">
        <v>2016</v>
      </c>
      <c r="F1" s="5">
        <v>2017</v>
      </c>
      <c r="G1" s="5">
        <v>2018</v>
      </c>
      <c r="H1" s="5">
        <v>2019</v>
      </c>
      <c r="I1" s="5">
        <v>2020</v>
      </c>
      <c r="J1" s="5">
        <v>2021</v>
      </c>
      <c r="K1" s="5">
        <v>2022</v>
      </c>
      <c r="L1" s="5">
        <v>2023</v>
      </c>
      <c r="M1" s="5">
        <v>2024</v>
      </c>
      <c r="N1" s="5">
        <v>2025</v>
      </c>
      <c r="O1" s="5">
        <v>2026</v>
      </c>
      <c r="P1" s="5">
        <v>2027</v>
      </c>
      <c r="Q1" s="5">
        <v>2028</v>
      </c>
      <c r="R1" s="5">
        <v>2029</v>
      </c>
      <c r="S1" s="5">
        <v>2030</v>
      </c>
      <c r="T1" s="5">
        <v>2031</v>
      </c>
      <c r="U1" s="5">
        <v>2032</v>
      </c>
      <c r="V1" s="5">
        <v>2033</v>
      </c>
      <c r="W1" s="5">
        <v>2034</v>
      </c>
      <c r="X1" s="5">
        <v>2035</v>
      </c>
      <c r="Y1" s="5">
        <v>2036</v>
      </c>
      <c r="Z1" s="5">
        <v>2037</v>
      </c>
      <c r="AA1" s="5">
        <v>2038</v>
      </c>
      <c r="AB1" s="5">
        <v>2039</v>
      </c>
      <c r="AC1" s="5">
        <v>2040</v>
      </c>
    </row>
    <row r="2" spans="1:30" ht="15" customHeight="1" thickTop="1" x14ac:dyDescent="0.25"/>
    <row r="3" spans="1:30" ht="15" customHeight="1" x14ac:dyDescent="0.25">
      <c r="C3" s="6" t="s">
        <v>16</v>
      </c>
      <c r="D3" s="6" t="s">
        <v>220</v>
      </c>
      <c r="E3" s="6"/>
      <c r="F3" s="6"/>
      <c r="G3" s="6"/>
    </row>
    <row r="4" spans="1:30" ht="15" customHeight="1" x14ac:dyDescent="0.25">
      <c r="C4" s="6" t="s">
        <v>18</v>
      </c>
      <c r="D4" s="6" t="s">
        <v>19</v>
      </c>
      <c r="E4" s="6"/>
      <c r="F4" s="6"/>
      <c r="G4" s="6" t="s">
        <v>221</v>
      </c>
    </row>
    <row r="5" spans="1:30" ht="15" customHeight="1" x14ac:dyDescent="0.25">
      <c r="C5" s="6" t="s">
        <v>21</v>
      </c>
      <c r="D5" s="6" t="s">
        <v>222</v>
      </c>
      <c r="E5" s="6"/>
      <c r="F5" s="6"/>
      <c r="G5" s="6"/>
    </row>
    <row r="6" spans="1:30" ht="15" customHeight="1" x14ac:dyDescent="0.25">
      <c r="C6" s="6" t="s">
        <v>23</v>
      </c>
      <c r="D6" s="6"/>
      <c r="E6" s="6" t="s">
        <v>223</v>
      </c>
      <c r="F6" s="6"/>
      <c r="G6" s="6"/>
    </row>
    <row r="10" spans="1:30" ht="15" customHeight="1" x14ac:dyDescent="0.25">
      <c r="A10" s="7" t="s">
        <v>25</v>
      </c>
      <c r="B10" s="8" t="s">
        <v>26</v>
      </c>
    </row>
    <row r="11" spans="1:30" ht="15" customHeight="1" x14ac:dyDescent="0.25">
      <c r="B11" s="4" t="s">
        <v>27</v>
      </c>
    </row>
    <row r="12" spans="1:30" ht="15" customHeight="1" x14ac:dyDescent="0.25">
      <c r="B12" s="4" t="s">
        <v>27</v>
      </c>
      <c r="C12" s="9" t="s">
        <v>27</v>
      </c>
      <c r="D12" s="9" t="s">
        <v>27</v>
      </c>
      <c r="E12" s="9" t="s">
        <v>27</v>
      </c>
      <c r="F12" s="9" t="s">
        <v>27</v>
      </c>
      <c r="G12" s="9" t="s">
        <v>27</v>
      </c>
      <c r="H12" s="9" t="s">
        <v>27</v>
      </c>
      <c r="I12" s="9" t="s">
        <v>27</v>
      </c>
      <c r="J12" s="9" t="s">
        <v>27</v>
      </c>
      <c r="K12" s="9" t="s">
        <v>27</v>
      </c>
      <c r="L12" s="9" t="s">
        <v>27</v>
      </c>
      <c r="M12" s="9" t="s">
        <v>27</v>
      </c>
      <c r="N12" s="9" t="s">
        <v>27</v>
      </c>
      <c r="O12" s="9" t="s">
        <v>27</v>
      </c>
      <c r="P12" s="9" t="s">
        <v>27</v>
      </c>
      <c r="Q12" s="9" t="s">
        <v>27</v>
      </c>
      <c r="R12" s="9" t="s">
        <v>27</v>
      </c>
      <c r="S12" s="9" t="s">
        <v>27</v>
      </c>
      <c r="T12" s="9" t="s">
        <v>27</v>
      </c>
      <c r="U12" s="9" t="s">
        <v>27</v>
      </c>
      <c r="V12" s="9" t="s">
        <v>27</v>
      </c>
      <c r="W12" s="9" t="s">
        <v>27</v>
      </c>
      <c r="X12" s="9" t="s">
        <v>27</v>
      </c>
      <c r="Y12" s="9" t="s">
        <v>27</v>
      </c>
      <c r="Z12" s="9" t="s">
        <v>27</v>
      </c>
      <c r="AA12" s="9" t="s">
        <v>27</v>
      </c>
      <c r="AB12" s="9" t="s">
        <v>27</v>
      </c>
      <c r="AC12" s="9" t="s">
        <v>27</v>
      </c>
      <c r="AD12" s="9" t="s">
        <v>224</v>
      </c>
    </row>
    <row r="13" spans="1:30" ht="15" customHeight="1" thickBot="1" x14ac:dyDescent="0.3">
      <c r="B13" s="5" t="s">
        <v>29</v>
      </c>
      <c r="C13" s="5">
        <v>2014</v>
      </c>
      <c r="D13" s="5">
        <v>2015</v>
      </c>
      <c r="E13" s="5">
        <v>2016</v>
      </c>
      <c r="F13" s="5">
        <v>2017</v>
      </c>
      <c r="G13" s="5">
        <v>2018</v>
      </c>
      <c r="H13" s="5">
        <v>2019</v>
      </c>
      <c r="I13" s="5">
        <v>2020</v>
      </c>
      <c r="J13" s="5">
        <v>2021</v>
      </c>
      <c r="K13" s="5">
        <v>2022</v>
      </c>
      <c r="L13" s="5">
        <v>2023</v>
      </c>
      <c r="M13" s="5">
        <v>2024</v>
      </c>
      <c r="N13" s="5">
        <v>2025</v>
      </c>
      <c r="O13" s="5">
        <v>2026</v>
      </c>
      <c r="P13" s="5">
        <v>2027</v>
      </c>
      <c r="Q13" s="5">
        <v>2028</v>
      </c>
      <c r="R13" s="5">
        <v>2029</v>
      </c>
      <c r="S13" s="5">
        <v>2030</v>
      </c>
      <c r="T13" s="5">
        <v>2031</v>
      </c>
      <c r="U13" s="5">
        <v>2032</v>
      </c>
      <c r="V13" s="5">
        <v>2033</v>
      </c>
      <c r="W13" s="5">
        <v>2034</v>
      </c>
      <c r="X13" s="5">
        <v>2035</v>
      </c>
      <c r="Y13" s="5">
        <v>2036</v>
      </c>
      <c r="Z13" s="5">
        <v>2037</v>
      </c>
      <c r="AA13" s="5">
        <v>2038</v>
      </c>
      <c r="AB13" s="5">
        <v>2039</v>
      </c>
      <c r="AC13" s="5">
        <v>2040</v>
      </c>
      <c r="AD13" s="5">
        <v>2040</v>
      </c>
    </row>
    <row r="14" spans="1:30" ht="15" customHeight="1" thickTop="1" x14ac:dyDescent="0.25"/>
    <row r="15" spans="1:30" ht="15" customHeight="1" x14ac:dyDescent="0.25">
      <c r="B15" s="10" t="s">
        <v>10</v>
      </c>
    </row>
    <row r="16" spans="1:30" ht="15" customHeight="1" x14ac:dyDescent="0.25">
      <c r="B16" s="10" t="s">
        <v>11</v>
      </c>
    </row>
    <row r="17" spans="1:30" ht="15" customHeight="1" x14ac:dyDescent="0.25">
      <c r="A17" s="7" t="s">
        <v>30</v>
      </c>
      <c r="B17" s="11" t="s">
        <v>31</v>
      </c>
      <c r="C17" s="12">
        <v>5207.7548829999996</v>
      </c>
      <c r="D17" s="12">
        <v>5298.8403319999998</v>
      </c>
      <c r="E17" s="12">
        <v>5449.7875979999999</v>
      </c>
      <c r="F17" s="12">
        <v>5577.7109380000002</v>
      </c>
      <c r="G17" s="12">
        <v>5657.9545900000003</v>
      </c>
      <c r="H17" s="12">
        <v>5773.2866210000002</v>
      </c>
      <c r="I17" s="12">
        <v>5862.1411129999997</v>
      </c>
      <c r="J17" s="12">
        <v>5990.0888670000004</v>
      </c>
      <c r="K17" s="12">
        <v>6109.4726559999999</v>
      </c>
      <c r="L17" s="12">
        <v>6269.8671880000002</v>
      </c>
      <c r="M17" s="12">
        <v>6424.9487300000001</v>
      </c>
      <c r="N17" s="12">
        <v>6561.4423829999996</v>
      </c>
      <c r="O17" s="12">
        <v>6680.3247069999998</v>
      </c>
      <c r="P17" s="12">
        <v>6795.1298829999996</v>
      </c>
      <c r="Q17" s="12">
        <v>6900.4472660000001</v>
      </c>
      <c r="R17" s="12">
        <v>7016.4458009999998</v>
      </c>
      <c r="S17" s="12">
        <v>7138.1728519999997</v>
      </c>
      <c r="T17" s="12">
        <v>7248.748047</v>
      </c>
      <c r="U17" s="12">
        <v>7368.9995120000003</v>
      </c>
      <c r="V17" s="12">
        <v>7502.482422</v>
      </c>
      <c r="W17" s="12">
        <v>7632.1684569999998</v>
      </c>
      <c r="X17" s="12">
        <v>7767.8745120000003</v>
      </c>
      <c r="Y17" s="12">
        <v>7904.1010740000002</v>
      </c>
      <c r="Z17" s="12">
        <v>8058.3071289999998</v>
      </c>
      <c r="AA17" s="12">
        <v>8229.7578119999998</v>
      </c>
      <c r="AB17" s="12">
        <v>8389.4023440000001</v>
      </c>
      <c r="AC17" s="12">
        <v>8559.0039059999999</v>
      </c>
      <c r="AD17" s="13">
        <v>1.9365E-2</v>
      </c>
    </row>
    <row r="18" spans="1:30" ht="15" customHeight="1" x14ac:dyDescent="0.25">
      <c r="A18" s="7" t="s">
        <v>32</v>
      </c>
      <c r="B18" s="11" t="s">
        <v>33</v>
      </c>
      <c r="C18" s="12">
        <v>1957.419922</v>
      </c>
      <c r="D18" s="12">
        <v>1930.6527100000001</v>
      </c>
      <c r="E18" s="12">
        <v>2056.1938479999999</v>
      </c>
      <c r="F18" s="12">
        <v>2205.4873050000001</v>
      </c>
      <c r="G18" s="12">
        <v>2320.4548340000001</v>
      </c>
      <c r="H18" s="12">
        <v>2404.4482419999999</v>
      </c>
      <c r="I18" s="12">
        <v>2493.1828609999998</v>
      </c>
      <c r="J18" s="12">
        <v>2532.3876949999999</v>
      </c>
      <c r="K18" s="12">
        <v>2556.943115</v>
      </c>
      <c r="L18" s="12">
        <v>2591.1499020000001</v>
      </c>
      <c r="M18" s="12">
        <v>2619.3190920000002</v>
      </c>
      <c r="N18" s="12">
        <v>2627.7641600000002</v>
      </c>
      <c r="O18" s="12">
        <v>2642.23999</v>
      </c>
      <c r="P18" s="12">
        <v>2653.4028320000002</v>
      </c>
      <c r="Q18" s="12">
        <v>2659.000732</v>
      </c>
      <c r="R18" s="12">
        <v>2675.7734380000002</v>
      </c>
      <c r="S18" s="12">
        <v>2714.3510740000002</v>
      </c>
      <c r="T18" s="12">
        <v>2739.2614749999998</v>
      </c>
      <c r="U18" s="12">
        <v>2735.016846</v>
      </c>
      <c r="V18" s="12">
        <v>2754.3933109999998</v>
      </c>
      <c r="W18" s="12">
        <v>2789.9008789999998</v>
      </c>
      <c r="X18" s="12">
        <v>2827.6472170000002</v>
      </c>
      <c r="Y18" s="12">
        <v>2856.0563959999999</v>
      </c>
      <c r="Z18" s="12">
        <v>2882.984375</v>
      </c>
      <c r="AA18" s="12">
        <v>2912.4614259999998</v>
      </c>
      <c r="AB18" s="12">
        <v>2930.2915039999998</v>
      </c>
      <c r="AC18" s="12">
        <v>2964.4819339999999</v>
      </c>
      <c r="AD18" s="13">
        <v>1.7302000000000001E-2</v>
      </c>
    </row>
    <row r="19" spans="1:30" ht="15" customHeight="1" x14ac:dyDescent="0.25">
      <c r="A19" s="7" t="s">
        <v>34</v>
      </c>
      <c r="B19" s="10" t="s">
        <v>35</v>
      </c>
      <c r="C19" s="14">
        <v>7165.1748049999997</v>
      </c>
      <c r="D19" s="14">
        <v>7229.4931640000004</v>
      </c>
      <c r="E19" s="14">
        <v>7505.9814450000003</v>
      </c>
      <c r="F19" s="14">
        <v>7783.1982420000004</v>
      </c>
      <c r="G19" s="14">
        <v>7978.4091799999997</v>
      </c>
      <c r="H19" s="14">
        <v>8177.7348629999997</v>
      </c>
      <c r="I19" s="14">
        <v>8355.3242190000001</v>
      </c>
      <c r="J19" s="14">
        <v>8522.4765619999998</v>
      </c>
      <c r="K19" s="14">
        <v>8666.4160159999992</v>
      </c>
      <c r="L19" s="14">
        <v>8861.0175780000009</v>
      </c>
      <c r="M19" s="14">
        <v>9044.2675780000009</v>
      </c>
      <c r="N19" s="14">
        <v>9189.2070309999999</v>
      </c>
      <c r="O19" s="14">
        <v>9322.5644530000009</v>
      </c>
      <c r="P19" s="14">
        <v>9448.5332030000009</v>
      </c>
      <c r="Q19" s="14">
        <v>9559.4482420000004</v>
      </c>
      <c r="R19" s="14">
        <v>9692.21875</v>
      </c>
      <c r="S19" s="14">
        <v>9852.5234380000002</v>
      </c>
      <c r="T19" s="14">
        <v>9988.0097659999992</v>
      </c>
      <c r="U19" s="14">
        <v>10104.016602</v>
      </c>
      <c r="V19" s="14">
        <v>10256.875977</v>
      </c>
      <c r="W19" s="14">
        <v>10422.069336</v>
      </c>
      <c r="X19" s="14">
        <v>10595.521484000001</v>
      </c>
      <c r="Y19" s="14">
        <v>10760.157227</v>
      </c>
      <c r="Z19" s="14">
        <v>10941.291015999999</v>
      </c>
      <c r="AA19" s="14">
        <v>11142.21875</v>
      </c>
      <c r="AB19" s="14">
        <v>11319.693359000001</v>
      </c>
      <c r="AC19" s="14">
        <v>11523.486328000001</v>
      </c>
      <c r="AD19" s="15">
        <v>1.8824E-2</v>
      </c>
    </row>
    <row r="21" spans="1:30" ht="15" customHeight="1" x14ac:dyDescent="0.25">
      <c r="B21" s="10" t="s">
        <v>12</v>
      </c>
    </row>
    <row r="22" spans="1:30" ht="15" customHeight="1" x14ac:dyDescent="0.25">
      <c r="B22" s="10" t="s">
        <v>225</v>
      </c>
    </row>
    <row r="23" spans="1:30" ht="15" customHeight="1" x14ac:dyDescent="0.25">
      <c r="A23" s="7" t="s">
        <v>37</v>
      </c>
      <c r="B23" s="11" t="s">
        <v>38</v>
      </c>
      <c r="C23" s="16">
        <v>18.848863999999999</v>
      </c>
      <c r="D23" s="16">
        <v>12.239946</v>
      </c>
      <c r="E23" s="16">
        <v>11.072341</v>
      </c>
      <c r="F23" s="16">
        <v>12.381474000000001</v>
      </c>
      <c r="G23" s="16">
        <v>13.47997</v>
      </c>
      <c r="H23" s="16">
        <v>14.960735</v>
      </c>
      <c r="I23" s="16">
        <v>15.568902</v>
      </c>
      <c r="J23" s="16">
        <v>15.955926</v>
      </c>
      <c r="K23" s="16">
        <v>16.300625</v>
      </c>
      <c r="L23" s="16">
        <v>16.486395000000002</v>
      </c>
      <c r="M23" s="16">
        <v>16.623304000000001</v>
      </c>
      <c r="N23" s="16">
        <v>16.817022000000001</v>
      </c>
      <c r="O23" s="16">
        <v>17.027463999999998</v>
      </c>
      <c r="P23" s="16">
        <v>17.180728999999999</v>
      </c>
      <c r="Q23" s="16">
        <v>17.376145999999999</v>
      </c>
      <c r="R23" s="16">
        <v>17.620142000000001</v>
      </c>
      <c r="S23" s="16">
        <v>17.788464000000001</v>
      </c>
      <c r="T23" s="16">
        <v>18.136623</v>
      </c>
      <c r="U23" s="16">
        <v>18.524726999999999</v>
      </c>
      <c r="V23" s="16">
        <v>18.947745999999999</v>
      </c>
      <c r="W23" s="16">
        <v>19.331032</v>
      </c>
      <c r="X23" s="16">
        <v>19.543596000000001</v>
      </c>
      <c r="Y23" s="16">
        <v>19.876653999999998</v>
      </c>
      <c r="Z23" s="16">
        <v>20.121355000000001</v>
      </c>
      <c r="AA23" s="16">
        <v>20.521334</v>
      </c>
      <c r="AB23" s="16">
        <v>20.833893</v>
      </c>
      <c r="AC23" s="16">
        <v>21.203527000000001</v>
      </c>
      <c r="AD23" s="13">
        <v>2.2221999999999999E-2</v>
      </c>
    </row>
    <row r="24" spans="1:30" ht="15" customHeight="1" x14ac:dyDescent="0.25">
      <c r="A24" s="7" t="s">
        <v>39</v>
      </c>
      <c r="B24" s="11" t="s">
        <v>40</v>
      </c>
      <c r="C24" s="16">
        <v>27.492457999999999</v>
      </c>
      <c r="D24" s="16">
        <v>20.414542999999998</v>
      </c>
      <c r="E24" s="16">
        <v>16.305465999999999</v>
      </c>
      <c r="F24" s="16">
        <v>17.810763999999999</v>
      </c>
      <c r="G24" s="16">
        <v>19.245066000000001</v>
      </c>
      <c r="H24" s="16">
        <v>21.320081999999999</v>
      </c>
      <c r="I24" s="16">
        <v>22.507313</v>
      </c>
      <c r="J24" s="16">
        <v>23.32902</v>
      </c>
      <c r="K24" s="16">
        <v>23.788986000000001</v>
      </c>
      <c r="L24" s="16">
        <v>24.166004000000001</v>
      </c>
      <c r="M24" s="16">
        <v>24.381879999999999</v>
      </c>
      <c r="N24" s="16">
        <v>24.683609000000001</v>
      </c>
      <c r="O24" s="16">
        <v>25.208061000000001</v>
      </c>
      <c r="P24" s="16">
        <v>25.615335000000002</v>
      </c>
      <c r="Q24" s="16">
        <v>25.907812</v>
      </c>
      <c r="R24" s="16">
        <v>26.282494</v>
      </c>
      <c r="S24" s="16">
        <v>26.538233000000002</v>
      </c>
      <c r="T24" s="16">
        <v>27.039283999999999</v>
      </c>
      <c r="U24" s="16">
        <v>27.616035</v>
      </c>
      <c r="V24" s="16">
        <v>28.164843000000001</v>
      </c>
      <c r="W24" s="16">
        <v>28.715047999999999</v>
      </c>
      <c r="X24" s="16">
        <v>28.926331999999999</v>
      </c>
      <c r="Y24" s="16">
        <v>29.503921999999999</v>
      </c>
      <c r="Z24" s="16">
        <v>29.880852000000001</v>
      </c>
      <c r="AA24" s="16">
        <v>30.538450000000001</v>
      </c>
      <c r="AB24" s="16">
        <v>31.141022</v>
      </c>
      <c r="AC24" s="16">
        <v>31.797122999999999</v>
      </c>
      <c r="AD24" s="13">
        <v>1.7883E-2</v>
      </c>
    </row>
    <row r="25" spans="1:30" ht="15" customHeight="1" x14ac:dyDescent="0.25">
      <c r="A25" s="7" t="s">
        <v>41</v>
      </c>
      <c r="B25" s="11" t="s">
        <v>42</v>
      </c>
      <c r="C25" s="16">
        <v>27.061287</v>
      </c>
      <c r="D25" s="16">
        <v>16.999701999999999</v>
      </c>
      <c r="E25" s="16">
        <v>13.115195</v>
      </c>
      <c r="F25" s="16">
        <v>14.845140000000001</v>
      </c>
      <c r="G25" s="16">
        <v>16.532855999999999</v>
      </c>
      <c r="H25" s="16">
        <v>18.809408000000001</v>
      </c>
      <c r="I25" s="16">
        <v>19.707785000000001</v>
      </c>
      <c r="J25" s="16">
        <v>20.436636</v>
      </c>
      <c r="K25" s="16">
        <v>20.963450999999999</v>
      </c>
      <c r="L25" s="16">
        <v>21.376405999999999</v>
      </c>
      <c r="M25" s="16">
        <v>21.767831999999999</v>
      </c>
      <c r="N25" s="16">
        <v>22.223006999999999</v>
      </c>
      <c r="O25" s="16">
        <v>22.782271999999999</v>
      </c>
      <c r="P25" s="16">
        <v>23.237404000000002</v>
      </c>
      <c r="Q25" s="16">
        <v>23.623947000000001</v>
      </c>
      <c r="R25" s="16">
        <v>24.098537</v>
      </c>
      <c r="S25" s="16">
        <v>24.42004</v>
      </c>
      <c r="T25" s="16">
        <v>25.001906999999999</v>
      </c>
      <c r="U25" s="16">
        <v>25.631841999999999</v>
      </c>
      <c r="V25" s="16">
        <v>26.274206</v>
      </c>
      <c r="W25" s="16">
        <v>27.014589000000001</v>
      </c>
      <c r="X25" s="16">
        <v>27.367069000000001</v>
      </c>
      <c r="Y25" s="16">
        <v>28.018764000000001</v>
      </c>
      <c r="Z25" s="16">
        <v>28.438198</v>
      </c>
      <c r="AA25" s="16">
        <v>29.113765999999998</v>
      </c>
      <c r="AB25" s="16">
        <v>29.768948000000002</v>
      </c>
      <c r="AC25" s="16">
        <v>30.402491000000001</v>
      </c>
      <c r="AD25" s="13">
        <v>2.3525999999999998E-2</v>
      </c>
    </row>
    <row r="26" spans="1:30" ht="15" customHeight="1" x14ac:dyDescent="0.25">
      <c r="A26" s="7" t="s">
        <v>43</v>
      </c>
      <c r="B26" s="11" t="s">
        <v>44</v>
      </c>
      <c r="C26" s="16">
        <v>14.995111</v>
      </c>
      <c r="D26" s="16">
        <v>6.7502170000000001</v>
      </c>
      <c r="E26" s="16">
        <v>4.7791579999999998</v>
      </c>
      <c r="F26" s="16">
        <v>6.5216560000000001</v>
      </c>
      <c r="G26" s="16">
        <v>7.798629</v>
      </c>
      <c r="H26" s="16">
        <v>9.9739970000000007</v>
      </c>
      <c r="I26" s="16">
        <v>11.243042000000001</v>
      </c>
      <c r="J26" s="16">
        <v>12.269437999999999</v>
      </c>
      <c r="K26" s="16">
        <v>13.138968</v>
      </c>
      <c r="L26" s="16">
        <v>13.511716</v>
      </c>
      <c r="M26" s="16">
        <v>13.827419000000001</v>
      </c>
      <c r="N26" s="16">
        <v>14.191478999999999</v>
      </c>
      <c r="O26" s="16">
        <v>14.654311999999999</v>
      </c>
      <c r="P26" s="16">
        <v>15.011055000000001</v>
      </c>
      <c r="Q26" s="16">
        <v>15.299362</v>
      </c>
      <c r="R26" s="16">
        <v>15.672708999999999</v>
      </c>
      <c r="S26" s="16">
        <v>15.93882</v>
      </c>
      <c r="T26" s="16">
        <v>16.406131999999999</v>
      </c>
      <c r="U26" s="16">
        <v>16.903179000000002</v>
      </c>
      <c r="V26" s="16">
        <v>17.411653999999999</v>
      </c>
      <c r="W26" s="16">
        <v>17.960245</v>
      </c>
      <c r="X26" s="16">
        <v>18.231674000000002</v>
      </c>
      <c r="Y26" s="16">
        <v>18.737197999999999</v>
      </c>
      <c r="Z26" s="16">
        <v>19.068985000000001</v>
      </c>
      <c r="AA26" s="16">
        <v>19.595424999999999</v>
      </c>
      <c r="AB26" s="16">
        <v>20.10351</v>
      </c>
      <c r="AC26" s="16">
        <v>20.601998999999999</v>
      </c>
      <c r="AD26" s="13">
        <v>4.5643999999999997E-2</v>
      </c>
    </row>
    <row r="27" spans="1:30" ht="15" customHeight="1" x14ac:dyDescent="0.25">
      <c r="A27" s="7" t="s">
        <v>45</v>
      </c>
      <c r="B27" s="11" t="s">
        <v>46</v>
      </c>
      <c r="C27" s="16">
        <v>9.0048469999999998</v>
      </c>
      <c r="D27" s="16">
        <v>3.330009</v>
      </c>
      <c r="E27" s="16">
        <v>2.342562</v>
      </c>
      <c r="F27" s="16">
        <v>3.1838790000000001</v>
      </c>
      <c r="G27" s="16">
        <v>4.7532199999999998</v>
      </c>
      <c r="H27" s="16">
        <v>6.5393920000000003</v>
      </c>
      <c r="I27" s="16">
        <v>7.6951320000000001</v>
      </c>
      <c r="J27" s="16">
        <v>8.6233850000000007</v>
      </c>
      <c r="K27" s="16">
        <v>9.4701690000000003</v>
      </c>
      <c r="L27" s="16">
        <v>9.8080970000000001</v>
      </c>
      <c r="M27" s="16">
        <v>10.029524</v>
      </c>
      <c r="N27" s="16">
        <v>10.301023000000001</v>
      </c>
      <c r="O27" s="16">
        <v>10.708348000000001</v>
      </c>
      <c r="P27" s="16">
        <v>11.010475</v>
      </c>
      <c r="Q27" s="16">
        <v>11.201839</v>
      </c>
      <c r="R27" s="16">
        <v>11.524894</v>
      </c>
      <c r="S27" s="16">
        <v>11.722685</v>
      </c>
      <c r="T27" s="16">
        <v>12.088837</v>
      </c>
      <c r="U27" s="16">
        <v>12.499838</v>
      </c>
      <c r="V27" s="16">
        <v>12.901486</v>
      </c>
      <c r="W27" s="16">
        <v>13.344543</v>
      </c>
      <c r="X27" s="16">
        <v>13.546837</v>
      </c>
      <c r="Y27" s="16">
        <v>13.929104000000001</v>
      </c>
      <c r="Z27" s="16">
        <v>14.187175</v>
      </c>
      <c r="AA27" s="16">
        <v>14.594638</v>
      </c>
      <c r="AB27" s="16">
        <v>14.975447000000001</v>
      </c>
      <c r="AC27" s="16">
        <v>15.369764</v>
      </c>
      <c r="AD27" s="13">
        <v>6.3087000000000004E-2</v>
      </c>
    </row>
    <row r="28" spans="1:30" ht="15" customHeight="1" x14ac:dyDescent="0.25">
      <c r="A28" s="7" t="s">
        <v>47</v>
      </c>
      <c r="B28" s="11" t="s">
        <v>48</v>
      </c>
      <c r="C28" s="16">
        <v>5.1832390000000004</v>
      </c>
      <c r="D28" s="16">
        <v>3.5363570000000002</v>
      </c>
      <c r="E28" s="16">
        <v>3.3406400000000001</v>
      </c>
      <c r="F28" s="16">
        <v>3.8820000000000001</v>
      </c>
      <c r="G28" s="16">
        <v>4.3744500000000004</v>
      </c>
      <c r="H28" s="16">
        <v>4.7841490000000002</v>
      </c>
      <c r="I28" s="16">
        <v>5.110449</v>
      </c>
      <c r="J28" s="16">
        <v>5.1964240000000004</v>
      </c>
      <c r="K28" s="16">
        <v>5.2199429999999998</v>
      </c>
      <c r="L28" s="16">
        <v>5.4114880000000003</v>
      </c>
      <c r="M28" s="16">
        <v>5.520581</v>
      </c>
      <c r="N28" s="16">
        <v>5.6812180000000003</v>
      </c>
      <c r="O28" s="16">
        <v>5.6432320000000002</v>
      </c>
      <c r="P28" s="16">
        <v>5.5046410000000003</v>
      </c>
      <c r="Q28" s="16">
        <v>5.4598370000000003</v>
      </c>
      <c r="R28" s="16">
        <v>5.4221009999999996</v>
      </c>
      <c r="S28" s="16">
        <v>5.3978739999999998</v>
      </c>
      <c r="T28" s="16">
        <v>5.4003949999999996</v>
      </c>
      <c r="U28" s="16">
        <v>5.4899259999999996</v>
      </c>
      <c r="V28" s="16">
        <v>5.505109</v>
      </c>
      <c r="W28" s="16">
        <v>5.4980900000000004</v>
      </c>
      <c r="X28" s="16">
        <v>5.4699489999999997</v>
      </c>
      <c r="Y28" s="16">
        <v>5.4360780000000002</v>
      </c>
      <c r="Z28" s="16">
        <v>5.4030120000000004</v>
      </c>
      <c r="AA28" s="16">
        <v>5.3999790000000001</v>
      </c>
      <c r="AB28" s="16">
        <v>5.4016510000000002</v>
      </c>
      <c r="AC28" s="16">
        <v>5.3720889999999999</v>
      </c>
      <c r="AD28" s="13">
        <v>1.6865000000000002E-2</v>
      </c>
    </row>
    <row r="29" spans="1:30" ht="15" customHeight="1" x14ac:dyDescent="0.25">
      <c r="A29" s="7" t="s">
        <v>49</v>
      </c>
      <c r="B29" s="11" t="s">
        <v>50</v>
      </c>
      <c r="C29" s="16">
        <v>5.6014910000000002</v>
      </c>
      <c r="D29" s="16">
        <v>3.8954049999999998</v>
      </c>
      <c r="E29" s="16">
        <v>3.6736689999999999</v>
      </c>
      <c r="F29" s="16">
        <v>4.2010160000000001</v>
      </c>
      <c r="G29" s="16">
        <v>4.6702070000000004</v>
      </c>
      <c r="H29" s="16">
        <v>5.0912430000000004</v>
      </c>
      <c r="I29" s="16">
        <v>5.4346860000000001</v>
      </c>
      <c r="J29" s="16">
        <v>5.5047750000000004</v>
      </c>
      <c r="K29" s="16">
        <v>5.5140900000000004</v>
      </c>
      <c r="L29" s="16">
        <v>5.703538</v>
      </c>
      <c r="M29" s="16">
        <v>5.8178010000000002</v>
      </c>
      <c r="N29" s="16">
        <v>5.9715090000000002</v>
      </c>
      <c r="O29" s="16">
        <v>5.9254740000000004</v>
      </c>
      <c r="P29" s="16">
        <v>5.7835450000000002</v>
      </c>
      <c r="Q29" s="16">
        <v>5.7466480000000004</v>
      </c>
      <c r="R29" s="16">
        <v>5.7042339999999996</v>
      </c>
      <c r="S29" s="16">
        <v>5.6854100000000001</v>
      </c>
      <c r="T29" s="16">
        <v>5.69095</v>
      </c>
      <c r="U29" s="16">
        <v>5.779274</v>
      </c>
      <c r="V29" s="16">
        <v>5.7987960000000003</v>
      </c>
      <c r="W29" s="16">
        <v>5.7903099999999998</v>
      </c>
      <c r="X29" s="16">
        <v>5.7534479999999997</v>
      </c>
      <c r="Y29" s="16">
        <v>5.7198000000000002</v>
      </c>
      <c r="Z29" s="16">
        <v>5.6830730000000003</v>
      </c>
      <c r="AA29" s="16">
        <v>5.6723460000000001</v>
      </c>
      <c r="AB29" s="16">
        <v>5.6711280000000004</v>
      </c>
      <c r="AC29" s="16">
        <v>5.6385069999999997</v>
      </c>
      <c r="AD29" s="13">
        <v>1.4903E-2</v>
      </c>
    </row>
    <row r="30" spans="1:30" ht="15" customHeight="1" x14ac:dyDescent="0.25">
      <c r="A30" s="7" t="s">
        <v>51</v>
      </c>
      <c r="B30" s="11" t="s">
        <v>52</v>
      </c>
      <c r="C30" s="16">
        <v>5.3476540000000004</v>
      </c>
      <c r="D30" s="16">
        <v>5.3564369999999997</v>
      </c>
      <c r="E30" s="16">
        <v>5.5611240000000004</v>
      </c>
      <c r="F30" s="16">
        <v>5.7107950000000001</v>
      </c>
      <c r="G30" s="16">
        <v>5.8003859999999996</v>
      </c>
      <c r="H30" s="16">
        <v>5.9089359999999997</v>
      </c>
      <c r="I30" s="16">
        <v>6.0410159999999999</v>
      </c>
      <c r="J30" s="16">
        <v>6.1307539999999996</v>
      </c>
      <c r="K30" s="16">
        <v>6.2084570000000001</v>
      </c>
      <c r="L30" s="16">
        <v>6.3051149999999998</v>
      </c>
      <c r="M30" s="16">
        <v>6.4049170000000002</v>
      </c>
      <c r="N30" s="16">
        <v>6.5089509999999997</v>
      </c>
      <c r="O30" s="16">
        <v>6.6105390000000002</v>
      </c>
      <c r="P30" s="16">
        <v>6.6967869999999996</v>
      </c>
      <c r="Q30" s="16">
        <v>6.7906469999999999</v>
      </c>
      <c r="R30" s="16">
        <v>6.8721940000000004</v>
      </c>
      <c r="S30" s="16">
        <v>6.9601050000000004</v>
      </c>
      <c r="T30" s="16">
        <v>7.0113430000000001</v>
      </c>
      <c r="U30" s="16">
        <v>7.0696500000000002</v>
      </c>
      <c r="V30" s="16">
        <v>7.114452</v>
      </c>
      <c r="W30" s="16">
        <v>7.1584760000000003</v>
      </c>
      <c r="X30" s="16">
        <v>7.2058989999999996</v>
      </c>
      <c r="Y30" s="16">
        <v>7.258947</v>
      </c>
      <c r="Z30" s="16">
        <v>7.2986639999999996</v>
      </c>
      <c r="AA30" s="16">
        <v>7.3243179999999999</v>
      </c>
      <c r="AB30" s="16">
        <v>7.2979029999999998</v>
      </c>
      <c r="AC30" s="16">
        <v>7.2274890000000003</v>
      </c>
      <c r="AD30" s="13">
        <v>1.2056000000000001E-2</v>
      </c>
    </row>
    <row r="31" spans="1:30" ht="15" customHeight="1" x14ac:dyDescent="0.25">
      <c r="A31" s="7" t="s">
        <v>53</v>
      </c>
      <c r="B31" s="11" t="s">
        <v>54</v>
      </c>
      <c r="C31" s="16">
        <v>3.2046559999999999</v>
      </c>
      <c r="D31" s="16">
        <v>3.364449</v>
      </c>
      <c r="E31" s="16">
        <v>3.3006250000000001</v>
      </c>
      <c r="F31" s="16">
        <v>3.2906439999999999</v>
      </c>
      <c r="G31" s="16">
        <v>3.3329840000000002</v>
      </c>
      <c r="H31" s="16">
        <v>3.361653</v>
      </c>
      <c r="I31" s="16">
        <v>3.4005709999999998</v>
      </c>
      <c r="J31" s="16">
        <v>3.4166310000000002</v>
      </c>
      <c r="K31" s="16">
        <v>3.4182579999999998</v>
      </c>
      <c r="L31" s="16">
        <v>3.4293659999999999</v>
      </c>
      <c r="M31" s="16">
        <v>3.440029</v>
      </c>
      <c r="N31" s="16">
        <v>3.4469159999999999</v>
      </c>
      <c r="O31" s="16">
        <v>3.460194</v>
      </c>
      <c r="P31" s="16">
        <v>3.46577</v>
      </c>
      <c r="Q31" s="16">
        <v>3.4787400000000002</v>
      </c>
      <c r="R31" s="16">
        <v>3.4869289999999999</v>
      </c>
      <c r="S31" s="16">
        <v>3.4968430000000001</v>
      </c>
      <c r="T31" s="16">
        <v>3.5059809999999998</v>
      </c>
      <c r="U31" s="16">
        <v>3.515504</v>
      </c>
      <c r="V31" s="16">
        <v>3.5214629999999998</v>
      </c>
      <c r="W31" s="16">
        <v>3.5368620000000002</v>
      </c>
      <c r="X31" s="16">
        <v>3.5530360000000001</v>
      </c>
      <c r="Y31" s="16">
        <v>3.580184</v>
      </c>
      <c r="Z31" s="16">
        <v>3.6080510000000001</v>
      </c>
      <c r="AA31" s="16">
        <v>3.642703</v>
      </c>
      <c r="AB31" s="16">
        <v>3.6744029999999999</v>
      </c>
      <c r="AC31" s="16">
        <v>3.7084350000000001</v>
      </c>
      <c r="AD31" s="13">
        <v>3.901E-3</v>
      </c>
    </row>
    <row r="32" spans="1:30" ht="15" customHeight="1" x14ac:dyDescent="0.25">
      <c r="A32" s="7" t="s">
        <v>55</v>
      </c>
      <c r="B32" s="11" t="s">
        <v>56</v>
      </c>
      <c r="C32" s="13" t="s">
        <v>13</v>
      </c>
      <c r="D32" s="13" t="s">
        <v>13</v>
      </c>
      <c r="E32" s="13" t="s">
        <v>13</v>
      </c>
      <c r="F32" s="13" t="s">
        <v>13</v>
      </c>
      <c r="G32" s="13" t="s">
        <v>13</v>
      </c>
      <c r="H32" s="13" t="s">
        <v>13</v>
      </c>
      <c r="I32" s="13" t="s">
        <v>13</v>
      </c>
      <c r="J32" s="13" t="s">
        <v>13</v>
      </c>
      <c r="K32" s="13" t="s">
        <v>13</v>
      </c>
      <c r="L32" s="13" t="s">
        <v>13</v>
      </c>
      <c r="M32" s="13" t="s">
        <v>13</v>
      </c>
      <c r="N32" s="13" t="s">
        <v>13</v>
      </c>
      <c r="O32" s="13" t="s">
        <v>13</v>
      </c>
      <c r="P32" s="13" t="s">
        <v>13</v>
      </c>
      <c r="Q32" s="13" t="s">
        <v>13</v>
      </c>
      <c r="R32" s="13" t="s">
        <v>13</v>
      </c>
      <c r="S32" s="13" t="s">
        <v>13</v>
      </c>
      <c r="T32" s="13" t="s">
        <v>13</v>
      </c>
      <c r="U32" s="13" t="s">
        <v>13</v>
      </c>
      <c r="V32" s="13" t="s">
        <v>13</v>
      </c>
      <c r="W32" s="13" t="s">
        <v>13</v>
      </c>
      <c r="X32" s="13" t="s">
        <v>13</v>
      </c>
      <c r="Y32" s="13" t="s">
        <v>13</v>
      </c>
      <c r="Z32" s="13" t="s">
        <v>13</v>
      </c>
      <c r="AA32" s="13" t="s">
        <v>13</v>
      </c>
      <c r="AB32" s="13" t="s">
        <v>13</v>
      </c>
      <c r="AC32" s="13" t="s">
        <v>13</v>
      </c>
      <c r="AD32" s="13" t="s">
        <v>13</v>
      </c>
    </row>
    <row r="33" spans="1:30" ht="15" customHeight="1" x14ac:dyDescent="0.25">
      <c r="A33" s="7" t="s">
        <v>57</v>
      </c>
      <c r="B33" s="11" t="s">
        <v>58</v>
      </c>
      <c r="C33" s="16">
        <v>20.997305000000001</v>
      </c>
      <c r="D33" s="16">
        <v>20.283515999999999</v>
      </c>
      <c r="E33" s="16">
        <v>19.969984</v>
      </c>
      <c r="F33" s="16">
        <v>19.785869999999999</v>
      </c>
      <c r="G33" s="16">
        <v>20.116087</v>
      </c>
      <c r="H33" s="16">
        <v>20.640335</v>
      </c>
      <c r="I33" s="16">
        <v>20.827186999999999</v>
      </c>
      <c r="J33" s="16">
        <v>20.893688000000001</v>
      </c>
      <c r="K33" s="16">
        <v>20.805969000000001</v>
      </c>
      <c r="L33" s="16">
        <v>20.869585000000001</v>
      </c>
      <c r="M33" s="16">
        <v>20.977989000000001</v>
      </c>
      <c r="N33" s="16">
        <v>21.136837</v>
      </c>
      <c r="O33" s="16">
        <v>21.180178000000002</v>
      </c>
      <c r="P33" s="16">
        <v>20.978159000000002</v>
      </c>
      <c r="Q33" s="16">
        <v>20.906725000000002</v>
      </c>
      <c r="R33" s="16">
        <v>20.81101</v>
      </c>
      <c r="S33" s="16">
        <v>20.807699</v>
      </c>
      <c r="T33" s="16">
        <v>20.827974000000001</v>
      </c>
      <c r="U33" s="16">
        <v>20.820779999999999</v>
      </c>
      <c r="V33" s="16">
        <v>20.826962999999999</v>
      </c>
      <c r="W33" s="16">
        <v>20.884582999999999</v>
      </c>
      <c r="X33" s="16">
        <v>20.801727</v>
      </c>
      <c r="Y33" s="16">
        <v>20.747838999999999</v>
      </c>
      <c r="Z33" s="16">
        <v>20.669456</v>
      </c>
      <c r="AA33" s="16">
        <v>20.7883</v>
      </c>
      <c r="AB33" s="16">
        <v>20.724160999999999</v>
      </c>
      <c r="AC33" s="16">
        <v>20.675212999999999</v>
      </c>
      <c r="AD33" s="13">
        <v>7.6499999999999995E-4</v>
      </c>
    </row>
    <row r="34" spans="1:30" ht="15" customHeight="1" x14ac:dyDescent="0.25">
      <c r="B34" s="10" t="s">
        <v>59</v>
      </c>
    </row>
    <row r="35" spans="1:30" ht="15" customHeight="1" x14ac:dyDescent="0.25">
      <c r="A35" s="7" t="s">
        <v>60</v>
      </c>
      <c r="B35" s="11" t="s">
        <v>38</v>
      </c>
      <c r="C35" s="16">
        <v>18.653960999999999</v>
      </c>
      <c r="D35" s="16">
        <v>12.239946</v>
      </c>
      <c r="E35" s="16">
        <v>11.277111</v>
      </c>
      <c r="F35" s="16">
        <v>12.874319</v>
      </c>
      <c r="G35" s="16">
        <v>14.291022999999999</v>
      </c>
      <c r="H35" s="16">
        <v>16.177464000000001</v>
      </c>
      <c r="I35" s="16">
        <v>17.197824000000001</v>
      </c>
      <c r="J35" s="16">
        <v>18.019423</v>
      </c>
      <c r="K35" s="16">
        <v>18.800619000000001</v>
      </c>
      <c r="L35" s="16">
        <v>19.390539</v>
      </c>
      <c r="M35" s="16">
        <v>19.916328</v>
      </c>
      <c r="N35" s="16">
        <v>20.524135999999999</v>
      </c>
      <c r="O35" s="16">
        <v>21.180239</v>
      </c>
      <c r="P35" s="16">
        <v>21.790997999999998</v>
      </c>
      <c r="Q35" s="16">
        <v>22.482793999999998</v>
      </c>
      <c r="R35" s="16">
        <v>23.273707999999999</v>
      </c>
      <c r="S35" s="16">
        <v>24.002741</v>
      </c>
      <c r="T35" s="16">
        <v>25.020655000000001</v>
      </c>
      <c r="U35" s="16">
        <v>26.138500000000001</v>
      </c>
      <c r="V35" s="16">
        <v>27.355059000000001</v>
      </c>
      <c r="W35" s="16">
        <v>28.556795000000001</v>
      </c>
      <c r="X35" s="16">
        <v>29.535021</v>
      </c>
      <c r="Y35" s="16">
        <v>30.715714999999999</v>
      </c>
      <c r="Z35" s="16">
        <v>31.780795999999999</v>
      </c>
      <c r="AA35" s="16">
        <v>33.126690000000004</v>
      </c>
      <c r="AB35" s="16">
        <v>34.355431000000003</v>
      </c>
      <c r="AC35" s="16">
        <v>35.697552000000002</v>
      </c>
      <c r="AD35" s="13">
        <v>4.3744999999999999E-2</v>
      </c>
    </row>
    <row r="36" spans="1:30" ht="15" customHeight="1" x14ac:dyDescent="0.25">
      <c r="A36" s="7" t="s">
        <v>61</v>
      </c>
      <c r="B36" s="11" t="s">
        <v>40</v>
      </c>
      <c r="C36" s="16">
        <v>27.208178</v>
      </c>
      <c r="D36" s="16">
        <v>20.414542999999998</v>
      </c>
      <c r="E36" s="16">
        <v>16.607018</v>
      </c>
      <c r="F36" s="16">
        <v>18.519722000000002</v>
      </c>
      <c r="G36" s="16">
        <v>20.402988000000001</v>
      </c>
      <c r="H36" s="16">
        <v>23.054005</v>
      </c>
      <c r="I36" s="16">
        <v>24.862179000000001</v>
      </c>
      <c r="J36" s="16">
        <v>26.346041</v>
      </c>
      <c r="K36" s="16">
        <v>27.437456000000001</v>
      </c>
      <c r="L36" s="16">
        <v>28.422941000000002</v>
      </c>
      <c r="M36" s="16">
        <v>29.211853000000001</v>
      </c>
      <c r="N36" s="16">
        <v>30.124817</v>
      </c>
      <c r="O36" s="16">
        <v>31.355975999999998</v>
      </c>
      <c r="P36" s="16">
        <v>32.488945000000001</v>
      </c>
      <c r="Q36" s="16">
        <v>33.521816000000001</v>
      </c>
      <c r="R36" s="16">
        <v>34.715446</v>
      </c>
      <c r="S36" s="16">
        <v>35.809184999999999</v>
      </c>
      <c r="T36" s="16">
        <v>37.302455999999999</v>
      </c>
      <c r="U36" s="16">
        <v>38.966392999999997</v>
      </c>
      <c r="V36" s="16">
        <v>40.661876999999997</v>
      </c>
      <c r="W36" s="16">
        <v>42.419345999999997</v>
      </c>
      <c r="X36" s="16">
        <v>43.714565</v>
      </c>
      <c r="Y36" s="16">
        <v>45.592888000000002</v>
      </c>
      <c r="Z36" s="16">
        <v>47.195492000000002</v>
      </c>
      <c r="AA36" s="16">
        <v>49.296883000000001</v>
      </c>
      <c r="AB36" s="16">
        <v>51.352055</v>
      </c>
      <c r="AC36" s="16">
        <v>53.532578000000001</v>
      </c>
      <c r="AD36" s="13">
        <v>3.9315000000000003E-2</v>
      </c>
    </row>
    <row r="37" spans="1:30" ht="15" customHeight="1" x14ac:dyDescent="0.25">
      <c r="A37" s="7" t="s">
        <v>62</v>
      </c>
      <c r="B37" s="11" t="s">
        <v>42</v>
      </c>
      <c r="C37" s="16">
        <v>26.781464</v>
      </c>
      <c r="D37" s="16">
        <v>16.999701999999999</v>
      </c>
      <c r="E37" s="16">
        <v>13.357746000000001</v>
      </c>
      <c r="F37" s="16">
        <v>15.436051000000001</v>
      </c>
      <c r="G37" s="16">
        <v>17.527591999999999</v>
      </c>
      <c r="H37" s="16">
        <v>20.339144000000001</v>
      </c>
      <c r="I37" s="16">
        <v>21.769745</v>
      </c>
      <c r="J37" s="16">
        <v>23.079599000000002</v>
      </c>
      <c r="K37" s="16">
        <v>24.178574000000001</v>
      </c>
      <c r="L37" s="16">
        <v>25.141945</v>
      </c>
      <c r="M37" s="16">
        <v>26.079968999999998</v>
      </c>
      <c r="N37" s="16">
        <v>27.121804999999998</v>
      </c>
      <c r="O37" s="16">
        <v>28.338567999999999</v>
      </c>
      <c r="P37" s="16">
        <v>29.472919000000001</v>
      </c>
      <c r="Q37" s="16">
        <v>30.566749999999999</v>
      </c>
      <c r="R37" s="16">
        <v>31.830750999999999</v>
      </c>
      <c r="S37" s="16">
        <v>32.951014999999998</v>
      </c>
      <c r="T37" s="16">
        <v>34.491759999999999</v>
      </c>
      <c r="U37" s="16">
        <v>36.166682999999999</v>
      </c>
      <c r="V37" s="16">
        <v>37.932346000000003</v>
      </c>
      <c r="W37" s="16">
        <v>39.907341000000002</v>
      </c>
      <c r="X37" s="16">
        <v>41.358147000000002</v>
      </c>
      <c r="Y37" s="16">
        <v>43.297848000000002</v>
      </c>
      <c r="Z37" s="16">
        <v>44.916882000000001</v>
      </c>
      <c r="AA37" s="16">
        <v>46.997078000000002</v>
      </c>
      <c r="AB37" s="16">
        <v>49.089485000000003</v>
      </c>
      <c r="AC37" s="16">
        <v>51.184620000000002</v>
      </c>
      <c r="AD37" s="13">
        <v>4.5075999999999998E-2</v>
      </c>
    </row>
    <row r="38" spans="1:30" ht="15" customHeight="1" x14ac:dyDescent="0.25">
      <c r="A38" s="7" t="s">
        <v>63</v>
      </c>
      <c r="B38" s="11" t="s">
        <v>44</v>
      </c>
      <c r="C38" s="16">
        <v>14.840057</v>
      </c>
      <c r="D38" s="16">
        <v>6.7502170000000001</v>
      </c>
      <c r="E38" s="16">
        <v>4.8675430000000004</v>
      </c>
      <c r="F38" s="16">
        <v>6.78125</v>
      </c>
      <c r="G38" s="16">
        <v>8.2678519999999995</v>
      </c>
      <c r="H38" s="16">
        <v>10.785164</v>
      </c>
      <c r="I38" s="16">
        <v>12.419364</v>
      </c>
      <c r="J38" s="16">
        <v>13.85618</v>
      </c>
      <c r="K38" s="16">
        <v>15.154066</v>
      </c>
      <c r="L38" s="16">
        <v>15.891859</v>
      </c>
      <c r="M38" s="16">
        <v>16.566586999999998</v>
      </c>
      <c r="N38" s="16">
        <v>17.319821999999998</v>
      </c>
      <c r="O38" s="16">
        <v>18.228306</v>
      </c>
      <c r="P38" s="16">
        <v>19.039116</v>
      </c>
      <c r="Q38" s="16">
        <v>19.795667999999999</v>
      </c>
      <c r="R38" s="16">
        <v>20.701426000000001</v>
      </c>
      <c r="S38" s="16">
        <v>21.506938999999999</v>
      </c>
      <c r="T38" s="16">
        <v>22.633327000000001</v>
      </c>
      <c r="U38" s="16">
        <v>23.850487000000001</v>
      </c>
      <c r="V38" s="16">
        <v>25.137385999999999</v>
      </c>
      <c r="W38" s="16">
        <v>26.531798999999999</v>
      </c>
      <c r="X38" s="16">
        <v>27.552392999999999</v>
      </c>
      <c r="Y38" s="16">
        <v>28.954895</v>
      </c>
      <c r="Z38" s="16">
        <v>30.118624000000001</v>
      </c>
      <c r="AA38" s="16">
        <v>31.632038000000001</v>
      </c>
      <c r="AB38" s="16">
        <v>33.151020000000003</v>
      </c>
      <c r="AC38" s="16">
        <v>34.684837000000002</v>
      </c>
      <c r="AD38" s="13">
        <v>6.7659999999999998E-2</v>
      </c>
    </row>
    <row r="39" spans="1:30" ht="15" customHeight="1" x14ac:dyDescent="0.25">
      <c r="A39" s="7" t="s">
        <v>64</v>
      </c>
      <c r="B39" s="11" t="s">
        <v>46</v>
      </c>
      <c r="C39" s="16">
        <v>8.9117339999999992</v>
      </c>
      <c r="D39" s="16">
        <v>3.330009</v>
      </c>
      <c r="E39" s="16">
        <v>2.385885</v>
      </c>
      <c r="F39" s="16">
        <v>3.3106140000000002</v>
      </c>
      <c r="G39" s="16">
        <v>5.0392080000000004</v>
      </c>
      <c r="H39" s="16">
        <v>7.0712289999999998</v>
      </c>
      <c r="I39" s="16">
        <v>8.5002479999999991</v>
      </c>
      <c r="J39" s="16">
        <v>9.7386040000000005</v>
      </c>
      <c r="K39" s="16">
        <v>10.922589</v>
      </c>
      <c r="L39" s="16">
        <v>11.535831999999999</v>
      </c>
      <c r="M39" s="16">
        <v>12.01634</v>
      </c>
      <c r="N39" s="16">
        <v>12.571761</v>
      </c>
      <c r="O39" s="16">
        <v>13.319974</v>
      </c>
      <c r="P39" s="16">
        <v>13.965021999999999</v>
      </c>
      <c r="Q39" s="16">
        <v>14.493929</v>
      </c>
      <c r="R39" s="16">
        <v>15.22275</v>
      </c>
      <c r="S39" s="16">
        <v>15.817924</v>
      </c>
      <c r="T39" s="16">
        <v>16.677337999999999</v>
      </c>
      <c r="U39" s="16">
        <v>17.637343999999999</v>
      </c>
      <c r="V39" s="16">
        <v>18.626010999999998</v>
      </c>
      <c r="W39" s="16">
        <v>19.713245000000001</v>
      </c>
      <c r="X39" s="16">
        <v>20.472490000000001</v>
      </c>
      <c r="Y39" s="16">
        <v>21.524868000000001</v>
      </c>
      <c r="Z39" s="16">
        <v>22.408017999999998</v>
      </c>
      <c r="AA39" s="16">
        <v>23.559484000000001</v>
      </c>
      <c r="AB39" s="16">
        <v>24.694756000000002</v>
      </c>
      <c r="AC39" s="16">
        <v>25.876021999999999</v>
      </c>
      <c r="AD39" s="13">
        <v>8.5471000000000005E-2</v>
      </c>
    </row>
    <row r="40" spans="1:30" ht="15" customHeight="1" x14ac:dyDescent="0.25">
      <c r="A40" s="7" t="s">
        <v>65</v>
      </c>
      <c r="B40" s="11" t="s">
        <v>48</v>
      </c>
      <c r="C40" s="16">
        <v>5.1296419999999996</v>
      </c>
      <c r="D40" s="16">
        <v>3.5363570000000002</v>
      </c>
      <c r="E40" s="16">
        <v>3.4024209999999999</v>
      </c>
      <c r="F40" s="16">
        <v>4.0365229999999999</v>
      </c>
      <c r="G40" s="16">
        <v>4.6376489999999997</v>
      </c>
      <c r="H40" s="16">
        <v>5.173235</v>
      </c>
      <c r="I40" s="16">
        <v>5.6451390000000004</v>
      </c>
      <c r="J40" s="16">
        <v>5.8684500000000002</v>
      </c>
      <c r="K40" s="16">
        <v>6.0205149999999996</v>
      </c>
      <c r="L40" s="16">
        <v>6.3647429999999998</v>
      </c>
      <c r="M40" s="16">
        <v>6.6141909999999999</v>
      </c>
      <c r="N40" s="16">
        <v>6.9335750000000003</v>
      </c>
      <c r="O40" s="16">
        <v>7.0195420000000004</v>
      </c>
      <c r="P40" s="16">
        <v>6.9817539999999996</v>
      </c>
      <c r="Q40" s="16">
        <v>7.064419</v>
      </c>
      <c r="R40" s="16">
        <v>7.1618259999999996</v>
      </c>
      <c r="S40" s="16">
        <v>7.2835850000000004</v>
      </c>
      <c r="T40" s="16">
        <v>7.4501980000000003</v>
      </c>
      <c r="U40" s="16">
        <v>7.7463189999999997</v>
      </c>
      <c r="V40" s="16">
        <v>7.9477840000000004</v>
      </c>
      <c r="W40" s="16">
        <v>8.1220630000000007</v>
      </c>
      <c r="X40" s="16">
        <v>8.266394</v>
      </c>
      <c r="Y40" s="16">
        <v>8.4004589999999997</v>
      </c>
      <c r="Z40" s="16">
        <v>8.5338200000000004</v>
      </c>
      <c r="AA40" s="16">
        <v>8.7169489999999996</v>
      </c>
      <c r="AB40" s="16">
        <v>8.9074120000000008</v>
      </c>
      <c r="AC40" s="16">
        <v>9.0442699999999991</v>
      </c>
      <c r="AD40" s="13">
        <v>3.8275999999999998E-2</v>
      </c>
    </row>
    <row r="41" spans="1:30" ht="15" customHeight="1" x14ac:dyDescent="0.25">
      <c r="A41" s="7" t="s">
        <v>66</v>
      </c>
      <c r="B41" s="11" t="s">
        <v>50</v>
      </c>
      <c r="C41" s="16">
        <v>5.5435699999999999</v>
      </c>
      <c r="D41" s="16">
        <v>3.8954049999999998</v>
      </c>
      <c r="E41" s="16">
        <v>3.7416100000000001</v>
      </c>
      <c r="F41" s="16">
        <v>4.3682379999999998</v>
      </c>
      <c r="G41" s="16">
        <v>4.9512</v>
      </c>
      <c r="H41" s="16">
        <v>5.5053039999999998</v>
      </c>
      <c r="I41" s="16">
        <v>6.0032990000000002</v>
      </c>
      <c r="J41" s="16">
        <v>6.2166790000000001</v>
      </c>
      <c r="K41" s="16">
        <v>6.359775</v>
      </c>
      <c r="L41" s="16">
        <v>6.7082389999999998</v>
      </c>
      <c r="M41" s="16">
        <v>6.970288</v>
      </c>
      <c r="N41" s="16">
        <v>7.2878579999999999</v>
      </c>
      <c r="O41" s="16">
        <v>7.3706189999999996</v>
      </c>
      <c r="P41" s="16">
        <v>7.3354999999999997</v>
      </c>
      <c r="Q41" s="16">
        <v>7.4355209999999996</v>
      </c>
      <c r="R41" s="16">
        <v>7.534484</v>
      </c>
      <c r="S41" s="16">
        <v>7.6715689999999999</v>
      </c>
      <c r="T41" s="16">
        <v>7.8510369999999998</v>
      </c>
      <c r="U41" s="16">
        <v>8.1545900000000007</v>
      </c>
      <c r="V41" s="16">
        <v>8.3717830000000006</v>
      </c>
      <c r="W41" s="16">
        <v>8.5537449999999993</v>
      </c>
      <c r="X41" s="16">
        <v>8.6948279999999993</v>
      </c>
      <c r="Y41" s="16">
        <v>8.8389009999999999</v>
      </c>
      <c r="Z41" s="16">
        <v>8.9761640000000007</v>
      </c>
      <c r="AA41" s="16">
        <v>9.1566200000000002</v>
      </c>
      <c r="AB41" s="16">
        <v>9.3517829999999993</v>
      </c>
      <c r="AC41" s="16">
        <v>9.4928039999999996</v>
      </c>
      <c r="AD41" s="13">
        <v>3.6271999999999999E-2</v>
      </c>
    </row>
    <row r="42" spans="1:30" ht="15" customHeight="1" x14ac:dyDescent="0.25">
      <c r="A42" s="7" t="s">
        <v>67</v>
      </c>
      <c r="B42" s="11" t="s">
        <v>52</v>
      </c>
      <c r="C42" s="16">
        <v>5.2923580000000001</v>
      </c>
      <c r="D42" s="16">
        <v>5.3564369999999997</v>
      </c>
      <c r="E42" s="16">
        <v>5.6639710000000001</v>
      </c>
      <c r="F42" s="16">
        <v>5.9381139999999997</v>
      </c>
      <c r="G42" s="16">
        <v>6.1493799999999998</v>
      </c>
      <c r="H42" s="16">
        <v>6.3894979999999997</v>
      </c>
      <c r="I42" s="16">
        <v>6.6730669999999996</v>
      </c>
      <c r="J42" s="16">
        <v>6.9236129999999996</v>
      </c>
      <c r="K42" s="16">
        <v>7.1606360000000002</v>
      </c>
      <c r="L42" s="16">
        <v>7.4157859999999998</v>
      </c>
      <c r="M42" s="16">
        <v>7.6737099999999998</v>
      </c>
      <c r="N42" s="16">
        <v>7.9437720000000001</v>
      </c>
      <c r="O42" s="16">
        <v>8.2227619999999995</v>
      </c>
      <c r="P42" s="16">
        <v>8.4938000000000002</v>
      </c>
      <c r="Q42" s="16">
        <v>8.7863380000000006</v>
      </c>
      <c r="R42" s="16">
        <v>9.0771940000000004</v>
      </c>
      <c r="S42" s="16">
        <v>9.3915710000000008</v>
      </c>
      <c r="T42" s="16">
        <v>9.672606</v>
      </c>
      <c r="U42" s="16">
        <v>9.9753170000000004</v>
      </c>
      <c r="V42" s="16">
        <v>10.271209000000001</v>
      </c>
      <c r="W42" s="16">
        <v>10.574870000000001</v>
      </c>
      <c r="X42" s="16">
        <v>10.889827</v>
      </c>
      <c r="Y42" s="16">
        <v>11.217368</v>
      </c>
      <c r="Z42" s="16">
        <v>11.527918</v>
      </c>
      <c r="AA42" s="16">
        <v>11.823326</v>
      </c>
      <c r="AB42" s="16">
        <v>12.034361000000001</v>
      </c>
      <c r="AC42" s="16">
        <v>12.167959</v>
      </c>
      <c r="AD42" s="13">
        <v>3.3364999999999999E-2</v>
      </c>
    </row>
    <row r="43" spans="1:30" ht="15" customHeight="1" x14ac:dyDescent="0.25">
      <c r="A43" s="7" t="s">
        <v>68</v>
      </c>
      <c r="B43" s="11" t="s">
        <v>54</v>
      </c>
      <c r="C43" s="16">
        <v>3.171519</v>
      </c>
      <c r="D43" s="16">
        <v>3.364449</v>
      </c>
      <c r="E43" s="16">
        <v>3.361666</v>
      </c>
      <c r="F43" s="16">
        <v>3.4216280000000001</v>
      </c>
      <c r="G43" s="16">
        <v>3.5335209999999999</v>
      </c>
      <c r="H43" s="16">
        <v>3.6350500000000001</v>
      </c>
      <c r="I43" s="16">
        <v>3.7563620000000002</v>
      </c>
      <c r="J43" s="16">
        <v>3.8584870000000002</v>
      </c>
      <c r="K43" s="16">
        <v>3.94251</v>
      </c>
      <c r="L43" s="16">
        <v>4.0334620000000001</v>
      </c>
      <c r="M43" s="16">
        <v>4.1214880000000003</v>
      </c>
      <c r="N43" s="16">
        <v>4.2067480000000002</v>
      </c>
      <c r="O43" s="16">
        <v>4.3040890000000003</v>
      </c>
      <c r="P43" s="16">
        <v>4.3957730000000002</v>
      </c>
      <c r="Q43" s="16">
        <v>4.5011010000000002</v>
      </c>
      <c r="R43" s="16">
        <v>4.6057389999999998</v>
      </c>
      <c r="S43" s="16">
        <v>4.7184410000000003</v>
      </c>
      <c r="T43" s="16">
        <v>4.8367290000000001</v>
      </c>
      <c r="U43" s="16">
        <v>4.9603970000000004</v>
      </c>
      <c r="V43" s="16">
        <v>5.0839730000000003</v>
      </c>
      <c r="W43" s="16">
        <v>5.2248340000000004</v>
      </c>
      <c r="X43" s="16">
        <v>5.3694819999999996</v>
      </c>
      <c r="Y43" s="16">
        <v>5.5325160000000002</v>
      </c>
      <c r="Z43" s="16">
        <v>5.6987579999999998</v>
      </c>
      <c r="AA43" s="16">
        <v>5.8802560000000001</v>
      </c>
      <c r="AB43" s="16">
        <v>6.059151</v>
      </c>
      <c r="AC43" s="16">
        <v>6.243398</v>
      </c>
      <c r="AD43" s="13">
        <v>2.5038999999999999E-2</v>
      </c>
    </row>
    <row r="44" spans="1:30" ht="15" customHeight="1" x14ac:dyDescent="0.25">
      <c r="A44" s="7" t="s">
        <v>69</v>
      </c>
      <c r="B44" s="11" t="s">
        <v>56</v>
      </c>
      <c r="C44" s="13" t="s">
        <v>13</v>
      </c>
      <c r="D44" s="13" t="s">
        <v>13</v>
      </c>
      <c r="E44" s="13" t="s">
        <v>13</v>
      </c>
      <c r="F44" s="13" t="s">
        <v>13</v>
      </c>
      <c r="G44" s="13" t="s">
        <v>13</v>
      </c>
      <c r="H44" s="13" t="s">
        <v>13</v>
      </c>
      <c r="I44" s="13" t="s">
        <v>13</v>
      </c>
      <c r="J44" s="13" t="s">
        <v>13</v>
      </c>
      <c r="K44" s="13" t="s">
        <v>13</v>
      </c>
      <c r="L44" s="13" t="s">
        <v>13</v>
      </c>
      <c r="M44" s="13" t="s">
        <v>13</v>
      </c>
      <c r="N44" s="13" t="s">
        <v>13</v>
      </c>
      <c r="O44" s="13" t="s">
        <v>13</v>
      </c>
      <c r="P44" s="13" t="s">
        <v>13</v>
      </c>
      <c r="Q44" s="13" t="s">
        <v>13</v>
      </c>
      <c r="R44" s="13" t="s">
        <v>13</v>
      </c>
      <c r="S44" s="13" t="s">
        <v>13</v>
      </c>
      <c r="T44" s="13" t="s">
        <v>13</v>
      </c>
      <c r="U44" s="13" t="s">
        <v>13</v>
      </c>
      <c r="V44" s="13" t="s">
        <v>13</v>
      </c>
      <c r="W44" s="13" t="s">
        <v>13</v>
      </c>
      <c r="X44" s="13" t="s">
        <v>13</v>
      </c>
      <c r="Y44" s="13" t="s">
        <v>13</v>
      </c>
      <c r="Z44" s="13" t="s">
        <v>13</v>
      </c>
      <c r="AA44" s="13" t="s">
        <v>13</v>
      </c>
      <c r="AB44" s="13" t="s">
        <v>13</v>
      </c>
      <c r="AC44" s="13" t="s">
        <v>13</v>
      </c>
      <c r="AD44" s="13" t="s">
        <v>13</v>
      </c>
    </row>
    <row r="45" spans="1:30" ht="15" customHeight="1" x14ac:dyDescent="0.25">
      <c r="A45" s="7" t="s">
        <v>70</v>
      </c>
      <c r="B45" s="11" t="s">
        <v>58</v>
      </c>
      <c r="C45" s="16">
        <v>20.780187999999999</v>
      </c>
      <c r="D45" s="16">
        <v>20.283515999999999</v>
      </c>
      <c r="E45" s="16">
        <v>20.339306000000001</v>
      </c>
      <c r="F45" s="16">
        <v>20.573446000000001</v>
      </c>
      <c r="G45" s="16">
        <v>21.326415999999998</v>
      </c>
      <c r="H45" s="16">
        <v>22.318974999999998</v>
      </c>
      <c r="I45" s="16">
        <v>23.006266</v>
      </c>
      <c r="J45" s="16">
        <v>23.595759999999999</v>
      </c>
      <c r="K45" s="16">
        <v>23.996939000000001</v>
      </c>
      <c r="L45" s="16">
        <v>24.545846999999998</v>
      </c>
      <c r="M45" s="16">
        <v>25.133661</v>
      </c>
      <c r="N45" s="16">
        <v>25.796202000000001</v>
      </c>
      <c r="O45" s="16">
        <v>26.345745000000001</v>
      </c>
      <c r="P45" s="16">
        <v>26.607430999999998</v>
      </c>
      <c r="Q45" s="16">
        <v>27.050968000000001</v>
      </c>
      <c r="R45" s="16">
        <v>27.488394</v>
      </c>
      <c r="S45" s="16">
        <v>28.076727000000002</v>
      </c>
      <c r="T45" s="16">
        <v>28.733549</v>
      </c>
      <c r="U45" s="16">
        <v>29.378243999999999</v>
      </c>
      <c r="V45" s="16">
        <v>30.068106</v>
      </c>
      <c r="W45" s="16">
        <v>30.851780000000002</v>
      </c>
      <c r="X45" s="16">
        <v>31.436356</v>
      </c>
      <c r="Y45" s="16">
        <v>32.061970000000002</v>
      </c>
      <c r="Z45" s="16">
        <v>32.646495999999999</v>
      </c>
      <c r="AA45" s="16">
        <v>33.557639999999999</v>
      </c>
      <c r="AB45" s="16">
        <v>34.174480000000003</v>
      </c>
      <c r="AC45" s="16">
        <v>34.808101999999998</v>
      </c>
      <c r="AD45" s="13">
        <v>2.1836999999999999E-2</v>
      </c>
    </row>
    <row r="48" spans="1:30" ht="15" customHeight="1" x14ac:dyDescent="0.25">
      <c r="B48" s="10" t="s">
        <v>71</v>
      </c>
    </row>
    <row r="49" spans="1:30" ht="15" customHeight="1" x14ac:dyDescent="0.25">
      <c r="B49" s="10" t="s">
        <v>72</v>
      </c>
    </row>
    <row r="50" spans="1:30" ht="15" customHeight="1" x14ac:dyDescent="0.25">
      <c r="A50" s="7" t="s">
        <v>73</v>
      </c>
      <c r="B50" s="11" t="s">
        <v>74</v>
      </c>
      <c r="C50" s="16">
        <v>0.423595</v>
      </c>
      <c r="D50" s="16">
        <v>0.35159499999999999</v>
      </c>
      <c r="E50" s="16">
        <v>0.26049499999999998</v>
      </c>
      <c r="F50" s="16">
        <v>0.27669500000000002</v>
      </c>
      <c r="G50" s="16">
        <v>0.36176799999999998</v>
      </c>
      <c r="H50" s="16">
        <v>0.36239700000000002</v>
      </c>
      <c r="I50" s="16">
        <v>0.36796200000000001</v>
      </c>
      <c r="J50" s="16">
        <v>0.37033300000000002</v>
      </c>
      <c r="K50" s="16">
        <v>0.371027</v>
      </c>
      <c r="L50" s="16">
        <v>0.37411</v>
      </c>
      <c r="M50" s="16">
        <v>0.37632700000000002</v>
      </c>
      <c r="N50" s="16">
        <v>0.37670700000000001</v>
      </c>
      <c r="O50" s="16">
        <v>0.37620199999999998</v>
      </c>
      <c r="P50" s="16">
        <v>0.37504399999999999</v>
      </c>
      <c r="Q50" s="16">
        <v>0.37344300000000002</v>
      </c>
      <c r="R50" s="16">
        <v>0.37280999999999997</v>
      </c>
      <c r="S50" s="16">
        <v>0.37435800000000002</v>
      </c>
      <c r="T50" s="16">
        <v>0.37411499999999998</v>
      </c>
      <c r="U50" s="16">
        <v>0.37218400000000001</v>
      </c>
      <c r="V50" s="16">
        <v>0.37142599999999998</v>
      </c>
      <c r="W50" s="16">
        <v>0.37202299999999999</v>
      </c>
      <c r="X50" s="16">
        <v>0.37320500000000001</v>
      </c>
      <c r="Y50" s="16">
        <v>0.373334</v>
      </c>
      <c r="Z50" s="16">
        <v>0.37434099999999998</v>
      </c>
      <c r="AA50" s="16">
        <v>0.37547900000000001</v>
      </c>
      <c r="AB50" s="16">
        <v>0.37578699999999998</v>
      </c>
      <c r="AC50" s="16">
        <v>0.37714900000000001</v>
      </c>
      <c r="AD50" s="13">
        <v>2.81E-3</v>
      </c>
    </row>
    <row r="51" spans="1:30" ht="15" customHeight="1" x14ac:dyDescent="0.25">
      <c r="A51" s="7" t="s">
        <v>75</v>
      </c>
      <c r="B51" s="19" t="s">
        <v>76</v>
      </c>
      <c r="C51" s="16">
        <v>2.004</v>
      </c>
      <c r="D51" s="16">
        <v>2.024</v>
      </c>
      <c r="E51" s="16">
        <v>2.145</v>
      </c>
      <c r="F51" s="16">
        <v>2.2639999999999998</v>
      </c>
      <c r="G51" s="16">
        <v>2.383</v>
      </c>
      <c r="H51" s="16">
        <v>2.5988519999999999</v>
      </c>
      <c r="I51" s="16">
        <v>2.7326769999999998</v>
      </c>
      <c r="J51" s="16">
        <v>2.833736</v>
      </c>
      <c r="K51" s="16">
        <v>2.913322</v>
      </c>
      <c r="L51" s="16">
        <v>2.9997530000000001</v>
      </c>
      <c r="M51" s="16">
        <v>3.0781040000000002</v>
      </c>
      <c r="N51" s="16">
        <v>3.153</v>
      </c>
      <c r="O51" s="16">
        <v>3.2160630000000001</v>
      </c>
      <c r="P51" s="16">
        <v>3.255754</v>
      </c>
      <c r="Q51" s="16">
        <v>3.290476</v>
      </c>
      <c r="R51" s="16">
        <v>3.3290850000000001</v>
      </c>
      <c r="S51" s="16">
        <v>3.3712599999999999</v>
      </c>
      <c r="T51" s="16">
        <v>3.41784</v>
      </c>
      <c r="U51" s="16">
        <v>3.4671639999999999</v>
      </c>
      <c r="V51" s="16">
        <v>3.5233059999999998</v>
      </c>
      <c r="W51" s="16">
        <v>3.5781109999999998</v>
      </c>
      <c r="X51" s="16">
        <v>3.6218340000000002</v>
      </c>
      <c r="Y51" s="16">
        <v>3.6763439999999998</v>
      </c>
      <c r="Z51" s="16">
        <v>3.7362790000000001</v>
      </c>
      <c r="AA51" s="16">
        <v>3.8053050000000002</v>
      </c>
      <c r="AB51" s="16">
        <v>3.8582339999999999</v>
      </c>
      <c r="AC51" s="16">
        <v>3.909081</v>
      </c>
      <c r="AD51" s="13">
        <v>2.6679000000000001E-2</v>
      </c>
    </row>
    <row r="52" spans="1:30" ht="15" customHeight="1" x14ac:dyDescent="0.25">
      <c r="A52" s="7" t="s">
        <v>77</v>
      </c>
      <c r="B52" s="11" t="s">
        <v>40</v>
      </c>
      <c r="C52" s="16">
        <v>0.26579999999999998</v>
      </c>
      <c r="D52" s="16">
        <v>0.27289999999999998</v>
      </c>
      <c r="E52" s="16">
        <v>0.27579999999999999</v>
      </c>
      <c r="F52" s="16">
        <v>0.27500000000000002</v>
      </c>
      <c r="G52" s="16">
        <v>0.276007</v>
      </c>
      <c r="H52" s="16">
        <v>0.27599000000000001</v>
      </c>
      <c r="I52" s="16">
        <v>0.275752</v>
      </c>
      <c r="J52" s="16">
        <v>0.27401300000000001</v>
      </c>
      <c r="K52" s="16">
        <v>0.272704</v>
      </c>
      <c r="L52" s="16">
        <v>0.27272099999999999</v>
      </c>
      <c r="M52" s="16">
        <v>0.27297199999999999</v>
      </c>
      <c r="N52" s="16">
        <v>0.27263199999999999</v>
      </c>
      <c r="O52" s="16">
        <v>0.27171499999999998</v>
      </c>
      <c r="P52" s="16">
        <v>0.27057799999999999</v>
      </c>
      <c r="Q52" s="16">
        <v>0.27021899999999999</v>
      </c>
      <c r="R52" s="16">
        <v>0.27055000000000001</v>
      </c>
      <c r="S52" s="16">
        <v>0.27089299999999999</v>
      </c>
      <c r="T52" s="16">
        <v>0.27129199999999998</v>
      </c>
      <c r="U52" s="16">
        <v>0.27155499999999999</v>
      </c>
      <c r="V52" s="16">
        <v>0.27144400000000002</v>
      </c>
      <c r="W52" s="16">
        <v>0.27168999999999999</v>
      </c>
      <c r="X52" s="16">
        <v>0.27210200000000001</v>
      </c>
      <c r="Y52" s="16">
        <v>0.272532</v>
      </c>
      <c r="Z52" s="16">
        <v>0.27310000000000001</v>
      </c>
      <c r="AA52" s="16">
        <v>0.27391500000000002</v>
      </c>
      <c r="AB52" s="16">
        <v>0.27436899999999997</v>
      </c>
      <c r="AC52" s="16">
        <v>0.275061</v>
      </c>
      <c r="AD52" s="13">
        <v>3.1599999999999998E-4</v>
      </c>
    </row>
    <row r="53" spans="1:30" ht="15" customHeight="1" x14ac:dyDescent="0.25">
      <c r="A53" s="7" t="s">
        <v>78</v>
      </c>
      <c r="B53" s="11" t="s">
        <v>42</v>
      </c>
      <c r="C53" s="16">
        <v>1.3591150000000001</v>
      </c>
      <c r="D53" s="16">
        <v>1.3390150000000001</v>
      </c>
      <c r="E53" s="16">
        <v>1.354115</v>
      </c>
      <c r="F53" s="16">
        <v>1.376015</v>
      </c>
      <c r="G53" s="16">
        <v>1.404663</v>
      </c>
      <c r="H53" s="16">
        <v>1.4187190000000001</v>
      </c>
      <c r="I53" s="16">
        <v>1.436477</v>
      </c>
      <c r="J53" s="16">
        <v>1.43981</v>
      </c>
      <c r="K53" s="16">
        <v>1.44102</v>
      </c>
      <c r="L53" s="16">
        <v>1.449902</v>
      </c>
      <c r="M53" s="16">
        <v>1.456933</v>
      </c>
      <c r="N53" s="16">
        <v>1.4580960000000001</v>
      </c>
      <c r="O53" s="16">
        <v>1.4576659999999999</v>
      </c>
      <c r="P53" s="16">
        <v>1.454736</v>
      </c>
      <c r="Q53" s="16">
        <v>1.4509719999999999</v>
      </c>
      <c r="R53" s="16">
        <v>1.4515229999999999</v>
      </c>
      <c r="S53" s="16">
        <v>1.457417</v>
      </c>
      <c r="T53" s="16">
        <v>1.459886</v>
      </c>
      <c r="U53" s="16">
        <v>1.4566889999999999</v>
      </c>
      <c r="V53" s="16">
        <v>1.4574849999999999</v>
      </c>
      <c r="W53" s="16">
        <v>1.461865</v>
      </c>
      <c r="X53" s="16">
        <v>1.4676530000000001</v>
      </c>
      <c r="Y53" s="16">
        <v>1.4711639999999999</v>
      </c>
      <c r="Z53" s="16">
        <v>1.475833</v>
      </c>
      <c r="AA53" s="16">
        <v>1.4816670000000001</v>
      </c>
      <c r="AB53" s="16">
        <v>1.484278</v>
      </c>
      <c r="AC53" s="16">
        <v>1.490807</v>
      </c>
      <c r="AD53" s="13">
        <v>4.3049999999999998E-3</v>
      </c>
    </row>
    <row r="54" spans="1:30" ht="15" customHeight="1" x14ac:dyDescent="0.25">
      <c r="A54" s="7" t="s">
        <v>79</v>
      </c>
      <c r="B54" s="11" t="s">
        <v>44</v>
      </c>
      <c r="C54" s="16">
        <v>3.2002999999999997E-2</v>
      </c>
      <c r="D54" s="16">
        <v>3.2502999999999997E-2</v>
      </c>
      <c r="E54" s="16">
        <v>2.6903E-2</v>
      </c>
      <c r="F54" s="16">
        <v>2.5003000000000001E-2</v>
      </c>
      <c r="G54" s="16">
        <v>3.2746999999999998E-2</v>
      </c>
      <c r="H54" s="16">
        <v>3.8700999999999999E-2</v>
      </c>
      <c r="I54" s="16">
        <v>4.2581000000000001E-2</v>
      </c>
      <c r="J54" s="16">
        <v>4.4819999999999999E-2</v>
      </c>
      <c r="K54" s="16">
        <v>4.6913999999999997E-2</v>
      </c>
      <c r="L54" s="16">
        <v>5.1973999999999999E-2</v>
      </c>
      <c r="M54" s="16">
        <v>5.4878000000000003E-2</v>
      </c>
      <c r="N54" s="16">
        <v>5.7506000000000002E-2</v>
      </c>
      <c r="O54" s="16">
        <v>5.8720000000000001E-2</v>
      </c>
      <c r="P54" s="16">
        <v>5.9130000000000002E-2</v>
      </c>
      <c r="Q54" s="16">
        <v>5.8520000000000003E-2</v>
      </c>
      <c r="R54" s="16">
        <v>5.7733E-2</v>
      </c>
      <c r="S54" s="16">
        <v>5.7362999999999997E-2</v>
      </c>
      <c r="T54" s="16">
        <v>5.6722000000000002E-2</v>
      </c>
      <c r="U54" s="16">
        <v>5.6598999999999997E-2</v>
      </c>
      <c r="V54" s="16">
        <v>5.6120999999999997E-2</v>
      </c>
      <c r="W54" s="16">
        <v>5.5407999999999999E-2</v>
      </c>
      <c r="X54" s="16">
        <v>5.4975999999999997E-2</v>
      </c>
      <c r="Y54" s="16">
        <v>5.4355000000000001E-2</v>
      </c>
      <c r="Z54" s="16">
        <v>5.4133000000000001E-2</v>
      </c>
      <c r="AA54" s="16">
        <v>5.3933000000000002E-2</v>
      </c>
      <c r="AB54" s="16">
        <v>5.3802000000000003E-2</v>
      </c>
      <c r="AC54" s="16">
        <v>5.3664000000000003E-2</v>
      </c>
      <c r="AD54" s="13">
        <v>2.0258999999999999E-2</v>
      </c>
    </row>
    <row r="55" spans="1:30" ht="15" customHeight="1" x14ac:dyDescent="0.25">
      <c r="A55" s="7" t="s">
        <v>80</v>
      </c>
      <c r="B55" s="19" t="s">
        <v>81</v>
      </c>
      <c r="C55" s="16">
        <v>0.69889999999999997</v>
      </c>
      <c r="D55" s="16">
        <v>0.65869999999999995</v>
      </c>
      <c r="E55" s="16">
        <v>0.69020000000000004</v>
      </c>
      <c r="F55" s="16">
        <v>0.69889999999999997</v>
      </c>
      <c r="G55" s="16">
        <v>0.76592800000000005</v>
      </c>
      <c r="H55" s="16">
        <v>0.88102800000000003</v>
      </c>
      <c r="I55" s="16">
        <v>0.96385399999999999</v>
      </c>
      <c r="J55" s="16">
        <v>1.0282979999999999</v>
      </c>
      <c r="K55" s="16">
        <v>1.078595</v>
      </c>
      <c r="L55" s="16">
        <v>1.131297</v>
      </c>
      <c r="M55" s="16">
        <v>1.1803969999999999</v>
      </c>
      <c r="N55" s="16">
        <v>1.227684</v>
      </c>
      <c r="O55" s="16">
        <v>1.267673</v>
      </c>
      <c r="P55" s="16">
        <v>1.2931459999999999</v>
      </c>
      <c r="Q55" s="16">
        <v>1.314848</v>
      </c>
      <c r="R55" s="16">
        <v>1.3385119999999999</v>
      </c>
      <c r="S55" s="16">
        <v>1.3641700000000001</v>
      </c>
      <c r="T55" s="16">
        <v>1.392509</v>
      </c>
      <c r="U55" s="16">
        <v>1.4225749999999999</v>
      </c>
      <c r="V55" s="16">
        <v>1.4571099999999999</v>
      </c>
      <c r="W55" s="16">
        <v>1.4911540000000001</v>
      </c>
      <c r="X55" s="16">
        <v>1.5189239999999999</v>
      </c>
      <c r="Y55" s="16">
        <v>1.5530870000000001</v>
      </c>
      <c r="Z55" s="16">
        <v>1.590136</v>
      </c>
      <c r="AA55" s="16">
        <v>1.6332390000000001</v>
      </c>
      <c r="AB55" s="16">
        <v>1.6679029999999999</v>
      </c>
      <c r="AC55" s="16">
        <v>1.7009570000000001</v>
      </c>
      <c r="AD55" s="13">
        <v>3.8676000000000002E-2</v>
      </c>
    </row>
    <row r="56" spans="1:30" ht="15" customHeight="1" x14ac:dyDescent="0.25">
      <c r="A56" s="7" t="s">
        <v>82</v>
      </c>
      <c r="B56" s="11" t="s">
        <v>83</v>
      </c>
      <c r="C56" s="16">
        <v>0.119782</v>
      </c>
      <c r="D56" s="16">
        <v>0.16305600000000001</v>
      </c>
      <c r="E56" s="16">
        <v>0.17632999999999999</v>
      </c>
      <c r="F56" s="16">
        <v>0.22590499999999999</v>
      </c>
      <c r="G56" s="16">
        <v>0.220917</v>
      </c>
      <c r="H56" s="16">
        <v>0.21276999999999999</v>
      </c>
      <c r="I56" s="16">
        <v>0.21441199999999999</v>
      </c>
      <c r="J56" s="16">
        <v>0.21143200000000001</v>
      </c>
      <c r="K56" s="16">
        <v>0.20944299999999999</v>
      </c>
      <c r="L56" s="16">
        <v>0.21812999999999999</v>
      </c>
      <c r="M56" s="16">
        <v>0.223519</v>
      </c>
      <c r="N56" s="16">
        <v>0.22822300000000001</v>
      </c>
      <c r="O56" s="16">
        <v>0.228521</v>
      </c>
      <c r="P56" s="16">
        <v>0.22803599999999999</v>
      </c>
      <c r="Q56" s="16">
        <v>0.227795</v>
      </c>
      <c r="R56" s="16">
        <v>0.22684499999999999</v>
      </c>
      <c r="S56" s="16">
        <v>0.227856</v>
      </c>
      <c r="T56" s="16">
        <v>0.22817100000000001</v>
      </c>
      <c r="U56" s="16">
        <v>0.22970699999999999</v>
      </c>
      <c r="V56" s="16">
        <v>0.22931799999999999</v>
      </c>
      <c r="W56" s="16">
        <v>0.22834199999999999</v>
      </c>
      <c r="X56" s="16">
        <v>0.228711</v>
      </c>
      <c r="Y56" s="16">
        <v>0.228135</v>
      </c>
      <c r="Z56" s="16">
        <v>0.22831499999999999</v>
      </c>
      <c r="AA56" s="16">
        <v>0.228468</v>
      </c>
      <c r="AB56" s="16">
        <v>0.228796</v>
      </c>
      <c r="AC56" s="16">
        <v>0.22861300000000001</v>
      </c>
      <c r="AD56" s="13">
        <v>1.3609E-2</v>
      </c>
    </row>
    <row r="57" spans="1:30" ht="15" customHeight="1" x14ac:dyDescent="0.25">
      <c r="A57" s="7" t="s">
        <v>84</v>
      </c>
      <c r="B57" s="11" t="s">
        <v>46</v>
      </c>
      <c r="C57" s="16">
        <v>0.79259999999999997</v>
      </c>
      <c r="D57" s="16">
        <v>0.83479999999999999</v>
      </c>
      <c r="E57" s="16">
        <v>0.86480000000000001</v>
      </c>
      <c r="F57" s="16">
        <v>0.87439999999999996</v>
      </c>
      <c r="G57" s="16">
        <v>0.88229000000000002</v>
      </c>
      <c r="H57" s="16">
        <v>0.88875199999999999</v>
      </c>
      <c r="I57" s="16">
        <v>0.89250399999999996</v>
      </c>
      <c r="J57" s="16">
        <v>0.896227</v>
      </c>
      <c r="K57" s="16">
        <v>0.90224899999999997</v>
      </c>
      <c r="L57" s="16">
        <v>0.91654100000000005</v>
      </c>
      <c r="M57" s="16">
        <v>0.92778099999999997</v>
      </c>
      <c r="N57" s="16">
        <v>0.934365</v>
      </c>
      <c r="O57" s="16">
        <v>0.95002299999999995</v>
      </c>
      <c r="P57" s="16">
        <v>0.97279800000000005</v>
      </c>
      <c r="Q57" s="16">
        <v>0.99483900000000003</v>
      </c>
      <c r="R57" s="16">
        <v>1.0179119999999999</v>
      </c>
      <c r="S57" s="16">
        <v>1.0474760000000001</v>
      </c>
      <c r="T57" s="16">
        <v>1.0764849999999999</v>
      </c>
      <c r="U57" s="16">
        <v>1.1008389999999999</v>
      </c>
      <c r="V57" s="16">
        <v>1.1272819999999999</v>
      </c>
      <c r="W57" s="16">
        <v>1.1540969999999999</v>
      </c>
      <c r="X57" s="16">
        <v>1.1791560000000001</v>
      </c>
      <c r="Y57" s="16">
        <v>1.2039610000000001</v>
      </c>
      <c r="Z57" s="16">
        <v>1.2301139999999999</v>
      </c>
      <c r="AA57" s="16">
        <v>1.2573110000000001</v>
      </c>
      <c r="AB57" s="16">
        <v>1.285455</v>
      </c>
      <c r="AC57" s="16">
        <v>1.3141370000000001</v>
      </c>
      <c r="AD57" s="13">
        <v>1.8315000000000001E-2</v>
      </c>
    </row>
    <row r="58" spans="1:30" ht="15" customHeight="1" x14ac:dyDescent="0.25">
      <c r="A58" s="7" t="s">
        <v>85</v>
      </c>
      <c r="B58" s="11" t="s">
        <v>86</v>
      </c>
      <c r="C58" s="16">
        <v>0.29649999999999999</v>
      </c>
      <c r="D58" s="16">
        <v>0.39939999999999998</v>
      </c>
      <c r="E58" s="16">
        <v>0.33650000000000002</v>
      </c>
      <c r="F58" s="16">
        <v>0.33500000000000002</v>
      </c>
      <c r="G58" s="16">
        <v>0.36765700000000001</v>
      </c>
      <c r="H58" s="16">
        <v>0.40140799999999999</v>
      </c>
      <c r="I58" s="16">
        <v>0.42243799999999998</v>
      </c>
      <c r="J58" s="16">
        <v>0.44160300000000002</v>
      </c>
      <c r="K58" s="16">
        <v>0.459536</v>
      </c>
      <c r="L58" s="16">
        <v>0.480738</v>
      </c>
      <c r="M58" s="16">
        <v>0.49356100000000003</v>
      </c>
      <c r="N58" s="16">
        <v>0.50691799999999998</v>
      </c>
      <c r="O58" s="16">
        <v>0.51774299999999995</v>
      </c>
      <c r="P58" s="16">
        <v>0.52589900000000001</v>
      </c>
      <c r="Q58" s="16">
        <v>0.52627000000000002</v>
      </c>
      <c r="R58" s="16">
        <v>0.52928399999999998</v>
      </c>
      <c r="S58" s="16">
        <v>0.53151400000000004</v>
      </c>
      <c r="T58" s="16">
        <v>0.53229400000000004</v>
      </c>
      <c r="U58" s="16">
        <v>0.53204499999999999</v>
      </c>
      <c r="V58" s="16">
        <v>0.53324899999999997</v>
      </c>
      <c r="W58" s="16">
        <v>0.53485099999999997</v>
      </c>
      <c r="X58" s="16">
        <v>0.53725699999999998</v>
      </c>
      <c r="Y58" s="16">
        <v>0.53898299999999999</v>
      </c>
      <c r="Z58" s="16">
        <v>0.54230100000000003</v>
      </c>
      <c r="AA58" s="16">
        <v>0.54608400000000001</v>
      </c>
      <c r="AB58" s="16">
        <v>0.54964800000000003</v>
      </c>
      <c r="AC58" s="16">
        <v>0.55491500000000005</v>
      </c>
      <c r="AD58" s="13">
        <v>1.3240999999999999E-2</v>
      </c>
    </row>
    <row r="59" spans="1:30" ht="15" customHeight="1" x14ac:dyDescent="0.25">
      <c r="A59" s="7" t="s">
        <v>87</v>
      </c>
      <c r="B59" s="11" t="s">
        <v>88</v>
      </c>
      <c r="C59" s="16">
        <v>5.9922959999999996</v>
      </c>
      <c r="D59" s="16">
        <v>6.0759699999999999</v>
      </c>
      <c r="E59" s="16">
        <v>6.1301439999999996</v>
      </c>
      <c r="F59" s="16">
        <v>6.3509180000000001</v>
      </c>
      <c r="G59" s="16">
        <v>6.6949769999999997</v>
      </c>
      <c r="H59" s="16">
        <v>7.0786170000000004</v>
      </c>
      <c r="I59" s="16">
        <v>7.3486570000000002</v>
      </c>
      <c r="J59" s="16">
        <v>7.540273</v>
      </c>
      <c r="K59" s="16">
        <v>7.6948100000000004</v>
      </c>
      <c r="L59" s="16">
        <v>7.8951659999999997</v>
      </c>
      <c r="M59" s="16">
        <v>8.0644720000000003</v>
      </c>
      <c r="N59" s="16">
        <v>8.2151320000000005</v>
      </c>
      <c r="O59" s="16">
        <v>8.3443280000000009</v>
      </c>
      <c r="P59" s="16">
        <v>8.4351219999999998</v>
      </c>
      <c r="Q59" s="16">
        <v>8.5073810000000005</v>
      </c>
      <c r="R59" s="16">
        <v>8.5942530000000001</v>
      </c>
      <c r="S59" s="16">
        <v>8.7023050000000008</v>
      </c>
      <c r="T59" s="16">
        <v>8.8093160000000008</v>
      </c>
      <c r="U59" s="16">
        <v>8.9093560000000007</v>
      </c>
      <c r="V59" s="16">
        <v>9.0267409999999995</v>
      </c>
      <c r="W59" s="16">
        <v>9.1475399999999993</v>
      </c>
      <c r="X59" s="16">
        <v>9.253819</v>
      </c>
      <c r="Y59" s="16">
        <v>9.3718950000000003</v>
      </c>
      <c r="Z59" s="16">
        <v>9.5045529999999996</v>
      </c>
      <c r="AA59" s="16">
        <v>9.6554009999999995</v>
      </c>
      <c r="AB59" s="16">
        <v>9.7782710000000002</v>
      </c>
      <c r="AC59" s="16">
        <v>9.9043849999999996</v>
      </c>
      <c r="AD59" s="13">
        <v>1.9737999999999999E-2</v>
      </c>
    </row>
    <row r="60" spans="1:30" ht="15" customHeight="1" x14ac:dyDescent="0.25">
      <c r="A60" s="7" t="s">
        <v>89</v>
      </c>
      <c r="B60" s="11" t="s">
        <v>48</v>
      </c>
      <c r="C60" s="16">
        <v>5.7412010000000002</v>
      </c>
      <c r="D60" s="16">
        <v>5.6093679999999999</v>
      </c>
      <c r="E60" s="16">
        <v>5.838705</v>
      </c>
      <c r="F60" s="16">
        <v>5.7888479999999998</v>
      </c>
      <c r="G60" s="16">
        <v>5.8132200000000003</v>
      </c>
      <c r="H60" s="16">
        <v>5.8987400000000001</v>
      </c>
      <c r="I60" s="16">
        <v>5.9546590000000004</v>
      </c>
      <c r="J60" s="16">
        <v>6.0272309999999996</v>
      </c>
      <c r="K60" s="16">
        <v>6.0790490000000004</v>
      </c>
      <c r="L60" s="16">
        <v>6.1220590000000001</v>
      </c>
      <c r="M60" s="16">
        <v>6.1817270000000004</v>
      </c>
      <c r="N60" s="16">
        <v>6.2393390000000002</v>
      </c>
      <c r="O60" s="16">
        <v>6.2986219999999999</v>
      </c>
      <c r="P60" s="16">
        <v>6.3390050000000002</v>
      </c>
      <c r="Q60" s="16">
        <v>6.3775529999999998</v>
      </c>
      <c r="R60" s="16">
        <v>6.4278950000000004</v>
      </c>
      <c r="S60" s="16">
        <v>6.4708209999999999</v>
      </c>
      <c r="T60" s="16">
        <v>6.5052289999999999</v>
      </c>
      <c r="U60" s="16">
        <v>6.5399830000000003</v>
      </c>
      <c r="V60" s="16">
        <v>6.5876999999999999</v>
      </c>
      <c r="W60" s="16">
        <v>6.6379849999999996</v>
      </c>
      <c r="X60" s="16">
        <v>6.6847490000000001</v>
      </c>
      <c r="Y60" s="16">
        <v>6.7354750000000001</v>
      </c>
      <c r="Z60" s="16">
        <v>6.790082</v>
      </c>
      <c r="AA60" s="16">
        <v>6.8525700000000001</v>
      </c>
      <c r="AB60" s="16">
        <v>6.9045880000000004</v>
      </c>
      <c r="AC60" s="16">
        <v>6.9642419999999996</v>
      </c>
      <c r="AD60" s="13">
        <v>8.6920000000000001E-3</v>
      </c>
    </row>
    <row r="61" spans="1:30" ht="15" customHeight="1" x14ac:dyDescent="0.25">
      <c r="A61" s="7" t="s">
        <v>90</v>
      </c>
      <c r="B61" s="19" t="s">
        <v>50</v>
      </c>
      <c r="C61" s="16">
        <v>0.628</v>
      </c>
      <c r="D61" s="16">
        <v>0.67800000000000005</v>
      </c>
      <c r="E61" s="16">
        <v>0.79</v>
      </c>
      <c r="F61" s="16">
        <v>0.95599999999999996</v>
      </c>
      <c r="G61" s="16">
        <v>1.08</v>
      </c>
      <c r="H61" s="16">
        <v>1.157125</v>
      </c>
      <c r="I61" s="16">
        <v>1.217703</v>
      </c>
      <c r="J61" s="16">
        <v>1.2713159999999999</v>
      </c>
      <c r="K61" s="16">
        <v>1.3087960000000001</v>
      </c>
      <c r="L61" s="16">
        <v>1.344665</v>
      </c>
      <c r="M61" s="16">
        <v>1.3817980000000001</v>
      </c>
      <c r="N61" s="16">
        <v>1.419041</v>
      </c>
      <c r="O61" s="16">
        <v>1.446132</v>
      </c>
      <c r="P61" s="16">
        <v>1.458936</v>
      </c>
      <c r="Q61" s="16">
        <v>1.468121</v>
      </c>
      <c r="R61" s="16">
        <v>1.4799059999999999</v>
      </c>
      <c r="S61" s="16">
        <v>1.4899910000000001</v>
      </c>
      <c r="T61" s="16">
        <v>1.50109</v>
      </c>
      <c r="U61" s="16">
        <v>1.5209900000000001</v>
      </c>
      <c r="V61" s="16">
        <v>1.5295939999999999</v>
      </c>
      <c r="W61" s="16">
        <v>1.5398240000000001</v>
      </c>
      <c r="X61" s="16">
        <v>1.5474140000000001</v>
      </c>
      <c r="Y61" s="16">
        <v>1.5577589999999999</v>
      </c>
      <c r="Z61" s="16">
        <v>1.5727150000000001</v>
      </c>
      <c r="AA61" s="16">
        <v>1.5888359999999999</v>
      </c>
      <c r="AB61" s="16">
        <v>1.6018969999999999</v>
      </c>
      <c r="AC61" s="16">
        <v>1.6145229999999999</v>
      </c>
      <c r="AD61" s="13">
        <v>3.5314999999999999E-2</v>
      </c>
    </row>
    <row r="62" spans="1:30" ht="15" customHeight="1" x14ac:dyDescent="0.25">
      <c r="A62" s="7" t="s">
        <v>91</v>
      </c>
      <c r="B62" s="11" t="s">
        <v>92</v>
      </c>
      <c r="C62" s="16">
        <v>1.5503089999999999</v>
      </c>
      <c r="D62" s="16">
        <v>1.6331039999999999</v>
      </c>
      <c r="E62" s="16">
        <v>1.6485780000000001</v>
      </c>
      <c r="F62" s="16">
        <v>1.6771100000000001</v>
      </c>
      <c r="G62" s="16">
        <v>1.700874</v>
      </c>
      <c r="H62" s="16">
        <v>1.717082</v>
      </c>
      <c r="I62" s="16">
        <v>1.7577879999999999</v>
      </c>
      <c r="J62" s="16">
        <v>1.7853520000000001</v>
      </c>
      <c r="K62" s="16">
        <v>1.8158639999999999</v>
      </c>
      <c r="L62" s="16">
        <v>1.8613200000000001</v>
      </c>
      <c r="M62" s="16">
        <v>1.897014</v>
      </c>
      <c r="N62" s="16">
        <v>1.9296469999999999</v>
      </c>
      <c r="O62" s="16">
        <v>1.946347</v>
      </c>
      <c r="P62" s="16">
        <v>1.959687</v>
      </c>
      <c r="Q62" s="16">
        <v>1.9778249999999999</v>
      </c>
      <c r="R62" s="16">
        <v>1.9971950000000001</v>
      </c>
      <c r="S62" s="16">
        <v>2.0188760000000001</v>
      </c>
      <c r="T62" s="16">
        <v>2.0483769999999999</v>
      </c>
      <c r="U62" s="16">
        <v>2.0800709999999998</v>
      </c>
      <c r="V62" s="16">
        <v>2.1057679999999999</v>
      </c>
      <c r="W62" s="16">
        <v>2.1323629999999998</v>
      </c>
      <c r="X62" s="16">
        <v>2.1603210000000002</v>
      </c>
      <c r="Y62" s="16">
        <v>2.19801</v>
      </c>
      <c r="Z62" s="16">
        <v>2.2178879999999999</v>
      </c>
      <c r="AA62" s="16">
        <v>2.238502</v>
      </c>
      <c r="AB62" s="16">
        <v>2.2599459999999998</v>
      </c>
      <c r="AC62" s="16">
        <v>2.2856359999999998</v>
      </c>
      <c r="AD62" s="13">
        <v>1.3537E-2</v>
      </c>
    </row>
    <row r="63" spans="1:30" ht="15" customHeight="1" x14ac:dyDescent="0.25">
      <c r="A63" s="7" t="s">
        <v>93</v>
      </c>
      <c r="B63" s="11" t="s">
        <v>94</v>
      </c>
      <c r="C63" s="16">
        <v>0</v>
      </c>
      <c r="D63" s="16">
        <v>0</v>
      </c>
      <c r="E63" s="16">
        <v>1.8352E-2</v>
      </c>
      <c r="F63" s="16">
        <v>5.0049999999999997E-2</v>
      </c>
      <c r="G63" s="16">
        <v>0.108997</v>
      </c>
      <c r="H63" s="16">
        <v>0.146866</v>
      </c>
      <c r="I63" s="16">
        <v>0.25563599999999997</v>
      </c>
      <c r="J63" s="16">
        <v>0.31450699999999998</v>
      </c>
      <c r="K63" s="16">
        <v>0.35574699999999998</v>
      </c>
      <c r="L63" s="16">
        <v>0.41760700000000001</v>
      </c>
      <c r="M63" s="16">
        <v>0.46572000000000002</v>
      </c>
      <c r="N63" s="16">
        <v>0.49309999999999998</v>
      </c>
      <c r="O63" s="16">
        <v>0.49884400000000001</v>
      </c>
      <c r="P63" s="16">
        <v>0.50008699999999995</v>
      </c>
      <c r="Q63" s="16">
        <v>0.50695999999999997</v>
      </c>
      <c r="R63" s="16">
        <v>0.51383299999999998</v>
      </c>
      <c r="S63" s="16">
        <v>0.53445299999999996</v>
      </c>
      <c r="T63" s="16">
        <v>0.56194699999999997</v>
      </c>
      <c r="U63" s="16">
        <v>0.59631299999999998</v>
      </c>
      <c r="V63" s="16">
        <v>0.623807</v>
      </c>
      <c r="W63" s="16">
        <v>0.64442699999999997</v>
      </c>
      <c r="X63" s="16">
        <v>0.65817300000000001</v>
      </c>
      <c r="Y63" s="16">
        <v>0.67191999999999996</v>
      </c>
      <c r="Z63" s="16">
        <v>0.67879299999999998</v>
      </c>
      <c r="AA63" s="16">
        <v>0.68566700000000003</v>
      </c>
      <c r="AB63" s="16">
        <v>0.69254000000000004</v>
      </c>
      <c r="AC63" s="16">
        <v>0.69941299999999995</v>
      </c>
      <c r="AD63" s="13" t="s">
        <v>13</v>
      </c>
    </row>
    <row r="64" spans="1:30" ht="15" customHeight="1" x14ac:dyDescent="0.25">
      <c r="A64" s="7" t="s">
        <v>95</v>
      </c>
      <c r="B64" s="11" t="s">
        <v>96</v>
      </c>
      <c r="C64" s="16">
        <v>7.9195089999999997</v>
      </c>
      <c r="D64" s="16">
        <v>7.9204720000000002</v>
      </c>
      <c r="E64" s="16">
        <v>8.2956350000000008</v>
      </c>
      <c r="F64" s="16">
        <v>8.4720080000000006</v>
      </c>
      <c r="G64" s="16">
        <v>8.7030919999999998</v>
      </c>
      <c r="H64" s="16">
        <v>8.9198129999999995</v>
      </c>
      <c r="I64" s="16">
        <v>9.1857869999999995</v>
      </c>
      <c r="J64" s="16">
        <v>9.3984050000000003</v>
      </c>
      <c r="K64" s="16">
        <v>9.5594560000000008</v>
      </c>
      <c r="L64" s="16">
        <v>9.7456490000000002</v>
      </c>
      <c r="M64" s="16">
        <v>9.9262580000000007</v>
      </c>
      <c r="N64" s="16">
        <v>10.081127</v>
      </c>
      <c r="O64" s="16">
        <v>10.189945</v>
      </c>
      <c r="P64" s="16">
        <v>10.257714</v>
      </c>
      <c r="Q64" s="16">
        <v>10.33046</v>
      </c>
      <c r="R64" s="16">
        <v>10.418829000000001</v>
      </c>
      <c r="S64" s="16">
        <v>10.514141</v>
      </c>
      <c r="T64" s="16">
        <v>10.616642000000001</v>
      </c>
      <c r="U64" s="16">
        <v>10.737356999999999</v>
      </c>
      <c r="V64" s="16">
        <v>10.846869</v>
      </c>
      <c r="W64" s="16">
        <v>10.954597</v>
      </c>
      <c r="X64" s="16">
        <v>11.050656999999999</v>
      </c>
      <c r="Y64" s="16">
        <v>11.163164</v>
      </c>
      <c r="Z64" s="16">
        <v>11.259478</v>
      </c>
      <c r="AA64" s="16">
        <v>11.365574000000001</v>
      </c>
      <c r="AB64" s="16">
        <v>11.458971</v>
      </c>
      <c r="AC64" s="16">
        <v>11.563815999999999</v>
      </c>
      <c r="AD64" s="13">
        <v>1.5252E-2</v>
      </c>
    </row>
    <row r="65" spans="1:30" ht="15" customHeight="1" x14ac:dyDescent="0.25">
      <c r="A65" s="7" t="s">
        <v>97</v>
      </c>
      <c r="B65" s="19" t="s">
        <v>98</v>
      </c>
      <c r="C65" s="16">
        <v>0.56210000000000004</v>
      </c>
      <c r="D65" s="16">
        <v>0.52200000000000002</v>
      </c>
      <c r="E65" s="16">
        <v>0.49590000000000001</v>
      </c>
      <c r="F65" s="16">
        <v>0.45960000000000001</v>
      </c>
      <c r="G65" s="16">
        <v>0.44702500000000001</v>
      </c>
      <c r="H65" s="16">
        <v>0.4461</v>
      </c>
      <c r="I65" s="16">
        <v>0.40497100000000003</v>
      </c>
      <c r="J65" s="16">
        <v>0.42583599999999999</v>
      </c>
      <c r="K65" s="16">
        <v>0.43936799999999998</v>
      </c>
      <c r="L65" s="16">
        <v>0.444963</v>
      </c>
      <c r="M65" s="16">
        <v>0.450183</v>
      </c>
      <c r="N65" s="16">
        <v>0.47096199999999999</v>
      </c>
      <c r="O65" s="16">
        <v>0.47939599999999999</v>
      </c>
      <c r="P65" s="16">
        <v>0.47184599999999999</v>
      </c>
      <c r="Q65" s="16">
        <v>0.46593200000000001</v>
      </c>
      <c r="R65" s="16">
        <v>0.468719</v>
      </c>
      <c r="S65" s="16">
        <v>0.46201199999999998</v>
      </c>
      <c r="T65" s="16">
        <v>0.45244299999999998</v>
      </c>
      <c r="U65" s="16">
        <v>0.441529</v>
      </c>
      <c r="V65" s="16">
        <v>0.43377199999999999</v>
      </c>
      <c r="W65" s="16">
        <v>0.425259</v>
      </c>
      <c r="X65" s="16">
        <v>0.41744700000000001</v>
      </c>
      <c r="Y65" s="16">
        <v>0.40802500000000003</v>
      </c>
      <c r="Z65" s="16">
        <v>0.40149200000000002</v>
      </c>
      <c r="AA65" s="16">
        <v>0.39383200000000002</v>
      </c>
      <c r="AB65" s="16">
        <v>0.38680399999999998</v>
      </c>
      <c r="AC65" s="16">
        <v>0.37982300000000002</v>
      </c>
      <c r="AD65" s="13">
        <v>-1.2638E-2</v>
      </c>
    </row>
    <row r="66" spans="1:30" ht="15" customHeight="1" x14ac:dyDescent="0.25">
      <c r="A66" s="7" t="s">
        <v>99</v>
      </c>
      <c r="B66" s="11" t="s">
        <v>54</v>
      </c>
      <c r="C66" s="16">
        <v>0.84700600000000004</v>
      </c>
      <c r="D66" s="16">
        <v>0.79292700000000005</v>
      </c>
      <c r="E66" s="16">
        <v>0.80498000000000003</v>
      </c>
      <c r="F66" s="16">
        <v>0.80614200000000003</v>
      </c>
      <c r="G66" s="16">
        <v>0.80963499999999999</v>
      </c>
      <c r="H66" s="16">
        <v>0.81593800000000005</v>
      </c>
      <c r="I66" s="16">
        <v>0.82501800000000003</v>
      </c>
      <c r="J66" s="16">
        <v>0.83168299999999995</v>
      </c>
      <c r="K66" s="16">
        <v>0.83819699999999997</v>
      </c>
      <c r="L66" s="16">
        <v>0.84741299999999997</v>
      </c>
      <c r="M66" s="16">
        <v>0.85763500000000004</v>
      </c>
      <c r="N66" s="16">
        <v>0.86832600000000004</v>
      </c>
      <c r="O66" s="16">
        <v>0.87814499999999995</v>
      </c>
      <c r="P66" s="16">
        <v>0.88510299999999997</v>
      </c>
      <c r="Q66" s="16">
        <v>0.88724400000000003</v>
      </c>
      <c r="R66" s="16">
        <v>0.889374</v>
      </c>
      <c r="S66" s="16">
        <v>0.89135799999999998</v>
      </c>
      <c r="T66" s="16">
        <v>0.89085199999999998</v>
      </c>
      <c r="U66" s="16">
        <v>0.89200299999999999</v>
      </c>
      <c r="V66" s="16">
        <v>0.89451400000000003</v>
      </c>
      <c r="W66" s="16">
        <v>0.89841000000000004</v>
      </c>
      <c r="X66" s="16">
        <v>0.90302700000000002</v>
      </c>
      <c r="Y66" s="16">
        <v>0.90683599999999998</v>
      </c>
      <c r="Z66" s="16">
        <v>0.91242400000000001</v>
      </c>
      <c r="AA66" s="16">
        <v>0.91994500000000001</v>
      </c>
      <c r="AB66" s="16">
        <v>0.92719700000000005</v>
      </c>
      <c r="AC66" s="16">
        <v>0.93638999999999994</v>
      </c>
      <c r="AD66" s="13">
        <v>6.6740000000000002E-3</v>
      </c>
    </row>
    <row r="67" spans="1:30" ht="15" customHeight="1" x14ac:dyDescent="0.25">
      <c r="A67" s="7" t="s">
        <v>100</v>
      </c>
      <c r="B67" s="11" t="s">
        <v>101</v>
      </c>
      <c r="C67" s="16">
        <v>1.409106</v>
      </c>
      <c r="D67" s="16">
        <v>1.314927</v>
      </c>
      <c r="E67" s="16">
        <v>1.30088</v>
      </c>
      <c r="F67" s="16">
        <v>1.2657419999999999</v>
      </c>
      <c r="G67" s="16">
        <v>1.2566600000000001</v>
      </c>
      <c r="H67" s="16">
        <v>1.262038</v>
      </c>
      <c r="I67" s="16">
        <v>1.229989</v>
      </c>
      <c r="J67" s="16">
        <v>1.2575190000000001</v>
      </c>
      <c r="K67" s="16">
        <v>1.2775650000000001</v>
      </c>
      <c r="L67" s="16">
        <v>1.292376</v>
      </c>
      <c r="M67" s="16">
        <v>1.3078179999999999</v>
      </c>
      <c r="N67" s="16">
        <v>1.339288</v>
      </c>
      <c r="O67" s="16">
        <v>1.3575410000000001</v>
      </c>
      <c r="P67" s="16">
        <v>1.356949</v>
      </c>
      <c r="Q67" s="16">
        <v>1.3531759999999999</v>
      </c>
      <c r="R67" s="16">
        <v>1.358093</v>
      </c>
      <c r="S67" s="16">
        <v>1.35337</v>
      </c>
      <c r="T67" s="16">
        <v>1.3432949999999999</v>
      </c>
      <c r="U67" s="16">
        <v>1.3335319999999999</v>
      </c>
      <c r="V67" s="16">
        <v>1.3282849999999999</v>
      </c>
      <c r="W67" s="16">
        <v>1.3236680000000001</v>
      </c>
      <c r="X67" s="16">
        <v>1.3204750000000001</v>
      </c>
      <c r="Y67" s="16">
        <v>1.3148610000000001</v>
      </c>
      <c r="Z67" s="16">
        <v>1.3139149999999999</v>
      </c>
      <c r="AA67" s="16">
        <v>1.3137760000000001</v>
      </c>
      <c r="AB67" s="16">
        <v>1.314001</v>
      </c>
      <c r="AC67" s="16">
        <v>1.3162130000000001</v>
      </c>
      <c r="AD67" s="13">
        <v>3.8999999999999999E-5</v>
      </c>
    </row>
    <row r="68" spans="1:30" ht="15" customHeight="1" x14ac:dyDescent="0.25">
      <c r="A68" s="7" t="s">
        <v>102</v>
      </c>
      <c r="B68" s="11" t="s">
        <v>103</v>
      </c>
      <c r="C68" s="16">
        <v>1.5155799999999999</v>
      </c>
      <c r="D68" s="16">
        <v>1.48288</v>
      </c>
      <c r="E68" s="16">
        <v>1.42848</v>
      </c>
      <c r="F68" s="16">
        <v>1.4331799999999999</v>
      </c>
      <c r="G68" s="16">
        <v>1.4461949999999999</v>
      </c>
      <c r="H68" s="16">
        <v>1.467544</v>
      </c>
      <c r="I68" s="16">
        <v>1.4801880000000001</v>
      </c>
      <c r="J68" s="16">
        <v>1.491838</v>
      </c>
      <c r="K68" s="16">
        <v>1.5081439999999999</v>
      </c>
      <c r="L68" s="16">
        <v>1.5362990000000001</v>
      </c>
      <c r="M68" s="16">
        <v>1.5665739999999999</v>
      </c>
      <c r="N68" s="16">
        <v>1.59738</v>
      </c>
      <c r="O68" s="16">
        <v>1.62971</v>
      </c>
      <c r="P68" s="16">
        <v>1.6543479999999999</v>
      </c>
      <c r="Q68" s="16">
        <v>1.6604829999999999</v>
      </c>
      <c r="R68" s="16">
        <v>1.6713199999999999</v>
      </c>
      <c r="S68" s="16">
        <v>1.6887570000000001</v>
      </c>
      <c r="T68" s="16">
        <v>1.697732</v>
      </c>
      <c r="U68" s="16">
        <v>1.6994260000000001</v>
      </c>
      <c r="V68" s="16">
        <v>1.6999120000000001</v>
      </c>
      <c r="W68" s="16">
        <v>1.7108859999999999</v>
      </c>
      <c r="X68" s="16">
        <v>1.724682</v>
      </c>
      <c r="Y68" s="16">
        <v>1.735835</v>
      </c>
      <c r="Z68" s="16">
        <v>1.7502180000000001</v>
      </c>
      <c r="AA68" s="16">
        <v>1.7715860000000001</v>
      </c>
      <c r="AB68" s="16">
        <v>1.788081</v>
      </c>
      <c r="AC68" s="16">
        <v>1.8116890000000001</v>
      </c>
      <c r="AD68" s="13">
        <v>8.0429999999999998E-3</v>
      </c>
    </row>
    <row r="69" spans="1:30" ht="15" customHeight="1" x14ac:dyDescent="0.25">
      <c r="A69" s="7" t="s">
        <v>104</v>
      </c>
      <c r="B69" s="11" t="s">
        <v>105</v>
      </c>
      <c r="C69" s="16">
        <v>3.205568</v>
      </c>
      <c r="D69" s="16">
        <v>3.0736680000000001</v>
      </c>
      <c r="E69" s="16">
        <v>3.1109680000000002</v>
      </c>
      <c r="F69" s="16">
        <v>3.1355680000000001</v>
      </c>
      <c r="G69" s="16">
        <v>3.236993</v>
      </c>
      <c r="H69" s="16">
        <v>3.34809</v>
      </c>
      <c r="I69" s="16">
        <v>3.4292050000000001</v>
      </c>
      <c r="J69" s="16">
        <v>3.5039709999999999</v>
      </c>
      <c r="K69" s="16">
        <v>3.5708150000000001</v>
      </c>
      <c r="L69" s="16">
        <v>3.652854</v>
      </c>
      <c r="M69" s="16">
        <v>3.714207</v>
      </c>
      <c r="N69" s="16">
        <v>3.7685110000000002</v>
      </c>
      <c r="O69" s="16">
        <v>3.8150300000000001</v>
      </c>
      <c r="P69" s="16">
        <v>3.8504830000000001</v>
      </c>
      <c r="Q69" s="16">
        <v>3.8639060000000001</v>
      </c>
      <c r="R69" s="16">
        <v>3.8832149999999999</v>
      </c>
      <c r="S69" s="16">
        <v>3.9015870000000001</v>
      </c>
      <c r="T69" s="16">
        <v>3.9112610000000001</v>
      </c>
      <c r="U69" s="16">
        <v>3.9203410000000001</v>
      </c>
      <c r="V69" s="16">
        <v>3.9371809999999998</v>
      </c>
      <c r="W69" s="16">
        <v>3.9570810000000001</v>
      </c>
      <c r="X69" s="16">
        <v>3.9801449999999998</v>
      </c>
      <c r="Y69" s="16">
        <v>4.0052640000000004</v>
      </c>
      <c r="Z69" s="16">
        <v>4.0382480000000003</v>
      </c>
      <c r="AA69" s="16">
        <v>4.0759109999999996</v>
      </c>
      <c r="AB69" s="16">
        <v>4.1076860000000002</v>
      </c>
      <c r="AC69" s="16">
        <v>4.1477570000000004</v>
      </c>
      <c r="AD69" s="13">
        <v>1.206E-2</v>
      </c>
    </row>
    <row r="70" spans="1:30" ht="15" customHeight="1" x14ac:dyDescent="0.25">
      <c r="A70" s="7" t="s">
        <v>106</v>
      </c>
      <c r="B70" s="10" t="s">
        <v>107</v>
      </c>
      <c r="C70" s="17">
        <v>20.042058999999998</v>
      </c>
      <c r="D70" s="17">
        <v>19.867916000000001</v>
      </c>
      <c r="E70" s="17">
        <v>20.266107999999999</v>
      </c>
      <c r="F70" s="17">
        <v>20.657415</v>
      </c>
      <c r="G70" s="17">
        <v>21.337917000000001</v>
      </c>
      <c r="H70" s="17">
        <v>22.076103</v>
      </c>
      <c r="I70" s="17">
        <v>22.673825999999998</v>
      </c>
      <c r="J70" s="17">
        <v>23.192007</v>
      </c>
      <c r="K70" s="17">
        <v>23.610787999999999</v>
      </c>
      <c r="L70" s="17">
        <v>24.122344999999999</v>
      </c>
      <c r="M70" s="17">
        <v>24.579329999999999</v>
      </c>
      <c r="N70" s="17">
        <v>25.001438</v>
      </c>
      <c r="O70" s="17">
        <v>25.336554</v>
      </c>
      <c r="P70" s="17">
        <v>25.554617</v>
      </c>
      <c r="Q70" s="17">
        <v>25.715405000000001</v>
      </c>
      <c r="R70" s="17">
        <v>25.925709000000001</v>
      </c>
      <c r="S70" s="17">
        <v>26.160160000000001</v>
      </c>
      <c r="T70" s="17">
        <v>26.378243999999999</v>
      </c>
      <c r="U70" s="17">
        <v>26.600012</v>
      </c>
      <c r="V70" s="17">
        <v>26.838989000000002</v>
      </c>
      <c r="W70" s="17">
        <v>27.093772999999999</v>
      </c>
      <c r="X70" s="17">
        <v>27.329777</v>
      </c>
      <c r="Y70" s="17">
        <v>27.591018999999999</v>
      </c>
      <c r="Z70" s="17">
        <v>27.866410999999999</v>
      </c>
      <c r="AA70" s="17">
        <v>28.182248999999999</v>
      </c>
      <c r="AB70" s="17">
        <v>28.447009999999999</v>
      </c>
      <c r="AC70" s="17">
        <v>28.743857999999999</v>
      </c>
      <c r="AD70" s="15">
        <v>1.4881999999999999E-2</v>
      </c>
    </row>
    <row r="71" spans="1:30" ht="15" customHeight="1" x14ac:dyDescent="0.25">
      <c r="A71" s="7" t="s">
        <v>108</v>
      </c>
      <c r="B71" s="11" t="s">
        <v>109</v>
      </c>
      <c r="C71" s="16">
        <v>6.4916790000000004</v>
      </c>
      <c r="D71" s="16">
        <v>6.0687740000000003</v>
      </c>
      <c r="E71" s="16">
        <v>6.1477259999999996</v>
      </c>
      <c r="F71" s="16">
        <v>6.2207090000000003</v>
      </c>
      <c r="G71" s="16">
        <v>6.3792879999999998</v>
      </c>
      <c r="H71" s="16">
        <v>6.6005409999999998</v>
      </c>
      <c r="I71" s="16">
        <v>6.7714040000000004</v>
      </c>
      <c r="J71" s="16">
        <v>6.9022230000000002</v>
      </c>
      <c r="K71" s="16">
        <v>7.0103359999999997</v>
      </c>
      <c r="L71" s="16">
        <v>7.1599899999999996</v>
      </c>
      <c r="M71" s="16">
        <v>7.2571680000000001</v>
      </c>
      <c r="N71" s="16">
        <v>7.3350679999999997</v>
      </c>
      <c r="O71" s="16">
        <v>7.3970859999999998</v>
      </c>
      <c r="P71" s="16">
        <v>7.4370640000000003</v>
      </c>
      <c r="Q71" s="16">
        <v>7.4361550000000003</v>
      </c>
      <c r="R71" s="16">
        <v>7.4396100000000001</v>
      </c>
      <c r="S71" s="16">
        <v>7.4383939999999997</v>
      </c>
      <c r="T71" s="16">
        <v>7.4288400000000001</v>
      </c>
      <c r="U71" s="16">
        <v>7.4251469999999999</v>
      </c>
      <c r="V71" s="16">
        <v>7.4364280000000003</v>
      </c>
      <c r="W71" s="16">
        <v>7.4370279999999998</v>
      </c>
      <c r="X71" s="16">
        <v>7.4560560000000002</v>
      </c>
      <c r="Y71" s="16">
        <v>7.4669869999999996</v>
      </c>
      <c r="Z71" s="16">
        <v>7.5067560000000002</v>
      </c>
      <c r="AA71" s="16">
        <v>7.55037</v>
      </c>
      <c r="AB71" s="16">
        <v>7.5791219999999999</v>
      </c>
      <c r="AC71" s="16">
        <v>7.6143780000000003</v>
      </c>
      <c r="AD71" s="13">
        <v>9.1170000000000001E-3</v>
      </c>
    </row>
    <row r="72" spans="1:30" ht="15" customHeight="1" x14ac:dyDescent="0.25">
      <c r="A72" s="7" t="s">
        <v>110</v>
      </c>
      <c r="B72" s="10" t="s">
        <v>35</v>
      </c>
      <c r="C72" s="17">
        <v>26.533736999999999</v>
      </c>
      <c r="D72" s="17">
        <v>25.936691</v>
      </c>
      <c r="E72" s="17">
        <v>26.413834000000001</v>
      </c>
      <c r="F72" s="17">
        <v>26.878124</v>
      </c>
      <c r="G72" s="17">
        <v>27.717205</v>
      </c>
      <c r="H72" s="17">
        <v>28.676642999999999</v>
      </c>
      <c r="I72" s="17">
        <v>29.445229999999999</v>
      </c>
      <c r="J72" s="17">
        <v>30.094231000000001</v>
      </c>
      <c r="K72" s="17">
        <v>30.621123999999998</v>
      </c>
      <c r="L72" s="17">
        <v>31.282335</v>
      </c>
      <c r="M72" s="17">
        <v>31.836497999999999</v>
      </c>
      <c r="N72" s="17">
        <v>32.336506</v>
      </c>
      <c r="O72" s="17">
        <v>32.733638999999997</v>
      </c>
      <c r="P72" s="17">
        <v>32.991680000000002</v>
      </c>
      <c r="Q72" s="17">
        <v>33.151558000000001</v>
      </c>
      <c r="R72" s="17">
        <v>33.365318000000002</v>
      </c>
      <c r="S72" s="17">
        <v>33.598553000000003</v>
      </c>
      <c r="T72" s="17">
        <v>33.807082999999999</v>
      </c>
      <c r="U72" s="17">
        <v>34.025157999999998</v>
      </c>
      <c r="V72" s="17">
        <v>34.275416999999997</v>
      </c>
      <c r="W72" s="17">
        <v>34.530799999999999</v>
      </c>
      <c r="X72" s="17">
        <v>34.785831000000002</v>
      </c>
      <c r="Y72" s="17">
        <v>35.058005999999999</v>
      </c>
      <c r="Z72" s="17">
        <v>35.373168999999997</v>
      </c>
      <c r="AA72" s="17">
        <v>35.732619999999997</v>
      </c>
      <c r="AB72" s="17">
        <v>36.026130999999999</v>
      </c>
      <c r="AC72" s="17">
        <v>36.358238</v>
      </c>
      <c r="AD72" s="15">
        <v>1.3602E-2</v>
      </c>
    </row>
    <row r="75" spans="1:30" ht="15" customHeight="1" x14ac:dyDescent="0.25">
      <c r="B75" s="10" t="s">
        <v>111</v>
      </c>
    </row>
    <row r="76" spans="1:30" ht="15" customHeight="1" x14ac:dyDescent="0.25">
      <c r="A76" s="7" t="s">
        <v>112</v>
      </c>
      <c r="B76" s="11" t="s">
        <v>113</v>
      </c>
      <c r="C76" s="16">
        <v>8.3049999999999999E-3</v>
      </c>
      <c r="D76" s="16">
        <v>8.3049999999999999E-3</v>
      </c>
      <c r="E76" s="16">
        <v>8.3049999999999999E-3</v>
      </c>
      <c r="F76" s="16">
        <v>8.3049999999999999E-3</v>
      </c>
      <c r="G76" s="16">
        <v>0</v>
      </c>
      <c r="H76" s="16">
        <v>0</v>
      </c>
      <c r="I76" s="16">
        <v>0</v>
      </c>
      <c r="J76" s="16">
        <v>0</v>
      </c>
      <c r="K76" s="16">
        <v>0</v>
      </c>
      <c r="L76" s="16">
        <v>0</v>
      </c>
      <c r="M76" s="16">
        <v>0</v>
      </c>
      <c r="N76" s="16">
        <v>0</v>
      </c>
      <c r="O76" s="16">
        <v>0</v>
      </c>
      <c r="P76" s="16">
        <v>0</v>
      </c>
      <c r="Q76" s="16">
        <v>0</v>
      </c>
      <c r="R76" s="16">
        <v>0</v>
      </c>
      <c r="S76" s="16">
        <v>0</v>
      </c>
      <c r="T76" s="16">
        <v>0</v>
      </c>
      <c r="U76" s="16">
        <v>0</v>
      </c>
      <c r="V76" s="16">
        <v>0</v>
      </c>
      <c r="W76" s="16">
        <v>0</v>
      </c>
      <c r="X76" s="16">
        <v>0</v>
      </c>
      <c r="Y76" s="16">
        <v>0</v>
      </c>
      <c r="Z76" s="16">
        <v>0</v>
      </c>
      <c r="AA76" s="16">
        <v>0</v>
      </c>
      <c r="AB76" s="16">
        <v>0</v>
      </c>
      <c r="AC76" s="16">
        <v>0</v>
      </c>
      <c r="AD76" s="13" t="s">
        <v>13</v>
      </c>
    </row>
    <row r="77" spans="1:30" ht="15" customHeight="1" x14ac:dyDescent="0.25">
      <c r="A77" s="7" t="s">
        <v>114</v>
      </c>
      <c r="B77" s="11" t="s">
        <v>42</v>
      </c>
      <c r="C77" s="16">
        <v>1.799E-3</v>
      </c>
      <c r="D77" s="16">
        <v>1.799E-3</v>
      </c>
      <c r="E77" s="16">
        <v>1.799E-3</v>
      </c>
      <c r="F77" s="16">
        <v>1.799E-3</v>
      </c>
      <c r="G77" s="16">
        <v>0</v>
      </c>
      <c r="H77" s="16">
        <v>0</v>
      </c>
      <c r="I77" s="16">
        <v>0</v>
      </c>
      <c r="J77" s="16">
        <v>0</v>
      </c>
      <c r="K77" s="16">
        <v>0</v>
      </c>
      <c r="L77" s="16">
        <v>0</v>
      </c>
      <c r="M77" s="16">
        <v>0</v>
      </c>
      <c r="N77" s="16">
        <v>0</v>
      </c>
      <c r="O77" s="16">
        <v>0</v>
      </c>
      <c r="P77" s="16">
        <v>0</v>
      </c>
      <c r="Q77" s="16">
        <v>0</v>
      </c>
      <c r="R77" s="16">
        <v>0</v>
      </c>
      <c r="S77" s="16">
        <v>0</v>
      </c>
      <c r="T77" s="16">
        <v>0</v>
      </c>
      <c r="U77" s="16">
        <v>0</v>
      </c>
      <c r="V77" s="16">
        <v>0</v>
      </c>
      <c r="W77" s="16">
        <v>0</v>
      </c>
      <c r="X77" s="16">
        <v>0</v>
      </c>
      <c r="Y77" s="16">
        <v>0</v>
      </c>
      <c r="Z77" s="16">
        <v>0</v>
      </c>
      <c r="AA77" s="16">
        <v>0</v>
      </c>
      <c r="AB77" s="16">
        <v>0</v>
      </c>
      <c r="AC77" s="16">
        <v>0</v>
      </c>
      <c r="AD77" s="13" t="s">
        <v>13</v>
      </c>
    </row>
    <row r="78" spans="1:30" ht="15" customHeight="1" x14ac:dyDescent="0.25">
      <c r="A78" s="7" t="s">
        <v>115</v>
      </c>
      <c r="B78" s="11" t="s">
        <v>44</v>
      </c>
      <c r="C78" s="16">
        <v>2.5969999999999999E-3</v>
      </c>
      <c r="D78" s="16">
        <v>2.5969999999999999E-3</v>
      </c>
      <c r="E78" s="16">
        <v>2.5969999999999999E-3</v>
      </c>
      <c r="F78" s="16">
        <v>2.5969999999999999E-3</v>
      </c>
      <c r="G78" s="16">
        <v>0</v>
      </c>
      <c r="H78" s="16">
        <v>0</v>
      </c>
      <c r="I78" s="16">
        <v>0</v>
      </c>
      <c r="J78" s="16">
        <v>0</v>
      </c>
      <c r="K78" s="16">
        <v>0</v>
      </c>
      <c r="L78" s="16">
        <v>0</v>
      </c>
      <c r="M78" s="16">
        <v>0</v>
      </c>
      <c r="N78" s="16">
        <v>0</v>
      </c>
      <c r="O78" s="16">
        <v>0</v>
      </c>
      <c r="P78" s="16">
        <v>0</v>
      </c>
      <c r="Q78" s="16">
        <v>0</v>
      </c>
      <c r="R78" s="16">
        <v>0</v>
      </c>
      <c r="S78" s="16">
        <v>0</v>
      </c>
      <c r="T78" s="16">
        <v>0</v>
      </c>
      <c r="U78" s="16">
        <v>0</v>
      </c>
      <c r="V78" s="16">
        <v>0</v>
      </c>
      <c r="W78" s="16">
        <v>0</v>
      </c>
      <c r="X78" s="16">
        <v>0</v>
      </c>
      <c r="Y78" s="16">
        <v>0</v>
      </c>
      <c r="Z78" s="16">
        <v>0</v>
      </c>
      <c r="AA78" s="16">
        <v>0</v>
      </c>
      <c r="AB78" s="16">
        <v>0</v>
      </c>
      <c r="AC78" s="16">
        <v>0</v>
      </c>
      <c r="AD78" s="13" t="s">
        <v>13</v>
      </c>
    </row>
    <row r="79" spans="1:30" ht="15" customHeight="1" x14ac:dyDescent="0.25">
      <c r="A79" s="7" t="s">
        <v>116</v>
      </c>
      <c r="B79" s="11" t="s">
        <v>83</v>
      </c>
      <c r="C79" s="16">
        <v>0.53371800000000003</v>
      </c>
      <c r="D79" s="16">
        <v>0.50424400000000003</v>
      </c>
      <c r="E79" s="16">
        <v>0.47477000000000003</v>
      </c>
      <c r="F79" s="16">
        <v>0.445295</v>
      </c>
      <c r="G79" s="16">
        <v>0.344663</v>
      </c>
      <c r="H79" s="16">
        <v>0.35259000000000001</v>
      </c>
      <c r="I79" s="16">
        <v>0.35739199999999999</v>
      </c>
      <c r="J79" s="16">
        <v>0.36104900000000001</v>
      </c>
      <c r="K79" s="16">
        <v>0.356792</v>
      </c>
      <c r="L79" s="16">
        <v>0.35697499999999999</v>
      </c>
      <c r="M79" s="16">
        <v>0.360628</v>
      </c>
      <c r="N79" s="16">
        <v>0.35854999999999998</v>
      </c>
      <c r="O79" s="16">
        <v>0.36177399999999998</v>
      </c>
      <c r="P79" s="16">
        <v>0.36035800000000001</v>
      </c>
      <c r="Q79" s="16">
        <v>0.35864600000000002</v>
      </c>
      <c r="R79" s="16">
        <v>0.355132</v>
      </c>
      <c r="S79" s="16">
        <v>0.35222700000000001</v>
      </c>
      <c r="T79" s="16">
        <v>0.35344300000000001</v>
      </c>
      <c r="U79" s="16">
        <v>0.35466799999999998</v>
      </c>
      <c r="V79" s="16">
        <v>0.35131600000000002</v>
      </c>
      <c r="W79" s="16">
        <v>0.35137499999999999</v>
      </c>
      <c r="X79" s="16">
        <v>0.350912</v>
      </c>
      <c r="Y79" s="16">
        <v>0.34963899999999998</v>
      </c>
      <c r="Z79" s="16">
        <v>0.35043000000000002</v>
      </c>
      <c r="AA79" s="16">
        <v>0.35187499999999999</v>
      </c>
      <c r="AB79" s="16">
        <v>0.35794100000000001</v>
      </c>
      <c r="AC79" s="16">
        <v>0.35905300000000001</v>
      </c>
      <c r="AD79" s="13">
        <v>-1.3492000000000001E-2</v>
      </c>
    </row>
    <row r="80" spans="1:30" ht="15" customHeight="1" x14ac:dyDescent="0.25">
      <c r="A80" s="7" t="s">
        <v>117</v>
      </c>
      <c r="B80" s="11" t="s">
        <v>118</v>
      </c>
      <c r="C80" s="16">
        <v>1.4455260000000001</v>
      </c>
      <c r="D80" s="16">
        <v>1.4750000000000001</v>
      </c>
      <c r="E80" s="16">
        <v>1.5044740000000001</v>
      </c>
      <c r="F80" s="16">
        <v>1.533949</v>
      </c>
      <c r="G80" s="16">
        <v>1.6906600000000001</v>
      </c>
      <c r="H80" s="16">
        <v>1.699171</v>
      </c>
      <c r="I80" s="16">
        <v>1.698534</v>
      </c>
      <c r="J80" s="16">
        <v>1.693087</v>
      </c>
      <c r="K80" s="16">
        <v>1.6860740000000001</v>
      </c>
      <c r="L80" s="16">
        <v>1.685492</v>
      </c>
      <c r="M80" s="16">
        <v>1.6898880000000001</v>
      </c>
      <c r="N80" s="16">
        <v>1.6865319999999999</v>
      </c>
      <c r="O80" s="16">
        <v>1.6835290000000001</v>
      </c>
      <c r="P80" s="16">
        <v>1.686612</v>
      </c>
      <c r="Q80" s="16">
        <v>1.6765540000000001</v>
      </c>
      <c r="R80" s="16">
        <v>1.6807559999999999</v>
      </c>
      <c r="S80" s="16">
        <v>1.6815990000000001</v>
      </c>
      <c r="T80" s="16">
        <v>1.6850229999999999</v>
      </c>
      <c r="U80" s="16">
        <v>1.6854469999999999</v>
      </c>
      <c r="V80" s="16">
        <v>1.6821600000000001</v>
      </c>
      <c r="W80" s="16">
        <v>1.6822760000000001</v>
      </c>
      <c r="X80" s="16">
        <v>1.677854</v>
      </c>
      <c r="Y80" s="16">
        <v>1.6750400000000001</v>
      </c>
      <c r="Z80" s="16">
        <v>1.6792910000000001</v>
      </c>
      <c r="AA80" s="16">
        <v>1.6815439999999999</v>
      </c>
      <c r="AB80" s="16">
        <v>1.695344</v>
      </c>
      <c r="AC80" s="16">
        <v>1.702582</v>
      </c>
      <c r="AD80" s="13">
        <v>5.7559999999999998E-3</v>
      </c>
    </row>
    <row r="81" spans="1:30" ht="15" customHeight="1" x14ac:dyDescent="0.25">
      <c r="A81" s="7" t="s">
        <v>119</v>
      </c>
      <c r="B81" s="11" t="s">
        <v>86</v>
      </c>
      <c r="C81" s="16">
        <v>6.6810000000000003E-3</v>
      </c>
      <c r="D81" s="16">
        <v>6.6810000000000003E-3</v>
      </c>
      <c r="E81" s="16">
        <v>6.6810000000000003E-3</v>
      </c>
      <c r="F81" s="16">
        <v>6.6810000000000003E-3</v>
      </c>
      <c r="G81" s="16">
        <v>3.8999999999999999E-5</v>
      </c>
      <c r="H81" s="16">
        <v>3.0000000000000001E-6</v>
      </c>
      <c r="I81" s="16">
        <v>4.0000000000000003E-5</v>
      </c>
      <c r="J81" s="16">
        <v>1.0000000000000001E-5</v>
      </c>
      <c r="K81" s="16">
        <v>0</v>
      </c>
      <c r="L81" s="16">
        <v>0</v>
      </c>
      <c r="M81" s="16">
        <v>0</v>
      </c>
      <c r="N81" s="16">
        <v>0</v>
      </c>
      <c r="O81" s="16">
        <v>0</v>
      </c>
      <c r="P81" s="16">
        <v>1.9999999999999999E-6</v>
      </c>
      <c r="Q81" s="16">
        <v>0</v>
      </c>
      <c r="R81" s="16">
        <v>0</v>
      </c>
      <c r="S81" s="16">
        <v>0</v>
      </c>
      <c r="T81" s="16">
        <v>0</v>
      </c>
      <c r="U81" s="16">
        <v>0</v>
      </c>
      <c r="V81" s="16">
        <v>2.3E-5</v>
      </c>
      <c r="W81" s="16">
        <v>0</v>
      </c>
      <c r="X81" s="16">
        <v>1.35E-4</v>
      </c>
      <c r="Y81" s="16">
        <v>1.323E-3</v>
      </c>
      <c r="Z81" s="16">
        <v>3.9839999999999997E-3</v>
      </c>
      <c r="AA81" s="16">
        <v>5.0980000000000001E-3</v>
      </c>
      <c r="AB81" s="16">
        <v>6.3299999999999997E-3</v>
      </c>
      <c r="AC81" s="16">
        <v>3.1649999999999998E-3</v>
      </c>
      <c r="AD81" s="13">
        <v>-2.9439E-2</v>
      </c>
    </row>
    <row r="82" spans="1:30" ht="15" customHeight="1" x14ac:dyDescent="0.25">
      <c r="A82" s="7" t="s">
        <v>120</v>
      </c>
      <c r="B82" s="11" t="s">
        <v>88</v>
      </c>
      <c r="C82" s="16">
        <v>1.998626</v>
      </c>
      <c r="D82" s="16">
        <v>1.998626</v>
      </c>
      <c r="E82" s="16">
        <v>1.998626</v>
      </c>
      <c r="F82" s="16">
        <v>1.998626</v>
      </c>
      <c r="G82" s="16">
        <v>2.0353620000000001</v>
      </c>
      <c r="H82" s="16">
        <v>2.0517639999999999</v>
      </c>
      <c r="I82" s="16">
        <v>2.0559660000000002</v>
      </c>
      <c r="J82" s="16">
        <v>2.0541459999999998</v>
      </c>
      <c r="K82" s="16">
        <v>2.0428660000000001</v>
      </c>
      <c r="L82" s="16">
        <v>2.0424669999999998</v>
      </c>
      <c r="M82" s="16">
        <v>2.050516</v>
      </c>
      <c r="N82" s="16">
        <v>2.045083</v>
      </c>
      <c r="O82" s="16">
        <v>2.0453030000000001</v>
      </c>
      <c r="P82" s="16">
        <v>2.0469719999999998</v>
      </c>
      <c r="Q82" s="16">
        <v>2.0352000000000001</v>
      </c>
      <c r="R82" s="16">
        <v>2.0358869999999998</v>
      </c>
      <c r="S82" s="16">
        <v>2.0338259999999999</v>
      </c>
      <c r="T82" s="16">
        <v>2.0384660000000001</v>
      </c>
      <c r="U82" s="16">
        <v>2.0401150000000001</v>
      </c>
      <c r="V82" s="16">
        <v>2.0334989999999999</v>
      </c>
      <c r="W82" s="16">
        <v>2.0336509999999999</v>
      </c>
      <c r="X82" s="16">
        <v>2.0289009999999998</v>
      </c>
      <c r="Y82" s="16">
        <v>2.0260020000000001</v>
      </c>
      <c r="Z82" s="16">
        <v>2.0337040000000002</v>
      </c>
      <c r="AA82" s="16">
        <v>2.0385170000000001</v>
      </c>
      <c r="AB82" s="16">
        <v>2.059615</v>
      </c>
      <c r="AC82" s="16">
        <v>2.0648010000000001</v>
      </c>
      <c r="AD82" s="13">
        <v>1.304E-3</v>
      </c>
    </row>
    <row r="83" spans="1:30" ht="15" customHeight="1" x14ac:dyDescent="0.25">
      <c r="A83" s="7" t="s">
        <v>121</v>
      </c>
      <c r="B83" s="11" t="s">
        <v>48</v>
      </c>
      <c r="C83" s="16">
        <v>1.2896939999999999</v>
      </c>
      <c r="D83" s="16">
        <v>1.245047</v>
      </c>
      <c r="E83" s="16">
        <v>1.200402</v>
      </c>
      <c r="F83" s="16">
        <v>1.1557569999999999</v>
      </c>
      <c r="G83" s="16">
        <v>1.1098539999999999</v>
      </c>
      <c r="H83" s="16">
        <v>1.102638</v>
      </c>
      <c r="I83" s="16">
        <v>1.0870690000000001</v>
      </c>
      <c r="J83" s="16">
        <v>1.077804</v>
      </c>
      <c r="K83" s="16">
        <v>1.0716730000000001</v>
      </c>
      <c r="L83" s="16">
        <v>1.0606739999999999</v>
      </c>
      <c r="M83" s="16">
        <v>1.052424</v>
      </c>
      <c r="N83" s="16">
        <v>1.0459879999999999</v>
      </c>
      <c r="O83" s="16">
        <v>1.038232</v>
      </c>
      <c r="P83" s="16">
        <v>1.0323329999999999</v>
      </c>
      <c r="Q83" s="16">
        <v>1.0388550000000001</v>
      </c>
      <c r="R83" s="16">
        <v>1.0387059999999999</v>
      </c>
      <c r="S83" s="16">
        <v>1.0407090000000001</v>
      </c>
      <c r="T83" s="16">
        <v>1.0382359999999999</v>
      </c>
      <c r="U83" s="16">
        <v>1.043091</v>
      </c>
      <c r="V83" s="16">
        <v>1.0481579999999999</v>
      </c>
      <c r="W83" s="16">
        <v>1.0536270000000001</v>
      </c>
      <c r="X83" s="16">
        <v>1.0666230000000001</v>
      </c>
      <c r="Y83" s="16">
        <v>1.0787720000000001</v>
      </c>
      <c r="Z83" s="16">
        <v>1.083707</v>
      </c>
      <c r="AA83" s="16">
        <v>1.100509</v>
      </c>
      <c r="AB83" s="16">
        <v>1.1033630000000001</v>
      </c>
      <c r="AC83" s="16">
        <v>1.1115999999999999</v>
      </c>
      <c r="AD83" s="13">
        <v>-4.5250000000000004E-3</v>
      </c>
    </row>
    <row r="84" spans="1:30" ht="15" customHeight="1" x14ac:dyDescent="0.25">
      <c r="A84" s="7" t="s">
        <v>122</v>
      </c>
      <c r="B84" s="19" t="s">
        <v>50</v>
      </c>
      <c r="C84" s="16">
        <v>0.186006</v>
      </c>
      <c r="D84" s="16">
        <v>0.21867600000000001</v>
      </c>
      <c r="E84" s="16">
        <v>0.207094</v>
      </c>
      <c r="F84" s="16">
        <v>0.296518</v>
      </c>
      <c r="G84" s="16">
        <v>0.30434899999999998</v>
      </c>
      <c r="H84" s="16">
        <v>0.312946</v>
      </c>
      <c r="I84" s="16">
        <v>0.30914199999999997</v>
      </c>
      <c r="J84" s="16">
        <v>0.30655700000000002</v>
      </c>
      <c r="K84" s="16">
        <v>0.30282999999999999</v>
      </c>
      <c r="L84" s="16">
        <v>0.29902600000000001</v>
      </c>
      <c r="M84" s="16">
        <v>0.30064800000000003</v>
      </c>
      <c r="N84" s="16">
        <v>0.29870200000000002</v>
      </c>
      <c r="O84" s="16">
        <v>0.29874299999999998</v>
      </c>
      <c r="P84" s="16">
        <v>0.29896699999999998</v>
      </c>
      <c r="Q84" s="16">
        <v>0.30307499999999998</v>
      </c>
      <c r="R84" s="16">
        <v>0.30818600000000002</v>
      </c>
      <c r="S84" s="16">
        <v>0.30860599999999999</v>
      </c>
      <c r="T84" s="16">
        <v>0.31148700000000001</v>
      </c>
      <c r="U84" s="16">
        <v>0.31566499999999997</v>
      </c>
      <c r="V84" s="16">
        <v>0.31922200000000001</v>
      </c>
      <c r="W84" s="16">
        <v>0.32053900000000002</v>
      </c>
      <c r="X84" s="16">
        <v>0.325573</v>
      </c>
      <c r="Y84" s="16">
        <v>0.33050200000000002</v>
      </c>
      <c r="Z84" s="16">
        <v>0.33622999999999997</v>
      </c>
      <c r="AA84" s="16">
        <v>0.343835</v>
      </c>
      <c r="AB84" s="16">
        <v>0.34558</v>
      </c>
      <c r="AC84" s="16">
        <v>0.34574100000000002</v>
      </c>
      <c r="AD84" s="13">
        <v>1.8492999999999999E-2</v>
      </c>
    </row>
    <row r="85" spans="1:30" ht="15" customHeight="1" x14ac:dyDescent="0.25">
      <c r="A85" s="7" t="s">
        <v>123</v>
      </c>
      <c r="B85" s="11" t="s">
        <v>124</v>
      </c>
      <c r="C85" s="16">
        <v>0</v>
      </c>
      <c r="D85" s="16">
        <v>0</v>
      </c>
      <c r="E85" s="16">
        <v>0</v>
      </c>
      <c r="F85" s="16">
        <v>0</v>
      </c>
      <c r="G85" s="16">
        <v>0</v>
      </c>
      <c r="H85" s="16">
        <v>0</v>
      </c>
      <c r="I85" s="16">
        <v>0</v>
      </c>
      <c r="J85" s="16">
        <v>0</v>
      </c>
      <c r="K85" s="16">
        <v>0</v>
      </c>
      <c r="L85" s="16">
        <v>0</v>
      </c>
      <c r="M85" s="16">
        <v>0</v>
      </c>
      <c r="N85" s="16">
        <v>0</v>
      </c>
      <c r="O85" s="16">
        <v>0</v>
      </c>
      <c r="P85" s="16">
        <v>0</v>
      </c>
      <c r="Q85" s="16">
        <v>0</v>
      </c>
      <c r="R85" s="16">
        <v>0</v>
      </c>
      <c r="S85" s="16">
        <v>0</v>
      </c>
      <c r="T85" s="16">
        <v>0</v>
      </c>
      <c r="U85" s="16">
        <v>0</v>
      </c>
      <c r="V85" s="16">
        <v>0</v>
      </c>
      <c r="W85" s="16">
        <v>0</v>
      </c>
      <c r="X85" s="16">
        <v>0</v>
      </c>
      <c r="Y85" s="16">
        <v>0</v>
      </c>
      <c r="Z85" s="16">
        <v>0</v>
      </c>
      <c r="AA85" s="16">
        <v>0</v>
      </c>
      <c r="AB85" s="16">
        <v>0</v>
      </c>
      <c r="AC85" s="16">
        <v>0</v>
      </c>
      <c r="AD85" s="13" t="s">
        <v>13</v>
      </c>
    </row>
    <row r="86" spans="1:30" ht="15" customHeight="1" x14ac:dyDescent="0.25">
      <c r="A86" s="7" t="s">
        <v>125</v>
      </c>
      <c r="B86" s="11" t="s">
        <v>96</v>
      </c>
      <c r="C86" s="16">
        <v>1.4757</v>
      </c>
      <c r="D86" s="16">
        <v>1.4637230000000001</v>
      </c>
      <c r="E86" s="16">
        <v>1.4074960000000001</v>
      </c>
      <c r="F86" s="16">
        <v>1.452275</v>
      </c>
      <c r="G86" s="16">
        <v>1.4142030000000001</v>
      </c>
      <c r="H86" s="16">
        <v>1.415584</v>
      </c>
      <c r="I86" s="16">
        <v>1.396212</v>
      </c>
      <c r="J86" s="16">
        <v>1.3843620000000001</v>
      </c>
      <c r="K86" s="16">
        <v>1.3745039999999999</v>
      </c>
      <c r="L86" s="16">
        <v>1.3596999999999999</v>
      </c>
      <c r="M86" s="16">
        <v>1.353073</v>
      </c>
      <c r="N86" s="16">
        <v>1.3446899999999999</v>
      </c>
      <c r="O86" s="16">
        <v>1.336975</v>
      </c>
      <c r="P86" s="16">
        <v>1.3312999999999999</v>
      </c>
      <c r="Q86" s="16">
        <v>1.3419300000000001</v>
      </c>
      <c r="R86" s="16">
        <v>1.346892</v>
      </c>
      <c r="S86" s="16">
        <v>1.349315</v>
      </c>
      <c r="T86" s="16">
        <v>1.3497220000000001</v>
      </c>
      <c r="U86" s="16">
        <v>1.3587560000000001</v>
      </c>
      <c r="V86" s="16">
        <v>1.36738</v>
      </c>
      <c r="W86" s="16">
        <v>1.374166</v>
      </c>
      <c r="X86" s="16">
        <v>1.392196</v>
      </c>
      <c r="Y86" s="16">
        <v>1.4092739999999999</v>
      </c>
      <c r="Z86" s="16">
        <v>1.419937</v>
      </c>
      <c r="AA86" s="16">
        <v>1.4443440000000001</v>
      </c>
      <c r="AB86" s="16">
        <v>1.4489430000000001</v>
      </c>
      <c r="AC86" s="16">
        <v>1.457341</v>
      </c>
      <c r="AD86" s="13">
        <v>-1.75E-4</v>
      </c>
    </row>
    <row r="87" spans="1:30" ht="15" customHeight="1" x14ac:dyDescent="0.25">
      <c r="A87" s="7" t="s">
        <v>126</v>
      </c>
      <c r="B87" s="11" t="s">
        <v>54</v>
      </c>
      <c r="C87" s="16">
        <v>2.4E-2</v>
      </c>
      <c r="D87" s="16">
        <v>2.4E-2</v>
      </c>
      <c r="E87" s="16">
        <v>2.4E-2</v>
      </c>
      <c r="F87" s="16">
        <v>2.4E-2</v>
      </c>
      <c r="G87" s="16">
        <v>0</v>
      </c>
      <c r="H87" s="16">
        <v>0</v>
      </c>
      <c r="I87" s="16">
        <v>0</v>
      </c>
      <c r="J87" s="16">
        <v>0</v>
      </c>
      <c r="K87" s="16">
        <v>0</v>
      </c>
      <c r="L87" s="16">
        <v>0</v>
      </c>
      <c r="M87" s="16">
        <v>0</v>
      </c>
      <c r="N87" s="16">
        <v>0</v>
      </c>
      <c r="O87" s="16">
        <v>0</v>
      </c>
      <c r="P87" s="16">
        <v>0</v>
      </c>
      <c r="Q87" s="16">
        <v>0</v>
      </c>
      <c r="R87" s="16">
        <v>0</v>
      </c>
      <c r="S87" s="16">
        <v>0</v>
      </c>
      <c r="T87" s="16">
        <v>0</v>
      </c>
      <c r="U87" s="16">
        <v>0</v>
      </c>
      <c r="V87" s="16">
        <v>0</v>
      </c>
      <c r="W87" s="16">
        <v>0</v>
      </c>
      <c r="X87" s="16">
        <v>0</v>
      </c>
      <c r="Y87" s="16">
        <v>0</v>
      </c>
      <c r="Z87" s="16">
        <v>0</v>
      </c>
      <c r="AA87" s="16">
        <v>0</v>
      </c>
      <c r="AB87" s="16">
        <v>0</v>
      </c>
      <c r="AC87" s="16">
        <v>0</v>
      </c>
      <c r="AD87" s="13" t="s">
        <v>13</v>
      </c>
    </row>
    <row r="88" spans="1:30" ht="15" customHeight="1" x14ac:dyDescent="0.25">
      <c r="A88" s="7" t="s">
        <v>127</v>
      </c>
      <c r="B88" s="11" t="s">
        <v>128</v>
      </c>
      <c r="C88" s="16">
        <v>0</v>
      </c>
      <c r="D88" s="16">
        <v>0</v>
      </c>
      <c r="E88" s="16">
        <v>0</v>
      </c>
      <c r="F88" s="16">
        <v>0</v>
      </c>
      <c r="G88" s="16">
        <v>0</v>
      </c>
      <c r="H88" s="16">
        <v>0</v>
      </c>
      <c r="I88" s="16">
        <v>0</v>
      </c>
      <c r="J88" s="16">
        <v>0</v>
      </c>
      <c r="K88" s="16">
        <v>0</v>
      </c>
      <c r="L88" s="16">
        <v>0</v>
      </c>
      <c r="M88" s="16">
        <v>0</v>
      </c>
      <c r="N88" s="16">
        <v>0</v>
      </c>
      <c r="O88" s="16">
        <v>0</v>
      </c>
      <c r="P88" s="16">
        <v>0</v>
      </c>
      <c r="Q88" s="16">
        <v>0</v>
      </c>
      <c r="R88" s="16">
        <v>0</v>
      </c>
      <c r="S88" s="16">
        <v>0</v>
      </c>
      <c r="T88" s="16">
        <v>0</v>
      </c>
      <c r="U88" s="16">
        <v>0</v>
      </c>
      <c r="V88" s="16">
        <v>0</v>
      </c>
      <c r="W88" s="16">
        <v>0</v>
      </c>
      <c r="X88" s="16">
        <v>0</v>
      </c>
      <c r="Y88" s="16">
        <v>0</v>
      </c>
      <c r="Z88" s="16">
        <v>0</v>
      </c>
      <c r="AA88" s="16">
        <v>0</v>
      </c>
      <c r="AB88" s="16">
        <v>0</v>
      </c>
      <c r="AC88" s="16">
        <v>0</v>
      </c>
      <c r="AD88" s="13" t="s">
        <v>13</v>
      </c>
    </row>
    <row r="89" spans="1:30" ht="15" customHeight="1" x14ac:dyDescent="0.25">
      <c r="A89" s="7" t="s">
        <v>129</v>
      </c>
      <c r="B89" s="11" t="s">
        <v>101</v>
      </c>
      <c r="C89" s="16">
        <v>2.4E-2</v>
      </c>
      <c r="D89" s="16">
        <v>2.4E-2</v>
      </c>
      <c r="E89" s="16">
        <v>2.4E-2</v>
      </c>
      <c r="F89" s="16">
        <v>2.4E-2</v>
      </c>
      <c r="G89" s="16">
        <v>0</v>
      </c>
      <c r="H89" s="16">
        <v>0</v>
      </c>
      <c r="I89" s="16">
        <v>0</v>
      </c>
      <c r="J89" s="16">
        <v>0</v>
      </c>
      <c r="K89" s="16">
        <v>0</v>
      </c>
      <c r="L89" s="16">
        <v>0</v>
      </c>
      <c r="M89" s="16">
        <v>0</v>
      </c>
      <c r="N89" s="16">
        <v>0</v>
      </c>
      <c r="O89" s="16">
        <v>0</v>
      </c>
      <c r="P89" s="16">
        <v>0</v>
      </c>
      <c r="Q89" s="16">
        <v>0</v>
      </c>
      <c r="R89" s="16">
        <v>0</v>
      </c>
      <c r="S89" s="16">
        <v>0</v>
      </c>
      <c r="T89" s="16">
        <v>0</v>
      </c>
      <c r="U89" s="16">
        <v>0</v>
      </c>
      <c r="V89" s="16">
        <v>0</v>
      </c>
      <c r="W89" s="16">
        <v>0</v>
      </c>
      <c r="X89" s="16">
        <v>0</v>
      </c>
      <c r="Y89" s="16">
        <v>0</v>
      </c>
      <c r="Z89" s="16">
        <v>0</v>
      </c>
      <c r="AA89" s="16">
        <v>0</v>
      </c>
      <c r="AB89" s="16">
        <v>0</v>
      </c>
      <c r="AC89" s="16">
        <v>0</v>
      </c>
      <c r="AD89" s="13" t="s">
        <v>13</v>
      </c>
    </row>
    <row r="90" spans="1:30" ht="15" customHeight="1" x14ac:dyDescent="0.25">
      <c r="A90" s="7" t="s">
        <v>130</v>
      </c>
      <c r="B90" s="11" t="s">
        <v>131</v>
      </c>
      <c r="C90" s="16">
        <v>0.74870499999999995</v>
      </c>
      <c r="D90" s="16">
        <v>0.78171199999999996</v>
      </c>
      <c r="E90" s="16">
        <v>0.80350299999999997</v>
      </c>
      <c r="F90" s="16">
        <v>0.80806699999999998</v>
      </c>
      <c r="G90" s="16">
        <v>0.83966200000000002</v>
      </c>
      <c r="H90" s="16">
        <v>0.83299100000000004</v>
      </c>
      <c r="I90" s="16">
        <v>0.82458399999999998</v>
      </c>
      <c r="J90" s="16">
        <v>0.81233999999999995</v>
      </c>
      <c r="K90" s="16">
        <v>0.80998400000000004</v>
      </c>
      <c r="L90" s="16">
        <v>0.80318699999999998</v>
      </c>
      <c r="M90" s="16">
        <v>0.80273700000000003</v>
      </c>
      <c r="N90" s="16">
        <v>0.80277900000000002</v>
      </c>
      <c r="O90" s="16">
        <v>0.80280499999999999</v>
      </c>
      <c r="P90" s="16">
        <v>0.80361899999999997</v>
      </c>
      <c r="Q90" s="16">
        <v>0.80505300000000002</v>
      </c>
      <c r="R90" s="16">
        <v>0.80517499999999997</v>
      </c>
      <c r="S90" s="16">
        <v>0.80567999999999995</v>
      </c>
      <c r="T90" s="16">
        <v>0.80562999999999996</v>
      </c>
      <c r="U90" s="16">
        <v>0.80570799999999998</v>
      </c>
      <c r="V90" s="16">
        <v>0.80769400000000002</v>
      </c>
      <c r="W90" s="16">
        <v>0.80833999999999995</v>
      </c>
      <c r="X90" s="16">
        <v>0.81606900000000004</v>
      </c>
      <c r="Y90" s="16">
        <v>0.823515</v>
      </c>
      <c r="Z90" s="16">
        <v>0.823515</v>
      </c>
      <c r="AA90" s="16">
        <v>0.83356799999999998</v>
      </c>
      <c r="AB90" s="16">
        <v>0.83692</v>
      </c>
      <c r="AC90" s="16">
        <v>0.83956900000000001</v>
      </c>
      <c r="AD90" s="13">
        <v>2.8600000000000001E-3</v>
      </c>
    </row>
    <row r="91" spans="1:30" ht="15" customHeight="1" x14ac:dyDescent="0.25">
      <c r="A91" s="7" t="s">
        <v>132</v>
      </c>
      <c r="B91" s="11" t="s">
        <v>105</v>
      </c>
      <c r="C91" s="16">
        <v>0.198132</v>
      </c>
      <c r="D91" s="16">
        <v>0.198132</v>
      </c>
      <c r="E91" s="16">
        <v>0.198132</v>
      </c>
      <c r="F91" s="16">
        <v>0.198132</v>
      </c>
      <c r="G91" s="16">
        <v>0.188886</v>
      </c>
      <c r="H91" s="16">
        <v>0.19012999999999999</v>
      </c>
      <c r="I91" s="16">
        <v>0.18915299999999999</v>
      </c>
      <c r="J91" s="16">
        <v>0.18690699999999999</v>
      </c>
      <c r="K91" s="16">
        <v>0.184255</v>
      </c>
      <c r="L91" s="16">
        <v>0.18162500000000001</v>
      </c>
      <c r="M91" s="16">
        <v>0.17963999999999999</v>
      </c>
      <c r="N91" s="16">
        <v>0.177125</v>
      </c>
      <c r="O91" s="16">
        <v>0.175622</v>
      </c>
      <c r="P91" s="16">
        <v>0.17428199999999999</v>
      </c>
      <c r="Q91" s="16">
        <v>0.17327799999999999</v>
      </c>
      <c r="R91" s="16">
        <v>0.17312</v>
      </c>
      <c r="S91" s="16">
        <v>0.17236799999999999</v>
      </c>
      <c r="T91" s="16">
        <v>0.17211399999999999</v>
      </c>
      <c r="U91" s="16">
        <v>0.172817</v>
      </c>
      <c r="V91" s="16">
        <v>0.173045</v>
      </c>
      <c r="W91" s="16">
        <v>0.17355499999999999</v>
      </c>
      <c r="X91" s="16">
        <v>0.17431199999999999</v>
      </c>
      <c r="Y91" s="16">
        <v>0.17547199999999999</v>
      </c>
      <c r="Z91" s="16">
        <v>0.176789</v>
      </c>
      <c r="AA91" s="16">
        <v>0.17916899999999999</v>
      </c>
      <c r="AB91" s="16">
        <v>0.181337</v>
      </c>
      <c r="AC91" s="16">
        <v>0.18263399999999999</v>
      </c>
      <c r="AD91" s="13">
        <v>-3.2529999999999998E-3</v>
      </c>
    </row>
    <row r="92" spans="1:30" ht="15" customHeight="1" x14ac:dyDescent="0.25">
      <c r="A92" s="7" t="s">
        <v>133</v>
      </c>
      <c r="B92" s="10" t="s">
        <v>107</v>
      </c>
      <c r="C92" s="17">
        <v>4.445163</v>
      </c>
      <c r="D92" s="17">
        <v>4.4661929999999996</v>
      </c>
      <c r="E92" s="17">
        <v>4.4317580000000003</v>
      </c>
      <c r="F92" s="17">
        <v>4.4811009999999998</v>
      </c>
      <c r="G92" s="17">
        <v>4.4781129999999996</v>
      </c>
      <c r="H92" s="17">
        <v>4.490469</v>
      </c>
      <c r="I92" s="17">
        <v>4.4659149999999999</v>
      </c>
      <c r="J92" s="17">
        <v>4.4377550000000001</v>
      </c>
      <c r="K92" s="17">
        <v>4.4116080000000002</v>
      </c>
      <c r="L92" s="17">
        <v>4.3869800000000003</v>
      </c>
      <c r="M92" s="17">
        <v>4.3859659999999998</v>
      </c>
      <c r="N92" s="17">
        <v>4.3696780000000004</v>
      </c>
      <c r="O92" s="17">
        <v>4.3607050000000003</v>
      </c>
      <c r="P92" s="17">
        <v>4.3561740000000002</v>
      </c>
      <c r="Q92" s="17">
        <v>4.355461</v>
      </c>
      <c r="R92" s="17">
        <v>4.3610740000000003</v>
      </c>
      <c r="S92" s="17">
        <v>4.3611890000000004</v>
      </c>
      <c r="T92" s="17">
        <v>4.3659330000000001</v>
      </c>
      <c r="U92" s="17">
        <v>4.3773960000000001</v>
      </c>
      <c r="V92" s="17">
        <v>4.3816179999999996</v>
      </c>
      <c r="W92" s="17">
        <v>4.3897110000000001</v>
      </c>
      <c r="X92" s="17">
        <v>4.4114779999999998</v>
      </c>
      <c r="Y92" s="17">
        <v>4.4342629999999996</v>
      </c>
      <c r="Z92" s="17">
        <v>4.453945</v>
      </c>
      <c r="AA92" s="17">
        <v>4.4955970000000001</v>
      </c>
      <c r="AB92" s="17">
        <v>4.526815</v>
      </c>
      <c r="AC92" s="17">
        <v>4.5443449999999999</v>
      </c>
      <c r="AD92" s="15">
        <v>6.9399999999999996E-4</v>
      </c>
    </row>
    <row r="93" spans="1:30" ht="15" customHeight="1" x14ac:dyDescent="0.25">
      <c r="A93" s="7" t="s">
        <v>134</v>
      </c>
      <c r="B93" s="11" t="s">
        <v>109</v>
      </c>
      <c r="C93" s="16">
        <v>0.40124199999999999</v>
      </c>
      <c r="D93" s="16">
        <v>0.39119999999999999</v>
      </c>
      <c r="E93" s="16">
        <v>0.391538</v>
      </c>
      <c r="F93" s="16">
        <v>0.39307799999999998</v>
      </c>
      <c r="G93" s="16">
        <v>0.37224600000000002</v>
      </c>
      <c r="H93" s="16">
        <v>0.37482799999999999</v>
      </c>
      <c r="I93" s="16">
        <v>0.37350699999999998</v>
      </c>
      <c r="J93" s="16">
        <v>0.368174</v>
      </c>
      <c r="K93" s="16">
        <v>0.36173499999999997</v>
      </c>
      <c r="L93" s="16">
        <v>0.35600500000000002</v>
      </c>
      <c r="M93" s="16">
        <v>0.35099799999999998</v>
      </c>
      <c r="N93" s="16">
        <v>0.34475899999999998</v>
      </c>
      <c r="O93" s="16">
        <v>0.34051900000000002</v>
      </c>
      <c r="P93" s="16">
        <v>0.336619</v>
      </c>
      <c r="Q93" s="16">
        <v>0.33347599999999999</v>
      </c>
      <c r="R93" s="16">
        <v>0.33166899999999999</v>
      </c>
      <c r="S93" s="16">
        <v>0.32862000000000002</v>
      </c>
      <c r="T93" s="16">
        <v>0.326905</v>
      </c>
      <c r="U93" s="16">
        <v>0.32731700000000002</v>
      </c>
      <c r="V93" s="16">
        <v>0.32684099999999999</v>
      </c>
      <c r="W93" s="16">
        <v>0.326183</v>
      </c>
      <c r="X93" s="16">
        <v>0.32654100000000003</v>
      </c>
      <c r="Y93" s="16">
        <v>0.32713199999999998</v>
      </c>
      <c r="Z93" s="16">
        <v>0.32863599999999998</v>
      </c>
      <c r="AA93" s="16">
        <v>0.331899</v>
      </c>
      <c r="AB93" s="16">
        <v>0.33458599999999999</v>
      </c>
      <c r="AC93" s="16">
        <v>0.33527699999999999</v>
      </c>
      <c r="AD93" s="13">
        <v>-6.1510000000000002E-3</v>
      </c>
    </row>
    <row r="94" spans="1:30" ht="15" customHeight="1" x14ac:dyDescent="0.25">
      <c r="A94" s="7" t="s">
        <v>135</v>
      </c>
      <c r="B94" s="10" t="s">
        <v>35</v>
      </c>
      <c r="C94" s="17">
        <v>4.8464049999999999</v>
      </c>
      <c r="D94" s="17">
        <v>4.8573919999999999</v>
      </c>
      <c r="E94" s="17">
        <v>4.823296</v>
      </c>
      <c r="F94" s="17">
        <v>4.8741779999999997</v>
      </c>
      <c r="G94" s="17">
        <v>4.8503590000000001</v>
      </c>
      <c r="H94" s="17">
        <v>4.8652959999999998</v>
      </c>
      <c r="I94" s="17">
        <v>4.8394219999999999</v>
      </c>
      <c r="J94" s="17">
        <v>4.8059289999999999</v>
      </c>
      <c r="K94" s="17">
        <v>4.7733429999999997</v>
      </c>
      <c r="L94" s="17">
        <v>4.742985</v>
      </c>
      <c r="M94" s="17">
        <v>4.7369649999999996</v>
      </c>
      <c r="N94" s="17">
        <v>4.7144360000000001</v>
      </c>
      <c r="O94" s="17">
        <v>4.7012239999999998</v>
      </c>
      <c r="P94" s="17">
        <v>4.692793</v>
      </c>
      <c r="Q94" s="17">
        <v>4.6889370000000001</v>
      </c>
      <c r="R94" s="17">
        <v>4.6927430000000001</v>
      </c>
      <c r="S94" s="17">
        <v>4.6898090000000003</v>
      </c>
      <c r="T94" s="17">
        <v>4.6928380000000001</v>
      </c>
      <c r="U94" s="17">
        <v>4.7047129999999999</v>
      </c>
      <c r="V94" s="17">
        <v>4.7084590000000004</v>
      </c>
      <c r="W94" s="17">
        <v>4.7158949999999997</v>
      </c>
      <c r="X94" s="17">
        <v>4.7380180000000003</v>
      </c>
      <c r="Y94" s="17">
        <v>4.7613950000000003</v>
      </c>
      <c r="Z94" s="17">
        <v>4.7825810000000004</v>
      </c>
      <c r="AA94" s="17">
        <v>4.8274970000000001</v>
      </c>
      <c r="AB94" s="17">
        <v>4.861402</v>
      </c>
      <c r="AC94" s="17">
        <v>4.8796220000000003</v>
      </c>
      <c r="AD94" s="15">
        <v>1.83E-4</v>
      </c>
    </row>
    <row r="96" spans="1:30" ht="15" customHeight="1" x14ac:dyDescent="0.25">
      <c r="B96" s="10" t="s">
        <v>136</v>
      </c>
    </row>
    <row r="97" spans="1:30" ht="15" customHeight="1" x14ac:dyDescent="0.25">
      <c r="A97" s="7" t="s">
        <v>137</v>
      </c>
      <c r="B97" s="11" t="s">
        <v>113</v>
      </c>
      <c r="C97" s="16">
        <v>0.43190000000000001</v>
      </c>
      <c r="D97" s="16">
        <v>0.3599</v>
      </c>
      <c r="E97" s="16">
        <v>0.26879999999999998</v>
      </c>
      <c r="F97" s="16">
        <v>0.28499999999999998</v>
      </c>
      <c r="G97" s="16">
        <v>0.36176799999999998</v>
      </c>
      <c r="H97" s="16">
        <v>0.36239700000000002</v>
      </c>
      <c r="I97" s="16">
        <v>0.36796200000000001</v>
      </c>
      <c r="J97" s="16">
        <v>0.37033300000000002</v>
      </c>
      <c r="K97" s="16">
        <v>0.371027</v>
      </c>
      <c r="L97" s="16">
        <v>0.37411</v>
      </c>
      <c r="M97" s="16">
        <v>0.37632700000000002</v>
      </c>
      <c r="N97" s="16">
        <v>0.37670700000000001</v>
      </c>
      <c r="O97" s="16">
        <v>0.37620199999999998</v>
      </c>
      <c r="P97" s="16">
        <v>0.37504399999999999</v>
      </c>
      <c r="Q97" s="16">
        <v>0.37344300000000002</v>
      </c>
      <c r="R97" s="16">
        <v>0.37280999999999997</v>
      </c>
      <c r="S97" s="16">
        <v>0.37435800000000002</v>
      </c>
      <c r="T97" s="16">
        <v>0.37411499999999998</v>
      </c>
      <c r="U97" s="16">
        <v>0.37218400000000001</v>
      </c>
      <c r="V97" s="16">
        <v>0.37142599999999998</v>
      </c>
      <c r="W97" s="16">
        <v>0.37202299999999999</v>
      </c>
      <c r="X97" s="16">
        <v>0.37320500000000001</v>
      </c>
      <c r="Y97" s="16">
        <v>0.373334</v>
      </c>
      <c r="Z97" s="16">
        <v>0.37434099999999998</v>
      </c>
      <c r="AA97" s="16">
        <v>0.37547900000000001</v>
      </c>
      <c r="AB97" s="16">
        <v>0.37578699999999998</v>
      </c>
      <c r="AC97" s="16">
        <v>0.37714900000000001</v>
      </c>
      <c r="AD97" s="13">
        <v>1.874E-3</v>
      </c>
    </row>
    <row r="98" spans="1:30" ht="15" customHeight="1" x14ac:dyDescent="0.25">
      <c r="A98" s="7" t="s">
        <v>138</v>
      </c>
      <c r="B98" s="19" t="s">
        <v>76</v>
      </c>
      <c r="C98" s="16">
        <v>2.004</v>
      </c>
      <c r="D98" s="16">
        <v>2.024</v>
      </c>
      <c r="E98" s="16">
        <v>2.145</v>
      </c>
      <c r="F98" s="16">
        <v>2.2639999999999998</v>
      </c>
      <c r="G98" s="16">
        <v>2.383</v>
      </c>
      <c r="H98" s="16">
        <v>2.5988519999999999</v>
      </c>
      <c r="I98" s="16">
        <v>2.7326769999999998</v>
      </c>
      <c r="J98" s="16">
        <v>2.833736</v>
      </c>
      <c r="K98" s="16">
        <v>2.913322</v>
      </c>
      <c r="L98" s="16">
        <v>2.9997530000000001</v>
      </c>
      <c r="M98" s="16">
        <v>3.0781040000000002</v>
      </c>
      <c r="N98" s="16">
        <v>3.153</v>
      </c>
      <c r="O98" s="16">
        <v>3.2160630000000001</v>
      </c>
      <c r="P98" s="16">
        <v>3.255754</v>
      </c>
      <c r="Q98" s="16">
        <v>3.290476</v>
      </c>
      <c r="R98" s="16">
        <v>3.3290850000000001</v>
      </c>
      <c r="S98" s="16">
        <v>3.3712599999999999</v>
      </c>
      <c r="T98" s="16">
        <v>3.41784</v>
      </c>
      <c r="U98" s="16">
        <v>3.4671639999999999</v>
      </c>
      <c r="V98" s="16">
        <v>3.5233059999999998</v>
      </c>
      <c r="W98" s="16">
        <v>3.5781109999999998</v>
      </c>
      <c r="X98" s="16">
        <v>3.6218340000000002</v>
      </c>
      <c r="Y98" s="16">
        <v>3.6763439999999998</v>
      </c>
      <c r="Z98" s="16">
        <v>3.7362790000000001</v>
      </c>
      <c r="AA98" s="16">
        <v>3.8053050000000002</v>
      </c>
      <c r="AB98" s="16">
        <v>3.8582339999999999</v>
      </c>
      <c r="AC98" s="16">
        <v>3.909081</v>
      </c>
      <c r="AD98" s="13">
        <v>2.6679000000000001E-2</v>
      </c>
    </row>
    <row r="99" spans="1:30" ht="15" customHeight="1" x14ac:dyDescent="0.25">
      <c r="A99" s="7" t="s">
        <v>139</v>
      </c>
      <c r="B99" s="11" t="s">
        <v>40</v>
      </c>
      <c r="C99" s="16">
        <v>0.26579999999999998</v>
      </c>
      <c r="D99" s="16">
        <v>0.27289999999999998</v>
      </c>
      <c r="E99" s="16">
        <v>0.27579999999999999</v>
      </c>
      <c r="F99" s="16">
        <v>0.27500000000000002</v>
      </c>
      <c r="G99" s="16">
        <v>0.276007</v>
      </c>
      <c r="H99" s="16">
        <v>0.27599000000000001</v>
      </c>
      <c r="I99" s="16">
        <v>0.275752</v>
      </c>
      <c r="J99" s="16">
        <v>0.27401300000000001</v>
      </c>
      <c r="K99" s="16">
        <v>0.272704</v>
      </c>
      <c r="L99" s="16">
        <v>0.27272099999999999</v>
      </c>
      <c r="M99" s="16">
        <v>0.27297199999999999</v>
      </c>
      <c r="N99" s="16">
        <v>0.27263199999999999</v>
      </c>
      <c r="O99" s="16">
        <v>0.27171499999999998</v>
      </c>
      <c r="P99" s="16">
        <v>0.27057799999999999</v>
      </c>
      <c r="Q99" s="16">
        <v>0.27021899999999999</v>
      </c>
      <c r="R99" s="16">
        <v>0.27055000000000001</v>
      </c>
      <c r="S99" s="16">
        <v>0.27089299999999999</v>
      </c>
      <c r="T99" s="16">
        <v>0.27129199999999998</v>
      </c>
      <c r="U99" s="16">
        <v>0.27155499999999999</v>
      </c>
      <c r="V99" s="16">
        <v>0.27144400000000002</v>
      </c>
      <c r="W99" s="16">
        <v>0.27168999999999999</v>
      </c>
      <c r="X99" s="16">
        <v>0.27210200000000001</v>
      </c>
      <c r="Y99" s="16">
        <v>0.272532</v>
      </c>
      <c r="Z99" s="16">
        <v>0.27310000000000001</v>
      </c>
      <c r="AA99" s="16">
        <v>0.27391500000000002</v>
      </c>
      <c r="AB99" s="16">
        <v>0.27436899999999997</v>
      </c>
      <c r="AC99" s="16">
        <v>0.275061</v>
      </c>
      <c r="AD99" s="13">
        <v>3.1599999999999998E-4</v>
      </c>
    </row>
    <row r="100" spans="1:30" ht="15" customHeight="1" x14ac:dyDescent="0.25">
      <c r="A100" s="7" t="s">
        <v>140</v>
      </c>
      <c r="B100" s="11" t="s">
        <v>42</v>
      </c>
      <c r="C100" s="16">
        <v>1.360914</v>
      </c>
      <c r="D100" s="16">
        <v>1.340814</v>
      </c>
      <c r="E100" s="16">
        <v>1.3559140000000001</v>
      </c>
      <c r="F100" s="16">
        <v>1.3778140000000001</v>
      </c>
      <c r="G100" s="16">
        <v>1.404663</v>
      </c>
      <c r="H100" s="16">
        <v>1.4187190000000001</v>
      </c>
      <c r="I100" s="16">
        <v>1.436477</v>
      </c>
      <c r="J100" s="16">
        <v>1.43981</v>
      </c>
      <c r="K100" s="16">
        <v>1.44102</v>
      </c>
      <c r="L100" s="16">
        <v>1.449902</v>
      </c>
      <c r="M100" s="16">
        <v>1.456933</v>
      </c>
      <c r="N100" s="16">
        <v>1.4580960000000001</v>
      </c>
      <c r="O100" s="16">
        <v>1.4576659999999999</v>
      </c>
      <c r="P100" s="16">
        <v>1.454736</v>
      </c>
      <c r="Q100" s="16">
        <v>1.4509719999999999</v>
      </c>
      <c r="R100" s="16">
        <v>1.4515229999999999</v>
      </c>
      <c r="S100" s="16">
        <v>1.457417</v>
      </c>
      <c r="T100" s="16">
        <v>1.459886</v>
      </c>
      <c r="U100" s="16">
        <v>1.4566889999999999</v>
      </c>
      <c r="V100" s="16">
        <v>1.4574849999999999</v>
      </c>
      <c r="W100" s="16">
        <v>1.461865</v>
      </c>
      <c r="X100" s="16">
        <v>1.4676530000000001</v>
      </c>
      <c r="Y100" s="16">
        <v>1.4711639999999999</v>
      </c>
      <c r="Z100" s="16">
        <v>1.475833</v>
      </c>
      <c r="AA100" s="16">
        <v>1.4816670000000001</v>
      </c>
      <c r="AB100" s="16">
        <v>1.484278</v>
      </c>
      <c r="AC100" s="16">
        <v>1.490807</v>
      </c>
      <c r="AD100" s="13">
        <v>4.2509999999999996E-3</v>
      </c>
    </row>
    <row r="101" spans="1:30" ht="15" customHeight="1" x14ac:dyDescent="0.25">
      <c r="A101" s="7" t="s">
        <v>141</v>
      </c>
      <c r="B101" s="11" t="s">
        <v>44</v>
      </c>
      <c r="C101" s="16">
        <v>3.4599999999999999E-2</v>
      </c>
      <c r="D101" s="16">
        <v>3.5099999999999999E-2</v>
      </c>
      <c r="E101" s="16">
        <v>2.9499999999999998E-2</v>
      </c>
      <c r="F101" s="16">
        <v>2.76E-2</v>
      </c>
      <c r="G101" s="16">
        <v>3.2746999999999998E-2</v>
      </c>
      <c r="H101" s="16">
        <v>3.8700999999999999E-2</v>
      </c>
      <c r="I101" s="16">
        <v>4.2581000000000001E-2</v>
      </c>
      <c r="J101" s="16">
        <v>4.4819999999999999E-2</v>
      </c>
      <c r="K101" s="16">
        <v>4.6913999999999997E-2</v>
      </c>
      <c r="L101" s="16">
        <v>5.1973999999999999E-2</v>
      </c>
      <c r="M101" s="16">
        <v>5.4878000000000003E-2</v>
      </c>
      <c r="N101" s="16">
        <v>5.7506000000000002E-2</v>
      </c>
      <c r="O101" s="16">
        <v>5.8720000000000001E-2</v>
      </c>
      <c r="P101" s="16">
        <v>5.9130000000000002E-2</v>
      </c>
      <c r="Q101" s="16">
        <v>5.8520000000000003E-2</v>
      </c>
      <c r="R101" s="16">
        <v>5.7733E-2</v>
      </c>
      <c r="S101" s="16">
        <v>5.7362999999999997E-2</v>
      </c>
      <c r="T101" s="16">
        <v>5.6722000000000002E-2</v>
      </c>
      <c r="U101" s="16">
        <v>5.6598999999999997E-2</v>
      </c>
      <c r="V101" s="16">
        <v>5.6120999999999997E-2</v>
      </c>
      <c r="W101" s="16">
        <v>5.5407999999999999E-2</v>
      </c>
      <c r="X101" s="16">
        <v>5.4975999999999997E-2</v>
      </c>
      <c r="Y101" s="16">
        <v>5.4355000000000001E-2</v>
      </c>
      <c r="Z101" s="16">
        <v>5.4133000000000001E-2</v>
      </c>
      <c r="AA101" s="16">
        <v>5.3933000000000002E-2</v>
      </c>
      <c r="AB101" s="16">
        <v>5.3802000000000003E-2</v>
      </c>
      <c r="AC101" s="16">
        <v>5.3664000000000003E-2</v>
      </c>
      <c r="AD101" s="13">
        <v>1.7125999999999999E-2</v>
      </c>
    </row>
    <row r="102" spans="1:30" ht="15" customHeight="1" x14ac:dyDescent="0.25">
      <c r="A102" s="7" t="s">
        <v>142</v>
      </c>
      <c r="B102" s="19" t="s">
        <v>81</v>
      </c>
      <c r="C102" s="16">
        <v>0.69889999999999997</v>
      </c>
      <c r="D102" s="16">
        <v>0.65869999999999995</v>
      </c>
      <c r="E102" s="16">
        <v>0.69020000000000004</v>
      </c>
      <c r="F102" s="16">
        <v>0.69889999999999997</v>
      </c>
      <c r="G102" s="16">
        <v>0.76592800000000005</v>
      </c>
      <c r="H102" s="16">
        <v>0.88102800000000003</v>
      </c>
      <c r="I102" s="16">
        <v>0.96385399999999999</v>
      </c>
      <c r="J102" s="16">
        <v>1.0282979999999999</v>
      </c>
      <c r="K102" s="16">
        <v>1.078595</v>
      </c>
      <c r="L102" s="16">
        <v>1.131297</v>
      </c>
      <c r="M102" s="16">
        <v>1.1803969999999999</v>
      </c>
      <c r="N102" s="16">
        <v>1.227684</v>
      </c>
      <c r="O102" s="16">
        <v>1.267673</v>
      </c>
      <c r="P102" s="16">
        <v>1.2931459999999999</v>
      </c>
      <c r="Q102" s="16">
        <v>1.314848</v>
      </c>
      <c r="R102" s="16">
        <v>1.3385119999999999</v>
      </c>
      <c r="S102" s="16">
        <v>1.3641700000000001</v>
      </c>
      <c r="T102" s="16">
        <v>1.392509</v>
      </c>
      <c r="U102" s="16">
        <v>1.4225749999999999</v>
      </c>
      <c r="V102" s="16">
        <v>1.4571099999999999</v>
      </c>
      <c r="W102" s="16">
        <v>1.4911540000000001</v>
      </c>
      <c r="X102" s="16">
        <v>1.5189239999999999</v>
      </c>
      <c r="Y102" s="16">
        <v>1.5530870000000001</v>
      </c>
      <c r="Z102" s="16">
        <v>1.590136</v>
      </c>
      <c r="AA102" s="16">
        <v>1.6332390000000001</v>
      </c>
      <c r="AB102" s="16">
        <v>1.6679029999999999</v>
      </c>
      <c r="AC102" s="16">
        <v>1.7009570000000001</v>
      </c>
      <c r="AD102" s="13">
        <v>3.8676000000000002E-2</v>
      </c>
    </row>
    <row r="103" spans="1:30" ht="15" customHeight="1" x14ac:dyDescent="0.25">
      <c r="A103" s="7" t="s">
        <v>143</v>
      </c>
      <c r="B103" s="11" t="s">
        <v>83</v>
      </c>
      <c r="C103" s="16">
        <v>0.65349999999999997</v>
      </c>
      <c r="D103" s="16">
        <v>0.6673</v>
      </c>
      <c r="E103" s="16">
        <v>0.65110000000000001</v>
      </c>
      <c r="F103" s="16">
        <v>0.67120000000000002</v>
      </c>
      <c r="G103" s="16">
        <v>0.56557999999999997</v>
      </c>
      <c r="H103" s="16">
        <v>0.565361</v>
      </c>
      <c r="I103" s="16">
        <v>0.57180399999999998</v>
      </c>
      <c r="J103" s="16">
        <v>0.57248200000000005</v>
      </c>
      <c r="K103" s="16">
        <v>0.56623500000000004</v>
      </c>
      <c r="L103" s="16">
        <v>0.57510499999999998</v>
      </c>
      <c r="M103" s="16">
        <v>0.58414699999999997</v>
      </c>
      <c r="N103" s="16">
        <v>0.58677400000000002</v>
      </c>
      <c r="O103" s="16">
        <v>0.59029500000000001</v>
      </c>
      <c r="P103" s="16">
        <v>0.58839399999999997</v>
      </c>
      <c r="Q103" s="16">
        <v>0.58644099999999999</v>
      </c>
      <c r="R103" s="16">
        <v>0.58197699999999997</v>
      </c>
      <c r="S103" s="16">
        <v>0.58008300000000002</v>
      </c>
      <c r="T103" s="16">
        <v>0.58161399999999996</v>
      </c>
      <c r="U103" s="16">
        <v>0.58437499999999998</v>
      </c>
      <c r="V103" s="16">
        <v>0.58063500000000001</v>
      </c>
      <c r="W103" s="16">
        <v>0.57971700000000004</v>
      </c>
      <c r="X103" s="16">
        <v>0.579623</v>
      </c>
      <c r="Y103" s="16">
        <v>0.57777400000000001</v>
      </c>
      <c r="Z103" s="16">
        <v>0.57874499999999995</v>
      </c>
      <c r="AA103" s="16">
        <v>0.58034300000000005</v>
      </c>
      <c r="AB103" s="16">
        <v>0.58673699999999995</v>
      </c>
      <c r="AC103" s="16">
        <v>0.58766600000000002</v>
      </c>
      <c r="AD103" s="13">
        <v>-5.0699999999999999E-3</v>
      </c>
    </row>
    <row r="104" spans="1:30" ht="15" customHeight="1" x14ac:dyDescent="0.25">
      <c r="A104" s="7" t="s">
        <v>144</v>
      </c>
      <c r="B104" s="11" t="s">
        <v>46</v>
      </c>
      <c r="C104" s="16">
        <v>0.79259999999999997</v>
      </c>
      <c r="D104" s="16">
        <v>0.83479999999999999</v>
      </c>
      <c r="E104" s="16">
        <v>0.86480000000000001</v>
      </c>
      <c r="F104" s="16">
        <v>0.87439999999999996</v>
      </c>
      <c r="G104" s="16">
        <v>0.88229000000000002</v>
      </c>
      <c r="H104" s="16">
        <v>0.88875199999999999</v>
      </c>
      <c r="I104" s="16">
        <v>0.89250399999999996</v>
      </c>
      <c r="J104" s="16">
        <v>0.896227</v>
      </c>
      <c r="K104" s="16">
        <v>0.90224899999999997</v>
      </c>
      <c r="L104" s="16">
        <v>0.91654100000000005</v>
      </c>
      <c r="M104" s="16">
        <v>0.92778099999999997</v>
      </c>
      <c r="N104" s="16">
        <v>0.934365</v>
      </c>
      <c r="O104" s="16">
        <v>0.95002299999999995</v>
      </c>
      <c r="P104" s="16">
        <v>0.97279800000000005</v>
      </c>
      <c r="Q104" s="16">
        <v>0.99483900000000003</v>
      </c>
      <c r="R104" s="16">
        <v>1.0179119999999999</v>
      </c>
      <c r="S104" s="16">
        <v>1.0474760000000001</v>
      </c>
      <c r="T104" s="16">
        <v>1.0764849999999999</v>
      </c>
      <c r="U104" s="16">
        <v>1.1008389999999999</v>
      </c>
      <c r="V104" s="16">
        <v>1.1272819999999999</v>
      </c>
      <c r="W104" s="16">
        <v>1.1540969999999999</v>
      </c>
      <c r="X104" s="16">
        <v>1.1791560000000001</v>
      </c>
      <c r="Y104" s="16">
        <v>1.2039610000000001</v>
      </c>
      <c r="Z104" s="16">
        <v>1.2301139999999999</v>
      </c>
      <c r="AA104" s="16">
        <v>1.2573110000000001</v>
      </c>
      <c r="AB104" s="16">
        <v>1.285455</v>
      </c>
      <c r="AC104" s="16">
        <v>1.3141370000000001</v>
      </c>
      <c r="AD104" s="13">
        <v>1.8315000000000001E-2</v>
      </c>
    </row>
    <row r="105" spans="1:30" ht="15" customHeight="1" x14ac:dyDescent="0.25">
      <c r="A105" s="7" t="s">
        <v>145</v>
      </c>
      <c r="B105" s="11" t="s">
        <v>118</v>
      </c>
      <c r="C105" s="16">
        <v>1.4455260000000001</v>
      </c>
      <c r="D105" s="16">
        <v>1.4750000000000001</v>
      </c>
      <c r="E105" s="16">
        <v>1.5044740000000001</v>
      </c>
      <c r="F105" s="16">
        <v>1.533949</v>
      </c>
      <c r="G105" s="16">
        <v>1.6906600000000001</v>
      </c>
      <c r="H105" s="16">
        <v>1.699171</v>
      </c>
      <c r="I105" s="16">
        <v>1.6985349999999999</v>
      </c>
      <c r="J105" s="16">
        <v>1.693087</v>
      </c>
      <c r="K105" s="16">
        <v>1.6860740000000001</v>
      </c>
      <c r="L105" s="16">
        <v>1.685492</v>
      </c>
      <c r="M105" s="16">
        <v>1.6898880000000001</v>
      </c>
      <c r="N105" s="16">
        <v>1.6865319999999999</v>
      </c>
      <c r="O105" s="16">
        <v>1.6835290000000001</v>
      </c>
      <c r="P105" s="16">
        <v>1.686612</v>
      </c>
      <c r="Q105" s="16">
        <v>1.6765540000000001</v>
      </c>
      <c r="R105" s="16">
        <v>1.6807559999999999</v>
      </c>
      <c r="S105" s="16">
        <v>1.6815990000000001</v>
      </c>
      <c r="T105" s="16">
        <v>1.6850240000000001</v>
      </c>
      <c r="U105" s="16">
        <v>1.6854469999999999</v>
      </c>
      <c r="V105" s="16">
        <v>1.6821600000000001</v>
      </c>
      <c r="W105" s="16">
        <v>1.6822760000000001</v>
      </c>
      <c r="X105" s="16">
        <v>1.677854</v>
      </c>
      <c r="Y105" s="16">
        <v>1.6750400000000001</v>
      </c>
      <c r="Z105" s="16">
        <v>1.6792910000000001</v>
      </c>
      <c r="AA105" s="16">
        <v>1.6815450000000001</v>
      </c>
      <c r="AB105" s="16">
        <v>1.695344</v>
      </c>
      <c r="AC105" s="16">
        <v>1.702582</v>
      </c>
      <c r="AD105" s="13">
        <v>5.7559999999999998E-3</v>
      </c>
    </row>
    <row r="106" spans="1:30" ht="15" customHeight="1" x14ac:dyDescent="0.25">
      <c r="A106" s="7" t="s">
        <v>146</v>
      </c>
      <c r="B106" s="11" t="s">
        <v>86</v>
      </c>
      <c r="C106" s="16">
        <v>0.30318099999999998</v>
      </c>
      <c r="D106" s="16">
        <v>0.40608100000000003</v>
      </c>
      <c r="E106" s="16">
        <v>0.34318100000000001</v>
      </c>
      <c r="F106" s="16">
        <v>0.34168100000000001</v>
      </c>
      <c r="G106" s="16">
        <v>0.36769600000000002</v>
      </c>
      <c r="H106" s="16">
        <v>0.40141100000000002</v>
      </c>
      <c r="I106" s="16">
        <v>0.42247800000000002</v>
      </c>
      <c r="J106" s="16">
        <v>0.44161299999999998</v>
      </c>
      <c r="K106" s="16">
        <v>0.459536</v>
      </c>
      <c r="L106" s="16">
        <v>0.480738</v>
      </c>
      <c r="M106" s="16">
        <v>0.49356100000000003</v>
      </c>
      <c r="N106" s="16">
        <v>0.50691799999999998</v>
      </c>
      <c r="O106" s="16">
        <v>0.51774299999999995</v>
      </c>
      <c r="P106" s="16">
        <v>0.52590099999999995</v>
      </c>
      <c r="Q106" s="16">
        <v>0.52627000000000002</v>
      </c>
      <c r="R106" s="16">
        <v>0.52928399999999998</v>
      </c>
      <c r="S106" s="16">
        <v>0.53151400000000004</v>
      </c>
      <c r="T106" s="16">
        <v>0.53229400000000004</v>
      </c>
      <c r="U106" s="16">
        <v>0.53204499999999999</v>
      </c>
      <c r="V106" s="16">
        <v>0.53327199999999997</v>
      </c>
      <c r="W106" s="16">
        <v>0.53485099999999997</v>
      </c>
      <c r="X106" s="16">
        <v>0.53739199999999998</v>
      </c>
      <c r="Y106" s="16">
        <v>0.54030699999999998</v>
      </c>
      <c r="Z106" s="16">
        <v>0.54628399999999999</v>
      </c>
      <c r="AA106" s="16">
        <v>0.55118100000000003</v>
      </c>
      <c r="AB106" s="16">
        <v>0.55597799999999997</v>
      </c>
      <c r="AC106" s="16">
        <v>0.55808100000000005</v>
      </c>
      <c r="AD106" s="13">
        <v>1.2799E-2</v>
      </c>
    </row>
    <row r="107" spans="1:30" ht="15" customHeight="1" x14ac:dyDescent="0.25">
      <c r="A107" s="7" t="s">
        <v>147</v>
      </c>
      <c r="B107" s="11" t="s">
        <v>88</v>
      </c>
      <c r="C107" s="16">
        <v>7.9909210000000002</v>
      </c>
      <c r="D107" s="16">
        <v>8.0745950000000004</v>
      </c>
      <c r="E107" s="16">
        <v>8.1287690000000001</v>
      </c>
      <c r="F107" s="16">
        <v>8.3495450000000009</v>
      </c>
      <c r="G107" s="16">
        <v>8.7303390000000007</v>
      </c>
      <c r="H107" s="16">
        <v>9.1303809999999999</v>
      </c>
      <c r="I107" s="16">
        <v>9.4046240000000001</v>
      </c>
      <c r="J107" s="16">
        <v>9.5944190000000003</v>
      </c>
      <c r="K107" s="16">
        <v>9.7376749999999994</v>
      </c>
      <c r="L107" s="16">
        <v>9.9376339999999992</v>
      </c>
      <c r="M107" s="16">
        <v>10.114986999999999</v>
      </c>
      <c r="N107" s="16">
        <v>10.260215000000001</v>
      </c>
      <c r="O107" s="16">
        <v>10.38963</v>
      </c>
      <c r="P107" s="16">
        <v>10.482094</v>
      </c>
      <c r="Q107" s="16">
        <v>10.542581999999999</v>
      </c>
      <c r="R107" s="16">
        <v>10.630140000000001</v>
      </c>
      <c r="S107" s="16">
        <v>10.736132</v>
      </c>
      <c r="T107" s="16">
        <v>10.847782</v>
      </c>
      <c r="U107" s="16">
        <v>10.949471000000001</v>
      </c>
      <c r="V107" s="16">
        <v>11.06024</v>
      </c>
      <c r="W107" s="16">
        <v>11.181191</v>
      </c>
      <c r="X107" s="16">
        <v>11.282719</v>
      </c>
      <c r="Y107" s="16">
        <v>11.397897</v>
      </c>
      <c r="Z107" s="16">
        <v>11.538258000000001</v>
      </c>
      <c r="AA107" s="16">
        <v>11.693918999999999</v>
      </c>
      <c r="AB107" s="16">
        <v>11.837887</v>
      </c>
      <c r="AC107" s="16">
        <v>11.969186000000001</v>
      </c>
      <c r="AD107" s="13">
        <v>1.5869000000000001E-2</v>
      </c>
    </row>
    <row r="108" spans="1:30" ht="15" customHeight="1" x14ac:dyDescent="0.25">
      <c r="A108" s="7" t="s">
        <v>148</v>
      </c>
      <c r="B108" s="11" t="s">
        <v>48</v>
      </c>
      <c r="C108" s="16">
        <v>7.0308950000000001</v>
      </c>
      <c r="D108" s="16">
        <v>6.8544150000000004</v>
      </c>
      <c r="E108" s="16">
        <v>7.0391069999999996</v>
      </c>
      <c r="F108" s="16">
        <v>6.9446050000000001</v>
      </c>
      <c r="G108" s="16">
        <v>6.9230729999999996</v>
      </c>
      <c r="H108" s="16">
        <v>7.0013779999999999</v>
      </c>
      <c r="I108" s="16">
        <v>7.041728</v>
      </c>
      <c r="J108" s="16">
        <v>7.105035</v>
      </c>
      <c r="K108" s="16">
        <v>7.150722</v>
      </c>
      <c r="L108" s="16">
        <v>7.1827329999999998</v>
      </c>
      <c r="M108" s="16">
        <v>7.2341509999999998</v>
      </c>
      <c r="N108" s="16">
        <v>7.2853269999999997</v>
      </c>
      <c r="O108" s="16">
        <v>7.3368539999999998</v>
      </c>
      <c r="P108" s="16">
        <v>7.3713369999999996</v>
      </c>
      <c r="Q108" s="16">
        <v>7.4164079999999997</v>
      </c>
      <c r="R108" s="16">
        <v>7.4665999999999997</v>
      </c>
      <c r="S108" s="16">
        <v>7.5115290000000003</v>
      </c>
      <c r="T108" s="16">
        <v>7.5434659999999996</v>
      </c>
      <c r="U108" s="16">
        <v>7.5830739999999999</v>
      </c>
      <c r="V108" s="16">
        <v>7.6358579999999998</v>
      </c>
      <c r="W108" s="16">
        <v>7.691611</v>
      </c>
      <c r="X108" s="16">
        <v>7.7513719999999999</v>
      </c>
      <c r="Y108" s="16">
        <v>7.8142469999999999</v>
      </c>
      <c r="Z108" s="16">
        <v>7.8737890000000004</v>
      </c>
      <c r="AA108" s="16">
        <v>7.9530779999999996</v>
      </c>
      <c r="AB108" s="16">
        <v>8.0079519999999995</v>
      </c>
      <c r="AC108" s="16">
        <v>8.0758419999999997</v>
      </c>
      <c r="AD108" s="13">
        <v>6.581E-3</v>
      </c>
    </row>
    <row r="109" spans="1:30" ht="15" customHeight="1" x14ac:dyDescent="0.25">
      <c r="A109" s="7" t="s">
        <v>149</v>
      </c>
      <c r="B109" s="19" t="s">
        <v>50</v>
      </c>
      <c r="C109" s="16">
        <v>0.81400600000000001</v>
      </c>
      <c r="D109" s="16">
        <v>0.89667600000000003</v>
      </c>
      <c r="E109" s="16">
        <v>0.99709400000000004</v>
      </c>
      <c r="F109" s="16">
        <v>1.252518</v>
      </c>
      <c r="G109" s="16">
        <v>1.3843490000000001</v>
      </c>
      <c r="H109" s="16">
        <v>1.4700709999999999</v>
      </c>
      <c r="I109" s="16">
        <v>1.526845</v>
      </c>
      <c r="J109" s="16">
        <v>1.5778730000000001</v>
      </c>
      <c r="K109" s="16">
        <v>1.611626</v>
      </c>
      <c r="L109" s="16">
        <v>1.643691</v>
      </c>
      <c r="M109" s="16">
        <v>1.6824460000000001</v>
      </c>
      <c r="N109" s="16">
        <v>1.717743</v>
      </c>
      <c r="O109" s="16">
        <v>1.744875</v>
      </c>
      <c r="P109" s="16">
        <v>1.7579039999999999</v>
      </c>
      <c r="Q109" s="16">
        <v>1.7711969999999999</v>
      </c>
      <c r="R109" s="16">
        <v>1.788092</v>
      </c>
      <c r="S109" s="16">
        <v>1.798597</v>
      </c>
      <c r="T109" s="16">
        <v>1.812576</v>
      </c>
      <c r="U109" s="16">
        <v>1.8366549999999999</v>
      </c>
      <c r="V109" s="16">
        <v>1.848816</v>
      </c>
      <c r="W109" s="16">
        <v>1.860363</v>
      </c>
      <c r="X109" s="16">
        <v>1.872987</v>
      </c>
      <c r="Y109" s="16">
        <v>1.888261</v>
      </c>
      <c r="Z109" s="16">
        <v>1.9089449999999999</v>
      </c>
      <c r="AA109" s="16">
        <v>1.932671</v>
      </c>
      <c r="AB109" s="16">
        <v>1.947476</v>
      </c>
      <c r="AC109" s="16">
        <v>1.9602649999999999</v>
      </c>
      <c r="AD109" s="13">
        <v>3.1780000000000003E-2</v>
      </c>
    </row>
    <row r="110" spans="1:30" ht="15" customHeight="1" x14ac:dyDescent="0.25">
      <c r="A110" s="7" t="s">
        <v>150</v>
      </c>
      <c r="B110" s="11" t="s">
        <v>124</v>
      </c>
      <c r="C110" s="16">
        <v>0</v>
      </c>
      <c r="D110" s="16">
        <v>0</v>
      </c>
      <c r="E110" s="16">
        <v>0</v>
      </c>
      <c r="F110" s="16">
        <v>0</v>
      </c>
      <c r="G110" s="16">
        <v>0</v>
      </c>
      <c r="H110" s="16">
        <v>0</v>
      </c>
      <c r="I110" s="16">
        <v>0</v>
      </c>
      <c r="J110" s="16">
        <v>0</v>
      </c>
      <c r="K110" s="16">
        <v>0</v>
      </c>
      <c r="L110" s="16">
        <v>0</v>
      </c>
      <c r="M110" s="16">
        <v>0</v>
      </c>
      <c r="N110" s="16">
        <v>0</v>
      </c>
      <c r="O110" s="16">
        <v>0</v>
      </c>
      <c r="P110" s="16">
        <v>0</v>
      </c>
      <c r="Q110" s="16">
        <v>0</v>
      </c>
      <c r="R110" s="16">
        <v>0</v>
      </c>
      <c r="S110" s="16">
        <v>0</v>
      </c>
      <c r="T110" s="16">
        <v>0</v>
      </c>
      <c r="U110" s="16">
        <v>0</v>
      </c>
      <c r="V110" s="16">
        <v>0</v>
      </c>
      <c r="W110" s="16">
        <v>0</v>
      </c>
      <c r="X110" s="16">
        <v>0</v>
      </c>
      <c r="Y110" s="16">
        <v>0</v>
      </c>
      <c r="Z110" s="16">
        <v>0</v>
      </c>
      <c r="AA110" s="16">
        <v>0</v>
      </c>
      <c r="AB110" s="16">
        <v>0</v>
      </c>
      <c r="AC110" s="16">
        <v>0</v>
      </c>
      <c r="AD110" s="13" t="s">
        <v>13</v>
      </c>
    </row>
    <row r="111" spans="1:30" ht="15" customHeight="1" x14ac:dyDescent="0.25">
      <c r="A111" s="7" t="s">
        <v>151</v>
      </c>
      <c r="B111" s="11" t="s">
        <v>92</v>
      </c>
      <c r="C111" s="16">
        <v>1.5503089999999999</v>
      </c>
      <c r="D111" s="16">
        <v>1.6331039999999999</v>
      </c>
      <c r="E111" s="16">
        <v>1.6485780000000001</v>
      </c>
      <c r="F111" s="16">
        <v>1.6771100000000001</v>
      </c>
      <c r="G111" s="16">
        <v>1.700874</v>
      </c>
      <c r="H111" s="16">
        <v>1.717082</v>
      </c>
      <c r="I111" s="16">
        <v>1.7577879999999999</v>
      </c>
      <c r="J111" s="16">
        <v>1.7853520000000001</v>
      </c>
      <c r="K111" s="16">
        <v>1.8158639999999999</v>
      </c>
      <c r="L111" s="16">
        <v>1.8613200000000001</v>
      </c>
      <c r="M111" s="16">
        <v>1.897014</v>
      </c>
      <c r="N111" s="16">
        <v>1.9296469999999999</v>
      </c>
      <c r="O111" s="16">
        <v>1.946347</v>
      </c>
      <c r="P111" s="16">
        <v>1.959687</v>
      </c>
      <c r="Q111" s="16">
        <v>1.9778249999999999</v>
      </c>
      <c r="R111" s="16">
        <v>1.9971950000000001</v>
      </c>
      <c r="S111" s="16">
        <v>2.0188760000000001</v>
      </c>
      <c r="T111" s="16">
        <v>2.0483769999999999</v>
      </c>
      <c r="U111" s="16">
        <v>2.0800709999999998</v>
      </c>
      <c r="V111" s="16">
        <v>2.1057679999999999</v>
      </c>
      <c r="W111" s="16">
        <v>2.1323629999999998</v>
      </c>
      <c r="X111" s="16">
        <v>2.1603210000000002</v>
      </c>
      <c r="Y111" s="16">
        <v>2.19801</v>
      </c>
      <c r="Z111" s="16">
        <v>2.2178879999999999</v>
      </c>
      <c r="AA111" s="16">
        <v>2.238502</v>
      </c>
      <c r="AB111" s="16">
        <v>2.2599459999999998</v>
      </c>
      <c r="AC111" s="16">
        <v>2.2856359999999998</v>
      </c>
      <c r="AD111" s="13">
        <v>1.3537E-2</v>
      </c>
    </row>
    <row r="112" spans="1:30" ht="15" customHeight="1" x14ac:dyDescent="0.25">
      <c r="A112" s="7" t="s">
        <v>152</v>
      </c>
      <c r="B112" s="11" t="s">
        <v>94</v>
      </c>
      <c r="C112" s="16">
        <v>0</v>
      </c>
      <c r="D112" s="16">
        <v>0</v>
      </c>
      <c r="E112" s="16">
        <v>1.8352E-2</v>
      </c>
      <c r="F112" s="16">
        <v>5.0049999999999997E-2</v>
      </c>
      <c r="G112" s="16">
        <v>0.108997</v>
      </c>
      <c r="H112" s="16">
        <v>0.146866</v>
      </c>
      <c r="I112" s="16">
        <v>0.25563599999999997</v>
      </c>
      <c r="J112" s="16">
        <v>0.31450699999999998</v>
      </c>
      <c r="K112" s="16">
        <v>0.35574699999999998</v>
      </c>
      <c r="L112" s="16">
        <v>0.41760700000000001</v>
      </c>
      <c r="M112" s="16">
        <v>0.46572000000000002</v>
      </c>
      <c r="N112" s="16">
        <v>0.49309999999999998</v>
      </c>
      <c r="O112" s="16">
        <v>0.49884400000000001</v>
      </c>
      <c r="P112" s="16">
        <v>0.50008699999999995</v>
      </c>
      <c r="Q112" s="16">
        <v>0.50695999999999997</v>
      </c>
      <c r="R112" s="16">
        <v>0.51383299999999998</v>
      </c>
      <c r="S112" s="16">
        <v>0.53445299999999996</v>
      </c>
      <c r="T112" s="16">
        <v>0.56194699999999997</v>
      </c>
      <c r="U112" s="16">
        <v>0.59631299999999998</v>
      </c>
      <c r="V112" s="16">
        <v>0.623807</v>
      </c>
      <c r="W112" s="16">
        <v>0.64442699999999997</v>
      </c>
      <c r="X112" s="16">
        <v>0.65817300000000001</v>
      </c>
      <c r="Y112" s="16">
        <v>0.67191999999999996</v>
      </c>
      <c r="Z112" s="16">
        <v>0.67879299999999998</v>
      </c>
      <c r="AA112" s="16">
        <v>0.68566700000000003</v>
      </c>
      <c r="AB112" s="16">
        <v>0.69254000000000004</v>
      </c>
      <c r="AC112" s="16">
        <v>0.69941299999999995</v>
      </c>
      <c r="AD112" s="13" t="s">
        <v>13</v>
      </c>
    </row>
    <row r="113" spans="1:30" ht="15" customHeight="1" x14ac:dyDescent="0.25">
      <c r="A113" s="7" t="s">
        <v>153</v>
      </c>
      <c r="B113" s="11" t="s">
        <v>96</v>
      </c>
      <c r="C113" s="16">
        <v>9.3952089999999995</v>
      </c>
      <c r="D113" s="16">
        <v>9.3841950000000001</v>
      </c>
      <c r="E113" s="16">
        <v>9.7031310000000008</v>
      </c>
      <c r="F113" s="16">
        <v>9.9242830000000009</v>
      </c>
      <c r="G113" s="16">
        <v>10.117293999999999</v>
      </c>
      <c r="H113" s="16">
        <v>10.335397</v>
      </c>
      <c r="I113" s="16">
        <v>10.581999</v>
      </c>
      <c r="J113" s="16">
        <v>10.782767</v>
      </c>
      <c r="K113" s="16">
        <v>10.933958000000001</v>
      </c>
      <c r="L113" s="16">
        <v>11.10535</v>
      </c>
      <c r="M113" s="16">
        <v>11.279331000000001</v>
      </c>
      <c r="N113" s="16">
        <v>11.425817</v>
      </c>
      <c r="O113" s="16">
        <v>11.52692</v>
      </c>
      <c r="P113" s="16">
        <v>11.589015</v>
      </c>
      <c r="Q113" s="16">
        <v>11.672389000000001</v>
      </c>
      <c r="R113" s="16">
        <v>11.76572</v>
      </c>
      <c r="S113" s="16">
        <v>11.863455</v>
      </c>
      <c r="T113" s="16">
        <v>11.966366000000001</v>
      </c>
      <c r="U113" s="16">
        <v>12.096113000000001</v>
      </c>
      <c r="V113" s="16">
        <v>12.214249000000001</v>
      </c>
      <c r="W113" s="16">
        <v>12.328763</v>
      </c>
      <c r="X113" s="16">
        <v>12.442855</v>
      </c>
      <c r="Y113" s="16">
        <v>12.572437000000001</v>
      </c>
      <c r="Z113" s="16">
        <v>12.679415000000001</v>
      </c>
      <c r="AA113" s="16">
        <v>12.809917</v>
      </c>
      <c r="AB113" s="16">
        <v>12.907914</v>
      </c>
      <c r="AC113" s="16">
        <v>13.021157000000001</v>
      </c>
      <c r="AD113" s="13">
        <v>1.3188E-2</v>
      </c>
    </row>
    <row r="114" spans="1:30" ht="15" customHeight="1" x14ac:dyDescent="0.25">
      <c r="A114" s="7" t="s">
        <v>154</v>
      </c>
      <c r="B114" s="19" t="s">
        <v>98</v>
      </c>
      <c r="C114" s="16">
        <v>0.56210000000000004</v>
      </c>
      <c r="D114" s="16">
        <v>0.52200000000000002</v>
      </c>
      <c r="E114" s="16">
        <v>0.49590000000000001</v>
      </c>
      <c r="F114" s="16">
        <v>0.45960000000000001</v>
      </c>
      <c r="G114" s="16">
        <v>0.44702500000000001</v>
      </c>
      <c r="H114" s="16">
        <v>0.4461</v>
      </c>
      <c r="I114" s="16">
        <v>0.40497100000000003</v>
      </c>
      <c r="J114" s="16">
        <v>0.42583599999999999</v>
      </c>
      <c r="K114" s="16">
        <v>0.43936799999999998</v>
      </c>
      <c r="L114" s="16">
        <v>0.444963</v>
      </c>
      <c r="M114" s="16">
        <v>0.450183</v>
      </c>
      <c r="N114" s="16">
        <v>0.47096199999999999</v>
      </c>
      <c r="O114" s="16">
        <v>0.47939599999999999</v>
      </c>
      <c r="P114" s="16">
        <v>0.47184599999999999</v>
      </c>
      <c r="Q114" s="16">
        <v>0.46593200000000001</v>
      </c>
      <c r="R114" s="16">
        <v>0.468719</v>
      </c>
      <c r="S114" s="16">
        <v>0.46201199999999998</v>
      </c>
      <c r="T114" s="16">
        <v>0.45244299999999998</v>
      </c>
      <c r="U114" s="16">
        <v>0.441529</v>
      </c>
      <c r="V114" s="16">
        <v>0.43377199999999999</v>
      </c>
      <c r="W114" s="16">
        <v>0.425259</v>
      </c>
      <c r="X114" s="16">
        <v>0.41744700000000001</v>
      </c>
      <c r="Y114" s="16">
        <v>0.40802500000000003</v>
      </c>
      <c r="Z114" s="16">
        <v>0.40149200000000002</v>
      </c>
      <c r="AA114" s="16">
        <v>0.39383200000000002</v>
      </c>
      <c r="AB114" s="16">
        <v>0.38680399999999998</v>
      </c>
      <c r="AC114" s="16">
        <v>0.37982300000000002</v>
      </c>
      <c r="AD114" s="13">
        <v>-1.2638E-2</v>
      </c>
    </row>
    <row r="115" spans="1:30" ht="15" customHeight="1" x14ac:dyDescent="0.25">
      <c r="A115" s="7" t="s">
        <v>155</v>
      </c>
      <c r="B115" s="11" t="s">
        <v>54</v>
      </c>
      <c r="C115" s="16">
        <v>0.87100599999999995</v>
      </c>
      <c r="D115" s="16">
        <v>0.81692699999999996</v>
      </c>
      <c r="E115" s="16">
        <v>0.82898000000000005</v>
      </c>
      <c r="F115" s="16">
        <v>0.83014200000000005</v>
      </c>
      <c r="G115" s="16">
        <v>0.80963499999999999</v>
      </c>
      <c r="H115" s="16">
        <v>0.81593800000000005</v>
      </c>
      <c r="I115" s="16">
        <v>0.82501800000000003</v>
      </c>
      <c r="J115" s="16">
        <v>0.83168299999999995</v>
      </c>
      <c r="K115" s="16">
        <v>0.83819699999999997</v>
      </c>
      <c r="L115" s="16">
        <v>0.84741299999999997</v>
      </c>
      <c r="M115" s="16">
        <v>0.85763500000000004</v>
      </c>
      <c r="N115" s="16">
        <v>0.86832600000000004</v>
      </c>
      <c r="O115" s="16">
        <v>0.87814499999999995</v>
      </c>
      <c r="P115" s="16">
        <v>0.88510299999999997</v>
      </c>
      <c r="Q115" s="16">
        <v>0.88724400000000003</v>
      </c>
      <c r="R115" s="16">
        <v>0.889374</v>
      </c>
      <c r="S115" s="16">
        <v>0.89135799999999998</v>
      </c>
      <c r="T115" s="16">
        <v>0.89085199999999998</v>
      </c>
      <c r="U115" s="16">
        <v>0.89200299999999999</v>
      </c>
      <c r="V115" s="16">
        <v>0.89451400000000003</v>
      </c>
      <c r="W115" s="16">
        <v>0.89841000000000004</v>
      </c>
      <c r="X115" s="16">
        <v>0.90302700000000002</v>
      </c>
      <c r="Y115" s="16">
        <v>0.90683599999999998</v>
      </c>
      <c r="Z115" s="16">
        <v>0.91242400000000001</v>
      </c>
      <c r="AA115" s="16">
        <v>0.91994500000000001</v>
      </c>
      <c r="AB115" s="16">
        <v>0.92719700000000005</v>
      </c>
      <c r="AC115" s="16">
        <v>0.93638999999999994</v>
      </c>
      <c r="AD115" s="13">
        <v>5.4739999999999997E-3</v>
      </c>
    </row>
    <row r="116" spans="1:30" ht="15" customHeight="1" x14ac:dyDescent="0.25">
      <c r="A116" s="7" t="s">
        <v>156</v>
      </c>
      <c r="B116" s="11" t="s">
        <v>128</v>
      </c>
      <c r="C116" s="16">
        <v>0</v>
      </c>
      <c r="D116" s="16">
        <v>0</v>
      </c>
      <c r="E116" s="16">
        <v>0</v>
      </c>
      <c r="F116" s="16">
        <v>0</v>
      </c>
      <c r="G116" s="16">
        <v>0</v>
      </c>
      <c r="H116" s="16">
        <v>0</v>
      </c>
      <c r="I116" s="16">
        <v>0</v>
      </c>
      <c r="J116" s="16">
        <v>0</v>
      </c>
      <c r="K116" s="16">
        <v>0</v>
      </c>
      <c r="L116" s="16">
        <v>0</v>
      </c>
      <c r="M116" s="16">
        <v>0</v>
      </c>
      <c r="N116" s="16">
        <v>0</v>
      </c>
      <c r="O116" s="16">
        <v>0</v>
      </c>
      <c r="P116" s="16">
        <v>0</v>
      </c>
      <c r="Q116" s="16">
        <v>0</v>
      </c>
      <c r="R116" s="16">
        <v>0</v>
      </c>
      <c r="S116" s="16">
        <v>0</v>
      </c>
      <c r="T116" s="16">
        <v>0</v>
      </c>
      <c r="U116" s="16">
        <v>0</v>
      </c>
      <c r="V116" s="16">
        <v>0</v>
      </c>
      <c r="W116" s="16">
        <v>0</v>
      </c>
      <c r="X116" s="16">
        <v>0</v>
      </c>
      <c r="Y116" s="16">
        <v>0</v>
      </c>
      <c r="Z116" s="16">
        <v>0</v>
      </c>
      <c r="AA116" s="16">
        <v>0</v>
      </c>
      <c r="AB116" s="16">
        <v>0</v>
      </c>
      <c r="AC116" s="16">
        <v>0</v>
      </c>
      <c r="AD116" s="13" t="s">
        <v>13</v>
      </c>
    </row>
    <row r="117" spans="1:30" ht="15" customHeight="1" x14ac:dyDescent="0.25">
      <c r="A117" s="7" t="s">
        <v>157</v>
      </c>
      <c r="B117" s="11" t="s">
        <v>101</v>
      </c>
      <c r="C117" s="16">
        <v>1.433106</v>
      </c>
      <c r="D117" s="16">
        <v>1.338927</v>
      </c>
      <c r="E117" s="16">
        <v>1.3248800000000001</v>
      </c>
      <c r="F117" s="16">
        <v>1.2897419999999999</v>
      </c>
      <c r="G117" s="16">
        <v>1.2566600000000001</v>
      </c>
      <c r="H117" s="16">
        <v>1.262038</v>
      </c>
      <c r="I117" s="16">
        <v>1.229989</v>
      </c>
      <c r="J117" s="16">
        <v>1.2575190000000001</v>
      </c>
      <c r="K117" s="16">
        <v>1.2775650000000001</v>
      </c>
      <c r="L117" s="16">
        <v>1.292376</v>
      </c>
      <c r="M117" s="16">
        <v>1.3078179999999999</v>
      </c>
      <c r="N117" s="16">
        <v>1.339288</v>
      </c>
      <c r="O117" s="16">
        <v>1.3575410000000001</v>
      </c>
      <c r="P117" s="16">
        <v>1.356949</v>
      </c>
      <c r="Q117" s="16">
        <v>1.3531759999999999</v>
      </c>
      <c r="R117" s="16">
        <v>1.358093</v>
      </c>
      <c r="S117" s="16">
        <v>1.35337</v>
      </c>
      <c r="T117" s="16">
        <v>1.3432949999999999</v>
      </c>
      <c r="U117" s="16">
        <v>1.3335319999999999</v>
      </c>
      <c r="V117" s="16">
        <v>1.3282849999999999</v>
      </c>
      <c r="W117" s="16">
        <v>1.3236680000000001</v>
      </c>
      <c r="X117" s="16">
        <v>1.3204750000000001</v>
      </c>
      <c r="Y117" s="16">
        <v>1.3148610000000001</v>
      </c>
      <c r="Z117" s="16">
        <v>1.3139149999999999</v>
      </c>
      <c r="AA117" s="16">
        <v>1.3137760000000001</v>
      </c>
      <c r="AB117" s="16">
        <v>1.314001</v>
      </c>
      <c r="AC117" s="16">
        <v>1.3162130000000001</v>
      </c>
      <c r="AD117" s="13">
        <v>-6.8400000000000004E-4</v>
      </c>
    </row>
    <row r="118" spans="1:30" ht="15" customHeight="1" x14ac:dyDescent="0.25">
      <c r="A118" s="7" t="s">
        <v>158</v>
      </c>
      <c r="B118" s="11" t="s">
        <v>131</v>
      </c>
      <c r="C118" s="16">
        <v>0.74870499999999995</v>
      </c>
      <c r="D118" s="16">
        <v>0.78171199999999996</v>
      </c>
      <c r="E118" s="16">
        <v>0.80350299999999997</v>
      </c>
      <c r="F118" s="16">
        <v>0.80806699999999998</v>
      </c>
      <c r="G118" s="16">
        <v>0.83966200000000002</v>
      </c>
      <c r="H118" s="16">
        <v>0.83299100000000004</v>
      </c>
      <c r="I118" s="16">
        <v>0.82458399999999998</v>
      </c>
      <c r="J118" s="16">
        <v>0.81233999999999995</v>
      </c>
      <c r="K118" s="16">
        <v>0.80998400000000004</v>
      </c>
      <c r="L118" s="16">
        <v>0.80318699999999998</v>
      </c>
      <c r="M118" s="16">
        <v>0.80273700000000003</v>
      </c>
      <c r="N118" s="16">
        <v>0.80277900000000002</v>
      </c>
      <c r="O118" s="16">
        <v>0.80280499999999999</v>
      </c>
      <c r="P118" s="16">
        <v>0.80361899999999997</v>
      </c>
      <c r="Q118" s="16">
        <v>0.80505300000000002</v>
      </c>
      <c r="R118" s="16">
        <v>0.80517499999999997</v>
      </c>
      <c r="S118" s="16">
        <v>0.80567999999999995</v>
      </c>
      <c r="T118" s="16">
        <v>0.80562999999999996</v>
      </c>
      <c r="U118" s="16">
        <v>0.80570799999999998</v>
      </c>
      <c r="V118" s="16">
        <v>0.80769400000000002</v>
      </c>
      <c r="W118" s="16">
        <v>0.80833999999999995</v>
      </c>
      <c r="X118" s="16">
        <v>0.81606900000000004</v>
      </c>
      <c r="Y118" s="16">
        <v>0.823515</v>
      </c>
      <c r="Z118" s="16">
        <v>0.823515</v>
      </c>
      <c r="AA118" s="16">
        <v>0.83356799999999998</v>
      </c>
      <c r="AB118" s="16">
        <v>0.83692</v>
      </c>
      <c r="AC118" s="16">
        <v>0.83956900000000001</v>
      </c>
      <c r="AD118" s="13">
        <v>2.8600000000000001E-3</v>
      </c>
    </row>
    <row r="119" spans="1:30" ht="15" customHeight="1" x14ac:dyDescent="0.25">
      <c r="A119" s="7" t="s">
        <v>159</v>
      </c>
      <c r="B119" s="11" t="s">
        <v>103</v>
      </c>
      <c r="C119" s="16">
        <v>1.5155799999999999</v>
      </c>
      <c r="D119" s="16">
        <v>1.48288</v>
      </c>
      <c r="E119" s="16">
        <v>1.42848</v>
      </c>
      <c r="F119" s="16">
        <v>1.4331799999999999</v>
      </c>
      <c r="G119" s="16">
        <v>1.4461949999999999</v>
      </c>
      <c r="H119" s="16">
        <v>1.467544</v>
      </c>
      <c r="I119" s="16">
        <v>1.4801880000000001</v>
      </c>
      <c r="J119" s="16">
        <v>1.491838</v>
      </c>
      <c r="K119" s="16">
        <v>1.5081439999999999</v>
      </c>
      <c r="L119" s="16">
        <v>1.5362990000000001</v>
      </c>
      <c r="M119" s="16">
        <v>1.5665739999999999</v>
      </c>
      <c r="N119" s="16">
        <v>1.59738</v>
      </c>
      <c r="O119" s="16">
        <v>1.62971</v>
      </c>
      <c r="P119" s="16">
        <v>1.6543479999999999</v>
      </c>
      <c r="Q119" s="16">
        <v>1.6604829999999999</v>
      </c>
      <c r="R119" s="16">
        <v>1.6713199999999999</v>
      </c>
      <c r="S119" s="16">
        <v>1.6887570000000001</v>
      </c>
      <c r="T119" s="16">
        <v>1.697732</v>
      </c>
      <c r="U119" s="16">
        <v>1.6994260000000001</v>
      </c>
      <c r="V119" s="16">
        <v>1.6999120000000001</v>
      </c>
      <c r="W119" s="16">
        <v>1.7108859999999999</v>
      </c>
      <c r="X119" s="16">
        <v>1.724682</v>
      </c>
      <c r="Y119" s="16">
        <v>1.735835</v>
      </c>
      <c r="Z119" s="16">
        <v>1.7502180000000001</v>
      </c>
      <c r="AA119" s="16">
        <v>1.7715860000000001</v>
      </c>
      <c r="AB119" s="16">
        <v>1.788081</v>
      </c>
      <c r="AC119" s="16">
        <v>1.8116890000000001</v>
      </c>
      <c r="AD119" s="13">
        <v>8.0429999999999998E-3</v>
      </c>
    </row>
    <row r="120" spans="1:30" ht="15" customHeight="1" x14ac:dyDescent="0.25">
      <c r="A120" s="7" t="s">
        <v>160</v>
      </c>
      <c r="B120" s="11" t="s">
        <v>105</v>
      </c>
      <c r="C120" s="16">
        <v>3.4037000000000002</v>
      </c>
      <c r="D120" s="16">
        <v>3.2717999999999998</v>
      </c>
      <c r="E120" s="16">
        <v>3.3090999999999999</v>
      </c>
      <c r="F120" s="16">
        <v>3.3336999999999999</v>
      </c>
      <c r="G120" s="16">
        <v>3.4258790000000001</v>
      </c>
      <c r="H120" s="16">
        <v>3.5382199999999999</v>
      </c>
      <c r="I120" s="16">
        <v>3.6183580000000002</v>
      </c>
      <c r="J120" s="16">
        <v>3.6908780000000001</v>
      </c>
      <c r="K120" s="16">
        <v>3.7550699999999999</v>
      </c>
      <c r="L120" s="16">
        <v>3.834479</v>
      </c>
      <c r="M120" s="16">
        <v>3.8938480000000002</v>
      </c>
      <c r="N120" s="16">
        <v>3.9456370000000001</v>
      </c>
      <c r="O120" s="16">
        <v>3.9906519999999999</v>
      </c>
      <c r="P120" s="16">
        <v>4.0247650000000004</v>
      </c>
      <c r="Q120" s="16">
        <v>4.0371839999999999</v>
      </c>
      <c r="R120" s="16">
        <v>4.0563339999999997</v>
      </c>
      <c r="S120" s="16">
        <v>4.0739549999999998</v>
      </c>
      <c r="T120" s="16">
        <v>4.0833750000000002</v>
      </c>
      <c r="U120" s="16">
        <v>4.0931579999999999</v>
      </c>
      <c r="V120" s="16">
        <v>4.1102259999999999</v>
      </c>
      <c r="W120" s="16">
        <v>4.130636</v>
      </c>
      <c r="X120" s="16">
        <v>4.1544569999999998</v>
      </c>
      <c r="Y120" s="16">
        <v>4.1807359999999996</v>
      </c>
      <c r="Z120" s="16">
        <v>4.2150369999999997</v>
      </c>
      <c r="AA120" s="16">
        <v>4.2550800000000004</v>
      </c>
      <c r="AB120" s="16">
        <v>4.2890230000000003</v>
      </c>
      <c r="AC120" s="16">
        <v>4.3303909999999997</v>
      </c>
      <c r="AD120" s="13">
        <v>1.1276E-2</v>
      </c>
    </row>
    <row r="121" spans="1:30" ht="15" customHeight="1" x14ac:dyDescent="0.25">
      <c r="A121" s="7" t="s">
        <v>161</v>
      </c>
      <c r="B121" s="10" t="s">
        <v>107</v>
      </c>
      <c r="C121" s="17">
        <v>24.487221000000002</v>
      </c>
      <c r="D121" s="17">
        <v>24.334109999999999</v>
      </c>
      <c r="E121" s="17">
        <v>24.697863000000002</v>
      </c>
      <c r="F121" s="17">
        <v>25.138517</v>
      </c>
      <c r="G121" s="17">
        <v>25.816026999999998</v>
      </c>
      <c r="H121" s="17">
        <v>26.566572000000001</v>
      </c>
      <c r="I121" s="17">
        <v>27.139744</v>
      </c>
      <c r="J121" s="17">
        <v>27.629760999999998</v>
      </c>
      <c r="K121" s="17">
        <v>28.022396000000001</v>
      </c>
      <c r="L121" s="17">
        <v>28.509322999999998</v>
      </c>
      <c r="M121" s="17">
        <v>28.965295999999999</v>
      </c>
      <c r="N121" s="17">
        <v>29.371119</v>
      </c>
      <c r="O121" s="17">
        <v>29.697258000000001</v>
      </c>
      <c r="P121" s="17">
        <v>29.910791</v>
      </c>
      <c r="Q121" s="17">
        <v>30.070868000000001</v>
      </c>
      <c r="R121" s="17">
        <v>30.286783</v>
      </c>
      <c r="S121" s="17">
        <v>30.521346999999999</v>
      </c>
      <c r="T121" s="17">
        <v>30.744181000000001</v>
      </c>
      <c r="U121" s="17">
        <v>30.977409000000002</v>
      </c>
      <c r="V121" s="17">
        <v>31.220606</v>
      </c>
      <c r="W121" s="17">
        <v>31.483484000000001</v>
      </c>
      <c r="X121" s="17">
        <v>31.741257000000001</v>
      </c>
      <c r="Y121" s="17">
        <v>32.025283999999999</v>
      </c>
      <c r="Z121" s="17">
        <v>32.320357999999999</v>
      </c>
      <c r="AA121" s="17">
        <v>32.677844999999998</v>
      </c>
      <c r="AB121" s="17">
        <v>32.973827</v>
      </c>
      <c r="AC121" s="17">
        <v>33.288204</v>
      </c>
      <c r="AD121" s="15">
        <v>1.2612E-2</v>
      </c>
    </row>
    <row r="122" spans="1:30" ht="15" customHeight="1" x14ac:dyDescent="0.25">
      <c r="A122" s="7" t="s">
        <v>162</v>
      </c>
      <c r="B122" s="11" t="s">
        <v>109</v>
      </c>
      <c r="C122" s="16">
        <v>6.8929210000000003</v>
      </c>
      <c r="D122" s="16">
        <v>6.4599739999999999</v>
      </c>
      <c r="E122" s="16">
        <v>6.5392640000000002</v>
      </c>
      <c r="F122" s="16">
        <v>6.6137870000000003</v>
      </c>
      <c r="G122" s="16">
        <v>6.7515340000000004</v>
      </c>
      <c r="H122" s="16">
        <v>6.9753679999999996</v>
      </c>
      <c r="I122" s="16">
        <v>7.1449109999999996</v>
      </c>
      <c r="J122" s="16">
        <v>7.2703980000000001</v>
      </c>
      <c r="K122" s="16">
        <v>7.3720720000000002</v>
      </c>
      <c r="L122" s="16">
        <v>7.5159950000000002</v>
      </c>
      <c r="M122" s="16">
        <v>7.6081649999999996</v>
      </c>
      <c r="N122" s="16">
        <v>7.6798260000000003</v>
      </c>
      <c r="O122" s="16">
        <v>7.7376050000000003</v>
      </c>
      <c r="P122" s="16">
        <v>7.7736840000000003</v>
      </c>
      <c r="Q122" s="16">
        <v>7.7696310000000004</v>
      </c>
      <c r="R122" s="16">
        <v>7.7712789999999998</v>
      </c>
      <c r="S122" s="16">
        <v>7.7670139999999996</v>
      </c>
      <c r="T122" s="16">
        <v>7.755744</v>
      </c>
      <c r="U122" s="16">
        <v>7.7524639999999998</v>
      </c>
      <c r="V122" s="16">
        <v>7.7632690000000002</v>
      </c>
      <c r="W122" s="16">
        <v>7.7632120000000002</v>
      </c>
      <c r="X122" s="16">
        <v>7.782597</v>
      </c>
      <c r="Y122" s="16">
        <v>7.7941190000000002</v>
      </c>
      <c r="Z122" s="16">
        <v>7.8353919999999997</v>
      </c>
      <c r="AA122" s="16">
        <v>7.882269</v>
      </c>
      <c r="AB122" s="16">
        <v>7.9137079999999997</v>
      </c>
      <c r="AC122" s="16">
        <v>7.9496549999999999</v>
      </c>
      <c r="AD122" s="13">
        <v>8.3350000000000004E-3</v>
      </c>
    </row>
    <row r="123" spans="1:30" ht="15" customHeight="1" x14ac:dyDescent="0.25">
      <c r="A123" s="7" t="s">
        <v>163</v>
      </c>
      <c r="B123" s="10" t="s">
        <v>35</v>
      </c>
      <c r="C123" s="17">
        <v>31.380141999999999</v>
      </c>
      <c r="D123" s="17">
        <v>30.794084999999999</v>
      </c>
      <c r="E123" s="17">
        <v>31.237124999999999</v>
      </c>
      <c r="F123" s="17">
        <v>31.752303999999999</v>
      </c>
      <c r="G123" s="17">
        <v>32.567562000000002</v>
      </c>
      <c r="H123" s="17">
        <v>33.541938999999999</v>
      </c>
      <c r="I123" s="17">
        <v>34.284652999999999</v>
      </c>
      <c r="J123" s="17">
        <v>34.900157999999998</v>
      </c>
      <c r="K123" s="17">
        <v>35.394466000000001</v>
      </c>
      <c r="L123" s="17">
        <v>36.025317999999999</v>
      </c>
      <c r="M123" s="17">
        <v>36.573459999999997</v>
      </c>
      <c r="N123" s="17">
        <v>37.050944999999999</v>
      </c>
      <c r="O123" s="17">
        <v>37.434863999999997</v>
      </c>
      <c r="P123" s="17">
        <v>37.684474999999999</v>
      </c>
      <c r="Q123" s="17">
        <v>37.840499999999999</v>
      </c>
      <c r="R123" s="17">
        <v>38.058064000000002</v>
      </c>
      <c r="S123" s="17">
        <v>38.288361000000002</v>
      </c>
      <c r="T123" s="17">
        <v>38.499924</v>
      </c>
      <c r="U123" s="17">
        <v>38.729874000000002</v>
      </c>
      <c r="V123" s="17">
        <v>38.983874999999998</v>
      </c>
      <c r="W123" s="17">
        <v>39.246696</v>
      </c>
      <c r="X123" s="17">
        <v>39.523853000000003</v>
      </c>
      <c r="Y123" s="17">
        <v>39.819405000000003</v>
      </c>
      <c r="Z123" s="17">
        <v>40.155749999999998</v>
      </c>
      <c r="AA123" s="17">
        <v>40.560111999999997</v>
      </c>
      <c r="AB123" s="17">
        <v>40.887535</v>
      </c>
      <c r="AC123" s="17">
        <v>41.237858000000003</v>
      </c>
      <c r="AD123" s="15">
        <v>1.175E-2</v>
      </c>
    </row>
    <row r="125" spans="1:30" ht="15" customHeight="1" x14ac:dyDescent="0.25">
      <c r="B125" s="10" t="s">
        <v>164</v>
      </c>
    </row>
    <row r="126" spans="1:30" ht="15" customHeight="1" x14ac:dyDescent="0.25">
      <c r="B126" s="10" t="s">
        <v>14</v>
      </c>
    </row>
    <row r="127" spans="1:30" ht="15" customHeight="1" x14ac:dyDescent="0.25">
      <c r="A127" s="7" t="s">
        <v>165</v>
      </c>
      <c r="B127" s="11" t="s">
        <v>113</v>
      </c>
      <c r="C127" s="16">
        <v>6.0277999999999998E-2</v>
      </c>
      <c r="D127" s="16">
        <v>4.9782E-2</v>
      </c>
      <c r="E127" s="16">
        <v>3.5811000000000003E-2</v>
      </c>
      <c r="F127" s="16">
        <v>3.6616999999999997E-2</v>
      </c>
      <c r="G127" s="16">
        <v>4.5343000000000001E-2</v>
      </c>
      <c r="H127" s="16">
        <v>4.4315E-2</v>
      </c>
      <c r="I127" s="16">
        <v>4.4039000000000002E-2</v>
      </c>
      <c r="J127" s="16">
        <v>4.3454E-2</v>
      </c>
      <c r="K127" s="16">
        <v>4.2812000000000003E-2</v>
      </c>
      <c r="L127" s="16">
        <v>4.2220000000000001E-2</v>
      </c>
      <c r="M127" s="16">
        <v>4.1609E-2</v>
      </c>
      <c r="N127" s="16">
        <v>4.0994999999999997E-2</v>
      </c>
      <c r="O127" s="16">
        <v>4.0354000000000001E-2</v>
      </c>
      <c r="P127" s="16">
        <v>3.9692999999999999E-2</v>
      </c>
      <c r="Q127" s="16">
        <v>3.9065000000000003E-2</v>
      </c>
      <c r="R127" s="16">
        <v>3.8464999999999999E-2</v>
      </c>
      <c r="S127" s="16">
        <v>3.7996000000000002E-2</v>
      </c>
      <c r="T127" s="16">
        <v>3.7456000000000003E-2</v>
      </c>
      <c r="U127" s="16">
        <v>3.6835E-2</v>
      </c>
      <c r="V127" s="16">
        <v>3.6212000000000001E-2</v>
      </c>
      <c r="W127" s="16">
        <v>3.5695999999999999E-2</v>
      </c>
      <c r="X127" s="16">
        <v>3.5222999999999997E-2</v>
      </c>
      <c r="Y127" s="16">
        <v>3.4695999999999998E-2</v>
      </c>
      <c r="Z127" s="16">
        <v>3.4214000000000001E-2</v>
      </c>
      <c r="AA127" s="16">
        <v>3.3699E-2</v>
      </c>
      <c r="AB127" s="16">
        <v>3.3197999999999998E-2</v>
      </c>
      <c r="AC127" s="16">
        <v>3.2729000000000001E-2</v>
      </c>
      <c r="AD127" s="13">
        <v>-1.6636000000000001E-2</v>
      </c>
    </row>
    <row r="128" spans="1:30" ht="15" customHeight="1" x14ac:dyDescent="0.25">
      <c r="A128" s="7" t="s">
        <v>166</v>
      </c>
      <c r="B128" s="11" t="s">
        <v>76</v>
      </c>
      <c r="C128" s="16">
        <v>0.27968599999999999</v>
      </c>
      <c r="D128" s="16">
        <v>0.27996399999999999</v>
      </c>
      <c r="E128" s="16">
        <v>0.28577200000000003</v>
      </c>
      <c r="F128" s="16">
        <v>0.290883</v>
      </c>
      <c r="G128" s="16">
        <v>0.29868099999999997</v>
      </c>
      <c r="H128" s="16">
        <v>0.31779600000000002</v>
      </c>
      <c r="I128" s="16">
        <v>0.32705800000000002</v>
      </c>
      <c r="J128" s="16">
        <v>0.33250099999999999</v>
      </c>
      <c r="K128" s="16">
        <v>0.33616200000000002</v>
      </c>
      <c r="L128" s="16">
        <v>0.338534</v>
      </c>
      <c r="M128" s="16">
        <v>0.34033799999999997</v>
      </c>
      <c r="N128" s="16">
        <v>0.34311999999999998</v>
      </c>
      <c r="O128" s="16">
        <v>0.344976</v>
      </c>
      <c r="P128" s="16">
        <v>0.344578</v>
      </c>
      <c r="Q128" s="16">
        <v>0.34421200000000002</v>
      </c>
      <c r="R128" s="16">
        <v>0.34348000000000001</v>
      </c>
      <c r="S128" s="16">
        <v>0.34217199999999998</v>
      </c>
      <c r="T128" s="16">
        <v>0.342194</v>
      </c>
      <c r="U128" s="16">
        <v>0.34314699999999998</v>
      </c>
      <c r="V128" s="16">
        <v>0.34350700000000001</v>
      </c>
      <c r="W128" s="16">
        <v>0.34332099999999999</v>
      </c>
      <c r="X128" s="16">
        <v>0.34182699999999999</v>
      </c>
      <c r="Y128" s="16">
        <v>0.34166299999999999</v>
      </c>
      <c r="Z128" s="16">
        <v>0.34148400000000001</v>
      </c>
      <c r="AA128" s="16">
        <v>0.34152100000000002</v>
      </c>
      <c r="AB128" s="16">
        <v>0.34084300000000001</v>
      </c>
      <c r="AC128" s="16">
        <v>0.339227</v>
      </c>
      <c r="AD128" s="13">
        <v>7.7099999999999998E-3</v>
      </c>
    </row>
    <row r="129" spans="1:30" ht="15" customHeight="1" x14ac:dyDescent="0.25">
      <c r="A129" s="7" t="s">
        <v>167</v>
      </c>
      <c r="B129" s="11" t="s">
        <v>40</v>
      </c>
      <c r="C129" s="16">
        <v>3.7095999999999997E-2</v>
      </c>
      <c r="D129" s="16">
        <v>3.7747999999999997E-2</v>
      </c>
      <c r="E129" s="16">
        <v>3.6743999999999999E-2</v>
      </c>
      <c r="F129" s="16">
        <v>3.5333000000000003E-2</v>
      </c>
      <c r="G129" s="16">
        <v>3.4594E-2</v>
      </c>
      <c r="H129" s="16">
        <v>3.3749000000000001E-2</v>
      </c>
      <c r="I129" s="16">
        <v>3.3002999999999998E-2</v>
      </c>
      <c r="J129" s="16">
        <v>3.2152E-2</v>
      </c>
      <c r="K129" s="16">
        <v>3.1467000000000002E-2</v>
      </c>
      <c r="L129" s="16">
        <v>3.0778E-2</v>
      </c>
      <c r="M129" s="16">
        <v>3.0182E-2</v>
      </c>
      <c r="N129" s="16">
        <v>2.9669000000000001E-2</v>
      </c>
      <c r="O129" s="16">
        <v>2.9145999999999998E-2</v>
      </c>
      <c r="P129" s="16">
        <v>2.8636999999999999E-2</v>
      </c>
      <c r="Q129" s="16">
        <v>2.8267E-2</v>
      </c>
      <c r="R129" s="16">
        <v>2.7914000000000001E-2</v>
      </c>
      <c r="S129" s="16">
        <v>2.7494999999999999E-2</v>
      </c>
      <c r="T129" s="16">
        <v>2.7161999999999999E-2</v>
      </c>
      <c r="U129" s="16">
        <v>2.6876000000000001E-2</v>
      </c>
      <c r="V129" s="16">
        <v>2.6464999999999999E-2</v>
      </c>
      <c r="W129" s="16">
        <v>2.6068999999999998E-2</v>
      </c>
      <c r="X129" s="16">
        <v>2.5680999999999999E-2</v>
      </c>
      <c r="Y129" s="16">
        <v>2.5328E-2</v>
      </c>
      <c r="Z129" s="16">
        <v>2.496E-2</v>
      </c>
      <c r="AA129" s="16">
        <v>2.4584000000000002E-2</v>
      </c>
      <c r="AB129" s="16">
        <v>2.4237999999999999E-2</v>
      </c>
      <c r="AC129" s="16">
        <v>2.3869999999999999E-2</v>
      </c>
      <c r="AD129" s="13">
        <v>-1.8166000000000002E-2</v>
      </c>
    </row>
    <row r="130" spans="1:30" ht="15" customHeight="1" x14ac:dyDescent="0.25">
      <c r="A130" s="7" t="s">
        <v>168</v>
      </c>
      <c r="B130" s="11" t="s">
        <v>42</v>
      </c>
      <c r="C130" s="16">
        <v>0.18993499999999999</v>
      </c>
      <c r="D130" s="16">
        <v>0.18546399999999999</v>
      </c>
      <c r="E130" s="16">
        <v>0.180644</v>
      </c>
      <c r="F130" s="16">
        <v>0.17702399999999999</v>
      </c>
      <c r="G130" s="16">
        <v>0.17605799999999999</v>
      </c>
      <c r="H130" s="16">
        <v>0.173486</v>
      </c>
      <c r="I130" s="16">
        <v>0.17192399999999999</v>
      </c>
      <c r="J130" s="16">
        <v>0.16894300000000001</v>
      </c>
      <c r="K130" s="16">
        <v>0.16627600000000001</v>
      </c>
      <c r="L130" s="16">
        <v>0.16362699999999999</v>
      </c>
      <c r="M130" s="16">
        <v>0.16108900000000001</v>
      </c>
      <c r="N130" s="16">
        <v>0.15867500000000001</v>
      </c>
      <c r="O130" s="16">
        <v>0.156359</v>
      </c>
      <c r="P130" s="16">
        <v>0.15396399999999999</v>
      </c>
      <c r="Q130" s="16">
        <v>0.151784</v>
      </c>
      <c r="R130" s="16">
        <v>0.14976200000000001</v>
      </c>
      <c r="S130" s="16">
        <v>0.147923</v>
      </c>
      <c r="T130" s="16">
        <v>0.14616399999999999</v>
      </c>
      <c r="U130" s="16">
        <v>0.14416899999999999</v>
      </c>
      <c r="V130" s="16">
        <v>0.142098</v>
      </c>
      <c r="W130" s="16">
        <v>0.140266</v>
      </c>
      <c r="X130" s="16">
        <v>0.138516</v>
      </c>
      <c r="Y130" s="16">
        <v>0.13672300000000001</v>
      </c>
      <c r="Z130" s="16">
        <v>0.13488700000000001</v>
      </c>
      <c r="AA130" s="16">
        <v>0.13297800000000001</v>
      </c>
      <c r="AB130" s="16">
        <v>0.13112299999999999</v>
      </c>
      <c r="AC130" s="16">
        <v>0.12937100000000001</v>
      </c>
      <c r="AD130" s="13">
        <v>-1.4304000000000001E-2</v>
      </c>
    </row>
    <row r="131" spans="1:30" ht="15" customHeight="1" x14ac:dyDescent="0.25">
      <c r="A131" s="7" t="s">
        <v>169</v>
      </c>
      <c r="B131" s="11" t="s">
        <v>44</v>
      </c>
      <c r="C131" s="16">
        <v>4.829E-3</v>
      </c>
      <c r="D131" s="16">
        <v>4.8549999999999999E-3</v>
      </c>
      <c r="E131" s="16">
        <v>3.9300000000000003E-3</v>
      </c>
      <c r="F131" s="16">
        <v>3.5460000000000001E-3</v>
      </c>
      <c r="G131" s="16">
        <v>4.104E-3</v>
      </c>
      <c r="H131" s="16">
        <v>4.7320000000000001E-3</v>
      </c>
      <c r="I131" s="16">
        <v>5.0959999999999998E-3</v>
      </c>
      <c r="J131" s="16">
        <v>5.2589999999999998E-3</v>
      </c>
      <c r="K131" s="16">
        <v>5.4130000000000003E-3</v>
      </c>
      <c r="L131" s="16">
        <v>5.8659999999999997E-3</v>
      </c>
      <c r="M131" s="16">
        <v>6.0679999999999996E-3</v>
      </c>
      <c r="N131" s="16">
        <v>6.2579999999999997E-3</v>
      </c>
      <c r="O131" s="16">
        <v>6.2989999999999999E-3</v>
      </c>
      <c r="P131" s="16">
        <v>6.2579999999999997E-3</v>
      </c>
      <c r="Q131" s="16">
        <v>6.1219999999999998E-3</v>
      </c>
      <c r="R131" s="16">
        <v>5.9569999999999996E-3</v>
      </c>
      <c r="S131" s="16">
        <v>5.8219999999999999E-3</v>
      </c>
      <c r="T131" s="16">
        <v>5.679E-3</v>
      </c>
      <c r="U131" s="16">
        <v>5.6020000000000002E-3</v>
      </c>
      <c r="V131" s="16">
        <v>5.4720000000000003E-3</v>
      </c>
      <c r="W131" s="16">
        <v>5.3160000000000004E-3</v>
      </c>
      <c r="X131" s="16">
        <v>5.189E-3</v>
      </c>
      <c r="Y131" s="16">
        <v>5.0509999999999999E-3</v>
      </c>
      <c r="Z131" s="16">
        <v>4.9480000000000001E-3</v>
      </c>
      <c r="AA131" s="16">
        <v>4.8399999999999997E-3</v>
      </c>
      <c r="AB131" s="16">
        <v>4.7530000000000003E-3</v>
      </c>
      <c r="AC131" s="16">
        <v>4.6569999999999997E-3</v>
      </c>
      <c r="AD131" s="13">
        <v>-1.6659999999999999E-3</v>
      </c>
    </row>
    <row r="132" spans="1:30" ht="15" customHeight="1" x14ac:dyDescent="0.25">
      <c r="A132" s="7" t="s">
        <v>170</v>
      </c>
      <c r="B132" s="11" t="s">
        <v>81</v>
      </c>
      <c r="C132" s="16">
        <v>9.7541000000000003E-2</v>
      </c>
      <c r="D132" s="16">
        <v>9.1113E-2</v>
      </c>
      <c r="E132" s="16">
        <v>9.1952999999999993E-2</v>
      </c>
      <c r="F132" s="16">
        <v>8.9796000000000001E-2</v>
      </c>
      <c r="G132" s="16">
        <v>9.6000000000000002E-2</v>
      </c>
      <c r="H132" s="16">
        <v>0.107735</v>
      </c>
      <c r="I132" s="16">
        <v>0.115358</v>
      </c>
      <c r="J132" s="16">
        <v>0.120657</v>
      </c>
      <c r="K132" s="16">
        <v>0.124457</v>
      </c>
      <c r="L132" s="16">
        <v>0.12767100000000001</v>
      </c>
      <c r="M132" s="16">
        <v>0.13051299999999999</v>
      </c>
      <c r="N132" s="16">
        <v>0.133601</v>
      </c>
      <c r="O132" s="16">
        <v>0.13597899999999999</v>
      </c>
      <c r="P132" s="16">
        <v>0.13686200000000001</v>
      </c>
      <c r="Q132" s="16">
        <v>0.137544</v>
      </c>
      <c r="R132" s="16">
        <v>0.138102</v>
      </c>
      <c r="S132" s="16">
        <v>0.138459</v>
      </c>
      <c r="T132" s="16">
        <v>0.13941799999999999</v>
      </c>
      <c r="U132" s="16">
        <v>0.140793</v>
      </c>
      <c r="V132" s="16">
        <v>0.14206199999999999</v>
      </c>
      <c r="W132" s="16">
        <v>0.14307700000000001</v>
      </c>
      <c r="X132" s="16">
        <v>0.14335500000000001</v>
      </c>
      <c r="Y132" s="16">
        <v>0.14433699999999999</v>
      </c>
      <c r="Z132" s="16">
        <v>0.14533399999999999</v>
      </c>
      <c r="AA132" s="16">
        <v>0.14658099999999999</v>
      </c>
      <c r="AB132" s="16">
        <v>0.147345</v>
      </c>
      <c r="AC132" s="16">
        <v>0.14760799999999999</v>
      </c>
      <c r="AD132" s="13">
        <v>1.9486E-2</v>
      </c>
    </row>
    <row r="133" spans="1:30" ht="15" customHeight="1" x14ac:dyDescent="0.25">
      <c r="A133" s="7" t="s">
        <v>171</v>
      </c>
      <c r="B133" s="11" t="s">
        <v>83</v>
      </c>
      <c r="C133" s="16">
        <v>9.1204999999999994E-2</v>
      </c>
      <c r="D133" s="16">
        <v>9.2301999999999995E-2</v>
      </c>
      <c r="E133" s="16">
        <v>8.6744000000000002E-2</v>
      </c>
      <c r="F133" s="16">
        <v>8.6236999999999994E-2</v>
      </c>
      <c r="G133" s="16">
        <v>7.0888999999999994E-2</v>
      </c>
      <c r="H133" s="16">
        <v>6.9134000000000001E-2</v>
      </c>
      <c r="I133" s="16">
        <v>6.8435999999999997E-2</v>
      </c>
      <c r="J133" s="16">
        <v>6.7172999999999997E-2</v>
      </c>
      <c r="K133" s="16">
        <v>6.5337000000000006E-2</v>
      </c>
      <c r="L133" s="16">
        <v>6.4903000000000002E-2</v>
      </c>
      <c r="M133" s="16">
        <v>6.4588000000000007E-2</v>
      </c>
      <c r="N133" s="16">
        <v>6.3854999999999995E-2</v>
      </c>
      <c r="O133" s="16">
        <v>6.3319E-2</v>
      </c>
      <c r="P133" s="16">
        <v>6.2274000000000003E-2</v>
      </c>
      <c r="Q133" s="16">
        <v>6.1346999999999999E-2</v>
      </c>
      <c r="R133" s="16">
        <v>6.0046000000000002E-2</v>
      </c>
      <c r="S133" s="16">
        <v>5.8876999999999999E-2</v>
      </c>
      <c r="T133" s="16">
        <v>5.8230999999999998E-2</v>
      </c>
      <c r="U133" s="16">
        <v>5.7835999999999999E-2</v>
      </c>
      <c r="V133" s="16">
        <v>5.6609E-2</v>
      </c>
      <c r="W133" s="16">
        <v>5.5624E-2</v>
      </c>
      <c r="X133" s="16">
        <v>5.4704000000000003E-2</v>
      </c>
      <c r="Y133" s="16">
        <v>5.3696000000000001E-2</v>
      </c>
      <c r="Z133" s="16">
        <v>5.2894999999999998E-2</v>
      </c>
      <c r="AA133" s="16">
        <v>5.2084999999999999E-2</v>
      </c>
      <c r="AB133" s="16">
        <v>5.1832999999999997E-2</v>
      </c>
      <c r="AC133" s="16">
        <v>5.0997000000000001E-2</v>
      </c>
      <c r="AD133" s="13">
        <v>-2.3453000000000002E-2</v>
      </c>
    </row>
    <row r="134" spans="1:30" ht="15" customHeight="1" x14ac:dyDescent="0.25">
      <c r="A134" s="7" t="s">
        <v>172</v>
      </c>
      <c r="B134" s="11" t="s">
        <v>46</v>
      </c>
      <c r="C134" s="16">
        <v>0.11061799999999999</v>
      </c>
      <c r="D134" s="16">
        <v>0.115471</v>
      </c>
      <c r="E134" s="16">
        <v>0.115215</v>
      </c>
      <c r="F134" s="16">
        <v>0.112345</v>
      </c>
      <c r="G134" s="16">
        <v>0.110585</v>
      </c>
      <c r="H134" s="16">
        <v>0.10868</v>
      </c>
      <c r="I134" s="16">
        <v>0.106819</v>
      </c>
      <c r="J134" s="16">
        <v>0.10516</v>
      </c>
      <c r="K134" s="16">
        <v>0.10410899999999999</v>
      </c>
      <c r="L134" s="16">
        <v>0.103435</v>
      </c>
      <c r="M134" s="16">
        <v>0.10258200000000001</v>
      </c>
      <c r="N134" s="16">
        <v>0.10168099999999999</v>
      </c>
      <c r="O134" s="16">
        <v>0.101906</v>
      </c>
      <c r="P134" s="16">
        <v>0.10295799999999999</v>
      </c>
      <c r="Q134" s="16">
        <v>0.10406899999999999</v>
      </c>
      <c r="R134" s="16">
        <v>0.10502400000000001</v>
      </c>
      <c r="S134" s="16">
        <v>0.10631599999999999</v>
      </c>
      <c r="T134" s="16">
        <v>0.107778</v>
      </c>
      <c r="U134" s="16">
        <v>0.10895100000000001</v>
      </c>
      <c r="V134" s="16">
        <v>0.109905</v>
      </c>
      <c r="W134" s="16">
        <v>0.110736</v>
      </c>
      <c r="X134" s="16">
        <v>0.111288</v>
      </c>
      <c r="Y134" s="16">
        <v>0.111891</v>
      </c>
      <c r="Z134" s="16">
        <v>0.112429</v>
      </c>
      <c r="AA134" s="16">
        <v>0.112842</v>
      </c>
      <c r="AB134" s="16">
        <v>0.11355899999999999</v>
      </c>
      <c r="AC134" s="16">
        <v>0.11404</v>
      </c>
      <c r="AD134" s="13">
        <v>-4.9899999999999999E-4</v>
      </c>
    </row>
    <row r="135" spans="1:30" ht="15" customHeight="1" x14ac:dyDescent="0.25">
      <c r="A135" s="7" t="s">
        <v>173</v>
      </c>
      <c r="B135" s="11" t="s">
        <v>118</v>
      </c>
      <c r="C135" s="16">
        <v>0.20174300000000001</v>
      </c>
      <c r="D135" s="16">
        <v>0.20402500000000001</v>
      </c>
      <c r="E135" s="16">
        <v>0.200437</v>
      </c>
      <c r="F135" s="16">
        <v>0.19708500000000001</v>
      </c>
      <c r="G135" s="16">
        <v>0.21190400000000001</v>
      </c>
      <c r="H135" s="16">
        <v>0.20777999999999999</v>
      </c>
      <c r="I135" s="16">
        <v>0.203288</v>
      </c>
      <c r="J135" s="16">
        <v>0.198661</v>
      </c>
      <c r="K135" s="16">
        <v>0.194553</v>
      </c>
      <c r="L135" s="16">
        <v>0.19021399999999999</v>
      </c>
      <c r="M135" s="16">
        <v>0.18684600000000001</v>
      </c>
      <c r="N135" s="16">
        <v>0.183534</v>
      </c>
      <c r="O135" s="16">
        <v>0.180586</v>
      </c>
      <c r="P135" s="16">
        <v>0.178505</v>
      </c>
      <c r="Q135" s="16">
        <v>0.17538200000000001</v>
      </c>
      <c r="R135" s="16">
        <v>0.17341300000000001</v>
      </c>
      <c r="S135" s="16">
        <v>0.170677</v>
      </c>
      <c r="T135" s="16">
        <v>0.16870499999999999</v>
      </c>
      <c r="U135" s="16">
        <v>0.16681000000000001</v>
      </c>
      <c r="V135" s="16">
        <v>0.16400300000000001</v>
      </c>
      <c r="W135" s="16">
        <v>0.161415</v>
      </c>
      <c r="X135" s="16">
        <v>0.158355</v>
      </c>
      <c r="Y135" s="16">
        <v>0.155671</v>
      </c>
      <c r="Z135" s="16">
        <v>0.15348200000000001</v>
      </c>
      <c r="AA135" s="16">
        <v>0.15091599999999999</v>
      </c>
      <c r="AB135" s="16">
        <v>0.14976900000000001</v>
      </c>
      <c r="AC135" s="16">
        <v>0.14774899999999999</v>
      </c>
      <c r="AD135" s="13">
        <v>-1.2826000000000001E-2</v>
      </c>
    </row>
    <row r="136" spans="1:30" ht="15" customHeight="1" x14ac:dyDescent="0.25">
      <c r="A136" s="7" t="s">
        <v>174</v>
      </c>
      <c r="B136" s="11" t="s">
        <v>86</v>
      </c>
      <c r="C136" s="16">
        <v>4.2313000000000003E-2</v>
      </c>
      <c r="D136" s="16">
        <v>5.6169999999999998E-2</v>
      </c>
      <c r="E136" s="16">
        <v>4.5720999999999998E-2</v>
      </c>
      <c r="F136" s="16">
        <v>4.3900000000000002E-2</v>
      </c>
      <c r="G136" s="16">
        <v>4.6086000000000002E-2</v>
      </c>
      <c r="H136" s="16">
        <v>4.9085999999999998E-2</v>
      </c>
      <c r="I136" s="16">
        <v>5.0563999999999998E-2</v>
      </c>
      <c r="J136" s="16">
        <v>5.1817000000000002E-2</v>
      </c>
      <c r="K136" s="16">
        <v>5.3025000000000003E-2</v>
      </c>
      <c r="L136" s="16">
        <v>5.4253000000000003E-2</v>
      </c>
      <c r="M136" s="16">
        <v>5.4572000000000002E-2</v>
      </c>
      <c r="N136" s="16">
        <v>5.5164999999999999E-2</v>
      </c>
      <c r="O136" s="16">
        <v>5.5537000000000003E-2</v>
      </c>
      <c r="P136" s="16">
        <v>5.5660000000000001E-2</v>
      </c>
      <c r="Q136" s="16">
        <v>5.5051999999999997E-2</v>
      </c>
      <c r="R136" s="16">
        <v>5.4608999999999998E-2</v>
      </c>
      <c r="S136" s="16">
        <v>5.3947000000000002E-2</v>
      </c>
      <c r="T136" s="16">
        <v>5.3293E-2</v>
      </c>
      <c r="U136" s="16">
        <v>5.2657000000000002E-2</v>
      </c>
      <c r="V136" s="16">
        <v>5.1991999999999997E-2</v>
      </c>
      <c r="W136" s="16">
        <v>5.1318999999999997E-2</v>
      </c>
      <c r="X136" s="16">
        <v>5.0719E-2</v>
      </c>
      <c r="Y136" s="16">
        <v>5.0214000000000002E-2</v>
      </c>
      <c r="Z136" s="16">
        <v>4.9929000000000001E-2</v>
      </c>
      <c r="AA136" s="16">
        <v>4.9467999999999998E-2</v>
      </c>
      <c r="AB136" s="16">
        <v>4.9116E-2</v>
      </c>
      <c r="AC136" s="16">
        <v>4.8430000000000001E-2</v>
      </c>
      <c r="AD136" s="13">
        <v>-5.9129999999999999E-3</v>
      </c>
    </row>
    <row r="137" spans="1:30" ht="15" customHeight="1" x14ac:dyDescent="0.25">
      <c r="A137" s="7" t="s">
        <v>175</v>
      </c>
      <c r="B137" s="11" t="s">
        <v>88</v>
      </c>
      <c r="C137" s="16">
        <v>1.1152439999999999</v>
      </c>
      <c r="D137" s="16">
        <v>1.116897</v>
      </c>
      <c r="E137" s="16">
        <v>1.082972</v>
      </c>
      <c r="F137" s="16">
        <v>1.072765</v>
      </c>
      <c r="G137" s="16">
        <v>1.0942460000000001</v>
      </c>
      <c r="H137" s="16">
        <v>1.116493</v>
      </c>
      <c r="I137" s="16">
        <v>1.1255839999999999</v>
      </c>
      <c r="J137" s="16">
        <v>1.1257779999999999</v>
      </c>
      <c r="K137" s="16">
        <v>1.12361</v>
      </c>
      <c r="L137" s="16">
        <v>1.1214999999999999</v>
      </c>
      <c r="M137" s="16">
        <v>1.118387</v>
      </c>
      <c r="N137" s="16">
        <v>1.1165510000000001</v>
      </c>
      <c r="O137" s="16">
        <v>1.1144609999999999</v>
      </c>
      <c r="P137" s="16">
        <v>1.109388</v>
      </c>
      <c r="Q137" s="16">
        <v>1.1028439999999999</v>
      </c>
      <c r="R137" s="16">
        <v>1.0967709999999999</v>
      </c>
      <c r="S137" s="16">
        <v>1.0896840000000001</v>
      </c>
      <c r="T137" s="16">
        <v>1.0860799999999999</v>
      </c>
      <c r="U137" s="16">
        <v>1.0836749999999999</v>
      </c>
      <c r="V137" s="16">
        <v>1.0783240000000001</v>
      </c>
      <c r="W137" s="16">
        <v>1.072838</v>
      </c>
      <c r="X137" s="16">
        <v>1.0648569999999999</v>
      </c>
      <c r="Y137" s="16">
        <v>1.059269</v>
      </c>
      <c r="Z137" s="16">
        <v>1.0545610000000001</v>
      </c>
      <c r="AA137" s="16">
        <v>1.0495140000000001</v>
      </c>
      <c r="AB137" s="16">
        <v>1.0457780000000001</v>
      </c>
      <c r="AC137" s="16">
        <v>1.0386770000000001</v>
      </c>
      <c r="AD137" s="13">
        <v>-2.8999999999999998E-3</v>
      </c>
    </row>
    <row r="138" spans="1:30" ht="15" customHeight="1" x14ac:dyDescent="0.25">
      <c r="A138" s="7" t="s">
        <v>176</v>
      </c>
      <c r="B138" s="11" t="s">
        <v>48</v>
      </c>
      <c r="C138" s="16">
        <v>0.98125899999999999</v>
      </c>
      <c r="D138" s="16">
        <v>0.94811800000000002</v>
      </c>
      <c r="E138" s="16">
        <v>0.93779999999999997</v>
      </c>
      <c r="F138" s="16">
        <v>0.89225600000000005</v>
      </c>
      <c r="G138" s="16">
        <v>0.867726</v>
      </c>
      <c r="H138" s="16">
        <v>0.856151</v>
      </c>
      <c r="I138" s="16">
        <v>0.84278299999999995</v>
      </c>
      <c r="J138" s="16">
        <v>0.83368200000000003</v>
      </c>
      <c r="K138" s="16">
        <v>0.82510700000000003</v>
      </c>
      <c r="L138" s="16">
        <v>0.81059899999999996</v>
      </c>
      <c r="M138" s="16">
        <v>0.79986000000000002</v>
      </c>
      <c r="N138" s="16">
        <v>0.79281299999999999</v>
      </c>
      <c r="O138" s="16">
        <v>0.786999</v>
      </c>
      <c r="P138" s="16">
        <v>0.78015699999999999</v>
      </c>
      <c r="Q138" s="16">
        <v>0.77581999999999995</v>
      </c>
      <c r="R138" s="16">
        <v>0.77037100000000003</v>
      </c>
      <c r="S138" s="16">
        <v>0.76239699999999999</v>
      </c>
      <c r="T138" s="16">
        <v>0.75525200000000003</v>
      </c>
      <c r="U138" s="16">
        <v>0.75050099999999997</v>
      </c>
      <c r="V138" s="16">
        <v>0.74446199999999996</v>
      </c>
      <c r="W138" s="16">
        <v>0.738012</v>
      </c>
      <c r="X138" s="16">
        <v>0.73157099999999997</v>
      </c>
      <c r="Y138" s="16">
        <v>0.72622100000000001</v>
      </c>
      <c r="Z138" s="16">
        <v>0.71963999999999995</v>
      </c>
      <c r="AA138" s="16">
        <v>0.71377900000000005</v>
      </c>
      <c r="AB138" s="16">
        <v>0.70743500000000004</v>
      </c>
      <c r="AC138" s="16">
        <v>0.70081599999999999</v>
      </c>
      <c r="AD138" s="13">
        <v>-1.2017E-2</v>
      </c>
    </row>
    <row r="139" spans="1:30" ht="15" customHeight="1" x14ac:dyDescent="0.25">
      <c r="A139" s="7" t="s">
        <v>177</v>
      </c>
      <c r="B139" s="11" t="s">
        <v>178</v>
      </c>
      <c r="C139" s="16">
        <v>0.113606</v>
      </c>
      <c r="D139" s="16">
        <v>0.12403</v>
      </c>
      <c r="E139" s="16">
        <v>0.13284000000000001</v>
      </c>
      <c r="F139" s="16">
        <v>0.16092600000000001</v>
      </c>
      <c r="G139" s="16">
        <v>0.173512</v>
      </c>
      <c r="H139" s="16">
        <v>0.17976500000000001</v>
      </c>
      <c r="I139" s="16">
        <v>0.18273900000000001</v>
      </c>
      <c r="J139" s="16">
        <v>0.185143</v>
      </c>
      <c r="K139" s="16">
        <v>0.18596199999999999</v>
      </c>
      <c r="L139" s="16">
        <v>0.185497</v>
      </c>
      <c r="M139" s="16">
        <v>0.18602399999999999</v>
      </c>
      <c r="N139" s="16">
        <v>0.18693000000000001</v>
      </c>
      <c r="O139" s="16">
        <v>0.187167</v>
      </c>
      <c r="P139" s="16">
        <v>0.18604999999999999</v>
      </c>
      <c r="Q139" s="16">
        <v>0.185282</v>
      </c>
      <c r="R139" s="16">
        <v>0.18448700000000001</v>
      </c>
      <c r="S139" s="16">
        <v>0.18255199999999999</v>
      </c>
      <c r="T139" s="16">
        <v>0.181475</v>
      </c>
      <c r="U139" s="16">
        <v>0.18177499999999999</v>
      </c>
      <c r="V139" s="16">
        <v>0.18025099999999999</v>
      </c>
      <c r="W139" s="16">
        <v>0.17850199999999999</v>
      </c>
      <c r="X139" s="16">
        <v>0.17677200000000001</v>
      </c>
      <c r="Y139" s="16">
        <v>0.175486</v>
      </c>
      <c r="Z139" s="16">
        <v>0.17447199999999999</v>
      </c>
      <c r="AA139" s="16">
        <v>0.173455</v>
      </c>
      <c r="AB139" s="16">
        <v>0.172043</v>
      </c>
      <c r="AC139" s="16">
        <v>0.17011000000000001</v>
      </c>
      <c r="AD139" s="13">
        <v>1.2716999999999999E-2</v>
      </c>
    </row>
    <row r="140" spans="1:30" ht="15" customHeight="1" x14ac:dyDescent="0.25">
      <c r="A140" s="7" t="s">
        <v>179</v>
      </c>
      <c r="B140" s="11" t="s">
        <v>124</v>
      </c>
      <c r="C140" s="16">
        <v>0</v>
      </c>
      <c r="D140" s="16">
        <v>0</v>
      </c>
      <c r="E140" s="16">
        <v>0</v>
      </c>
      <c r="F140" s="16">
        <v>0</v>
      </c>
      <c r="G140" s="16">
        <v>0</v>
      </c>
      <c r="H140" s="16">
        <v>0</v>
      </c>
      <c r="I140" s="16">
        <v>0</v>
      </c>
      <c r="J140" s="16">
        <v>0</v>
      </c>
      <c r="K140" s="16">
        <v>0</v>
      </c>
      <c r="L140" s="16">
        <v>0</v>
      </c>
      <c r="M140" s="16">
        <v>0</v>
      </c>
      <c r="N140" s="16">
        <v>0</v>
      </c>
      <c r="O140" s="16">
        <v>0</v>
      </c>
      <c r="P140" s="16">
        <v>0</v>
      </c>
      <c r="Q140" s="16">
        <v>0</v>
      </c>
      <c r="R140" s="16">
        <v>0</v>
      </c>
      <c r="S140" s="16">
        <v>0</v>
      </c>
      <c r="T140" s="16">
        <v>0</v>
      </c>
      <c r="U140" s="16">
        <v>0</v>
      </c>
      <c r="V140" s="16">
        <v>0</v>
      </c>
      <c r="W140" s="16">
        <v>0</v>
      </c>
      <c r="X140" s="16">
        <v>0</v>
      </c>
      <c r="Y140" s="16">
        <v>0</v>
      </c>
      <c r="Z140" s="16">
        <v>0</v>
      </c>
      <c r="AA140" s="16">
        <v>0</v>
      </c>
      <c r="AB140" s="16">
        <v>0</v>
      </c>
      <c r="AC140" s="16">
        <v>0</v>
      </c>
      <c r="AD140" s="13" t="s">
        <v>13</v>
      </c>
    </row>
    <row r="141" spans="1:30" ht="15" customHeight="1" x14ac:dyDescent="0.25">
      <c r="A141" s="7" t="s">
        <v>180</v>
      </c>
      <c r="B141" s="11" t="s">
        <v>92</v>
      </c>
      <c r="C141" s="16">
        <v>0.216367</v>
      </c>
      <c r="D141" s="16">
        <v>0.22589500000000001</v>
      </c>
      <c r="E141" s="16">
        <v>0.219635</v>
      </c>
      <c r="F141" s="16">
        <v>0.215478</v>
      </c>
      <c r="G141" s="16">
        <v>0.21318500000000001</v>
      </c>
      <c r="H141" s="16">
        <v>0.20996999999999999</v>
      </c>
      <c r="I141" s="16">
        <v>0.21037900000000001</v>
      </c>
      <c r="J141" s="16">
        <v>0.20948700000000001</v>
      </c>
      <c r="K141" s="16">
        <v>0.20952899999999999</v>
      </c>
      <c r="L141" s="16">
        <v>0.21005699999999999</v>
      </c>
      <c r="M141" s="16">
        <v>0.20974799999999999</v>
      </c>
      <c r="N141" s="16">
        <v>0.20999100000000001</v>
      </c>
      <c r="O141" s="16">
        <v>0.20877799999999999</v>
      </c>
      <c r="P141" s="16">
        <v>0.20740600000000001</v>
      </c>
      <c r="Q141" s="16">
        <v>0.206897</v>
      </c>
      <c r="R141" s="16">
        <v>0.206062</v>
      </c>
      <c r="S141" s="16">
        <v>0.20490900000000001</v>
      </c>
      <c r="T141" s="16">
        <v>0.20508399999999999</v>
      </c>
      <c r="U141" s="16">
        <v>0.20586599999999999</v>
      </c>
      <c r="V141" s="16">
        <v>0.20530300000000001</v>
      </c>
      <c r="W141" s="16">
        <v>0.20460100000000001</v>
      </c>
      <c r="X141" s="16">
        <v>0.20388999999999999</v>
      </c>
      <c r="Y141" s="16">
        <v>0.20427300000000001</v>
      </c>
      <c r="Z141" s="16">
        <v>0.202708</v>
      </c>
      <c r="AA141" s="16">
        <v>0.200903</v>
      </c>
      <c r="AB141" s="16">
        <v>0.19964699999999999</v>
      </c>
      <c r="AC141" s="16">
        <v>0.19834599999999999</v>
      </c>
      <c r="AD141" s="13">
        <v>-5.189E-3</v>
      </c>
    </row>
    <row r="142" spans="1:30" ht="15" customHeight="1" x14ac:dyDescent="0.25">
      <c r="A142" s="7" t="s">
        <v>181</v>
      </c>
      <c r="B142" s="11" t="s">
        <v>94</v>
      </c>
      <c r="C142" s="16">
        <v>0</v>
      </c>
      <c r="D142" s="16">
        <v>0</v>
      </c>
      <c r="E142" s="16">
        <v>2.4450000000000001E-3</v>
      </c>
      <c r="F142" s="16">
        <v>6.4310000000000001E-3</v>
      </c>
      <c r="G142" s="16">
        <v>1.3662000000000001E-2</v>
      </c>
      <c r="H142" s="16">
        <v>1.7958999999999999E-2</v>
      </c>
      <c r="I142" s="16">
        <v>3.0596000000000002E-2</v>
      </c>
      <c r="J142" s="16">
        <v>3.6902999999999998E-2</v>
      </c>
      <c r="K142" s="16">
        <v>4.1049000000000002E-2</v>
      </c>
      <c r="L142" s="16">
        <v>4.7128999999999997E-2</v>
      </c>
      <c r="M142" s="16">
        <v>5.1492999999999997E-2</v>
      </c>
      <c r="N142" s="16">
        <v>5.3661E-2</v>
      </c>
      <c r="O142" s="16">
        <v>5.3509000000000001E-2</v>
      </c>
      <c r="P142" s="16">
        <v>5.2927000000000002E-2</v>
      </c>
      <c r="Q142" s="16">
        <v>5.3032000000000003E-2</v>
      </c>
      <c r="R142" s="16">
        <v>5.3015E-2</v>
      </c>
      <c r="S142" s="16">
        <v>5.4245000000000002E-2</v>
      </c>
      <c r="T142" s="16">
        <v>5.6262E-2</v>
      </c>
      <c r="U142" s="16">
        <v>5.9017E-2</v>
      </c>
      <c r="V142" s="16">
        <v>6.0817999999999997E-2</v>
      </c>
      <c r="W142" s="16">
        <v>6.1832999999999999E-2</v>
      </c>
      <c r="X142" s="16">
        <v>6.2118E-2</v>
      </c>
      <c r="Y142" s="16">
        <v>6.2445000000000001E-2</v>
      </c>
      <c r="Z142" s="16">
        <v>6.2039999999999998E-2</v>
      </c>
      <c r="AA142" s="16">
        <v>6.1538000000000002E-2</v>
      </c>
      <c r="AB142" s="16">
        <v>6.1179999999999998E-2</v>
      </c>
      <c r="AC142" s="16">
        <v>6.0694999999999999E-2</v>
      </c>
      <c r="AD142" s="13" t="s">
        <v>13</v>
      </c>
    </row>
    <row r="143" spans="1:30" ht="15" customHeight="1" x14ac:dyDescent="0.25">
      <c r="A143" s="7" t="s">
        <v>182</v>
      </c>
      <c r="B143" s="11" t="s">
        <v>96</v>
      </c>
      <c r="C143" s="16">
        <v>1.311232</v>
      </c>
      <c r="D143" s="16">
        <v>1.2980430000000001</v>
      </c>
      <c r="E143" s="16">
        <v>1.2927200000000001</v>
      </c>
      <c r="F143" s="16">
        <v>1.2750900000000001</v>
      </c>
      <c r="G143" s="16">
        <v>1.268084</v>
      </c>
      <c r="H143" s="16">
        <v>1.263846</v>
      </c>
      <c r="I143" s="16">
        <v>1.2664979999999999</v>
      </c>
      <c r="J143" s="16">
        <v>1.265215</v>
      </c>
      <c r="K143" s="16">
        <v>1.261647</v>
      </c>
      <c r="L143" s="16">
        <v>1.253282</v>
      </c>
      <c r="M143" s="16">
        <v>1.247125</v>
      </c>
      <c r="N143" s="16">
        <v>1.243395</v>
      </c>
      <c r="O143" s="16">
        <v>1.2364539999999999</v>
      </c>
      <c r="P143" s="16">
        <v>1.2265410000000001</v>
      </c>
      <c r="Q143" s="16">
        <v>1.2210319999999999</v>
      </c>
      <c r="R143" s="16">
        <v>1.213935</v>
      </c>
      <c r="S143" s="16">
        <v>1.2041029999999999</v>
      </c>
      <c r="T143" s="16">
        <v>1.1980729999999999</v>
      </c>
      <c r="U143" s="16">
        <v>1.1971590000000001</v>
      </c>
      <c r="V143" s="16">
        <v>1.1908350000000001</v>
      </c>
      <c r="W143" s="16">
        <v>1.1829480000000001</v>
      </c>
      <c r="X143" s="16">
        <v>1.17435</v>
      </c>
      <c r="Y143" s="16">
        <v>1.168425</v>
      </c>
      <c r="Z143" s="16">
        <v>1.1588590000000001</v>
      </c>
      <c r="AA143" s="16">
        <v>1.1496740000000001</v>
      </c>
      <c r="AB143" s="16">
        <v>1.140306</v>
      </c>
      <c r="AC143" s="16">
        <v>1.1299669999999999</v>
      </c>
      <c r="AD143" s="13">
        <v>-5.5310000000000003E-3</v>
      </c>
    </row>
    <row r="144" spans="1:30" ht="15" customHeight="1" x14ac:dyDescent="0.25">
      <c r="A144" s="7" t="s">
        <v>183</v>
      </c>
      <c r="B144" s="11" t="s">
        <v>98</v>
      </c>
      <c r="C144" s="16">
        <v>7.8449000000000005E-2</v>
      </c>
      <c r="D144" s="16">
        <v>7.2204000000000004E-2</v>
      </c>
      <c r="E144" s="16">
        <v>6.6067000000000001E-2</v>
      </c>
      <c r="F144" s="16">
        <v>5.9049999999999998E-2</v>
      </c>
      <c r="G144" s="16">
        <v>5.6029000000000002E-2</v>
      </c>
      <c r="H144" s="16">
        <v>5.4551000000000002E-2</v>
      </c>
      <c r="I144" s="16">
        <v>4.8468999999999998E-2</v>
      </c>
      <c r="J144" s="16">
        <v>4.9966000000000003E-2</v>
      </c>
      <c r="K144" s="16">
        <v>5.0698E-2</v>
      </c>
      <c r="L144" s="16">
        <v>5.0215999999999997E-2</v>
      </c>
      <c r="M144" s="16">
        <v>4.9776000000000001E-2</v>
      </c>
      <c r="N144" s="16">
        <v>5.1251999999999999E-2</v>
      </c>
      <c r="O144" s="16">
        <v>5.1423000000000003E-2</v>
      </c>
      <c r="P144" s="16">
        <v>4.9938999999999997E-2</v>
      </c>
      <c r="Q144" s="16">
        <v>4.8739999999999999E-2</v>
      </c>
      <c r="R144" s="16">
        <v>4.836E-2</v>
      </c>
      <c r="S144" s="16">
        <v>4.6892999999999997E-2</v>
      </c>
      <c r="T144" s="16">
        <v>4.5298999999999999E-2</v>
      </c>
      <c r="U144" s="16">
        <v>4.3698000000000001E-2</v>
      </c>
      <c r="V144" s="16">
        <v>4.2291000000000002E-2</v>
      </c>
      <c r="W144" s="16">
        <v>4.0804E-2</v>
      </c>
      <c r="X144" s="16">
        <v>3.9398000000000002E-2</v>
      </c>
      <c r="Y144" s="16">
        <v>3.7920000000000002E-2</v>
      </c>
      <c r="Z144" s="16">
        <v>3.6694999999999998E-2</v>
      </c>
      <c r="AA144" s="16">
        <v>3.5346000000000002E-2</v>
      </c>
      <c r="AB144" s="16">
        <v>3.4171E-2</v>
      </c>
      <c r="AC144" s="16">
        <v>3.2960999999999997E-2</v>
      </c>
      <c r="AD144" s="13">
        <v>-3.0880000000000001E-2</v>
      </c>
    </row>
    <row r="145" spans="1:30" ht="15" customHeight="1" x14ac:dyDescent="0.25">
      <c r="A145" s="7" t="s">
        <v>184</v>
      </c>
      <c r="B145" s="11" t="s">
        <v>54</v>
      </c>
      <c r="C145" s="16">
        <v>0.121561</v>
      </c>
      <c r="D145" s="16">
        <v>0.112999</v>
      </c>
      <c r="E145" s="16">
        <v>0.110443</v>
      </c>
      <c r="F145" s="16">
        <v>0.106658</v>
      </c>
      <c r="G145" s="16">
        <v>0.101478</v>
      </c>
      <c r="H145" s="16">
        <v>9.9776000000000004E-2</v>
      </c>
      <c r="I145" s="16">
        <v>9.8741999999999996E-2</v>
      </c>
      <c r="J145" s="16">
        <v>9.7586999999999993E-2</v>
      </c>
      <c r="K145" s="16">
        <v>9.6717999999999998E-2</v>
      </c>
      <c r="L145" s="16">
        <v>9.5633999999999997E-2</v>
      </c>
      <c r="M145" s="16">
        <v>9.4825999999999994E-2</v>
      </c>
      <c r="N145" s="16">
        <v>9.4493999999999995E-2</v>
      </c>
      <c r="O145" s="16">
        <v>9.4196000000000002E-2</v>
      </c>
      <c r="P145" s="16">
        <v>9.3675999999999995E-2</v>
      </c>
      <c r="Q145" s="16">
        <v>9.2813000000000007E-2</v>
      </c>
      <c r="R145" s="16">
        <v>9.1761999999999996E-2</v>
      </c>
      <c r="S145" s="16">
        <v>9.0469999999999995E-2</v>
      </c>
      <c r="T145" s="16">
        <v>8.9191999999999994E-2</v>
      </c>
      <c r="U145" s="16">
        <v>8.8281999999999999E-2</v>
      </c>
      <c r="V145" s="16">
        <v>8.7210999999999997E-2</v>
      </c>
      <c r="W145" s="16">
        <v>8.6203000000000002E-2</v>
      </c>
      <c r="X145" s="16">
        <v>8.5226999999999997E-2</v>
      </c>
      <c r="Y145" s="16">
        <v>8.4277000000000005E-2</v>
      </c>
      <c r="Z145" s="16">
        <v>8.3392999999999995E-2</v>
      </c>
      <c r="AA145" s="16">
        <v>8.2563999999999999E-2</v>
      </c>
      <c r="AB145" s="16">
        <v>8.1909999999999997E-2</v>
      </c>
      <c r="AC145" s="16">
        <v>8.1258999999999998E-2</v>
      </c>
      <c r="AD145" s="13">
        <v>-1.3103E-2</v>
      </c>
    </row>
    <row r="146" spans="1:30" ht="15" customHeight="1" x14ac:dyDescent="0.25">
      <c r="A146" s="7" t="s">
        <v>185</v>
      </c>
      <c r="B146" s="11" t="s">
        <v>128</v>
      </c>
      <c r="C146" s="16">
        <v>0</v>
      </c>
      <c r="D146" s="16">
        <v>0</v>
      </c>
      <c r="E146" s="16">
        <v>0</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3" t="s">
        <v>13</v>
      </c>
    </row>
    <row r="147" spans="1:30" ht="15" customHeight="1" x14ac:dyDescent="0.25">
      <c r="A147" s="7" t="s">
        <v>186</v>
      </c>
      <c r="B147" s="11" t="s">
        <v>101</v>
      </c>
      <c r="C147" s="16">
        <v>0.20000999999999999</v>
      </c>
      <c r="D147" s="16">
        <v>0.18520300000000001</v>
      </c>
      <c r="E147" s="16">
        <v>0.17651</v>
      </c>
      <c r="F147" s="16">
        <v>0.165709</v>
      </c>
      <c r="G147" s="16">
        <v>0.15750800000000001</v>
      </c>
      <c r="H147" s="16">
        <v>0.15432599999999999</v>
      </c>
      <c r="I147" s="16">
        <v>0.14721000000000001</v>
      </c>
      <c r="J147" s="16">
        <v>0.14755299999999999</v>
      </c>
      <c r="K147" s="16">
        <v>0.14741599999999999</v>
      </c>
      <c r="L147" s="16">
        <v>0.14585000000000001</v>
      </c>
      <c r="M147" s="16">
        <v>0.14460200000000001</v>
      </c>
      <c r="N147" s="16">
        <v>0.14574599999999999</v>
      </c>
      <c r="O147" s="16">
        <v>0.145619</v>
      </c>
      <c r="P147" s="16">
        <v>0.14361499999999999</v>
      </c>
      <c r="Q147" s="16">
        <v>0.14155400000000001</v>
      </c>
      <c r="R147" s="16">
        <v>0.140122</v>
      </c>
      <c r="S147" s="16">
        <v>0.13736300000000001</v>
      </c>
      <c r="T147" s="16">
        <v>0.134491</v>
      </c>
      <c r="U147" s="16">
        <v>0.13197999999999999</v>
      </c>
      <c r="V147" s="16">
        <v>0.12950200000000001</v>
      </c>
      <c r="W147" s="16">
        <v>0.12700600000000001</v>
      </c>
      <c r="X147" s="16">
        <v>0.124626</v>
      </c>
      <c r="Y147" s="16">
        <v>0.122197</v>
      </c>
      <c r="Z147" s="16">
        <v>0.120088</v>
      </c>
      <c r="AA147" s="16">
        <v>0.11791</v>
      </c>
      <c r="AB147" s="16">
        <v>0.116081</v>
      </c>
      <c r="AC147" s="16">
        <v>0.11422</v>
      </c>
      <c r="AD147" s="13">
        <v>-1.9147000000000001E-2</v>
      </c>
    </row>
    <row r="148" spans="1:30" ht="15" customHeight="1" x14ac:dyDescent="0.25">
      <c r="A148" s="7" t="s">
        <v>187</v>
      </c>
      <c r="B148" s="11" t="s">
        <v>131</v>
      </c>
      <c r="C148" s="16">
        <v>0.104492</v>
      </c>
      <c r="D148" s="16">
        <v>0.108128</v>
      </c>
      <c r="E148" s="16">
        <v>0.107048</v>
      </c>
      <c r="F148" s="16">
        <v>0.103822</v>
      </c>
      <c r="G148" s="16">
        <v>0.105242</v>
      </c>
      <c r="H148" s="16">
        <v>0.10186099999999999</v>
      </c>
      <c r="I148" s="16">
        <v>9.869E-2</v>
      </c>
      <c r="J148" s="16">
        <v>9.5316999999999999E-2</v>
      </c>
      <c r="K148" s="16">
        <v>9.3462000000000003E-2</v>
      </c>
      <c r="L148" s="16">
        <v>9.0643000000000001E-2</v>
      </c>
      <c r="M148" s="16">
        <v>8.8756000000000002E-2</v>
      </c>
      <c r="N148" s="16">
        <v>8.7360999999999994E-2</v>
      </c>
      <c r="O148" s="16">
        <v>8.6113999999999996E-2</v>
      </c>
      <c r="P148" s="16">
        <v>8.5052000000000003E-2</v>
      </c>
      <c r="Q148" s="16">
        <v>8.4214999999999998E-2</v>
      </c>
      <c r="R148" s="16">
        <v>8.3073999999999995E-2</v>
      </c>
      <c r="S148" s="16">
        <v>8.1773999999999999E-2</v>
      </c>
      <c r="T148" s="16">
        <v>8.0659999999999996E-2</v>
      </c>
      <c r="U148" s="16">
        <v>7.9741000000000006E-2</v>
      </c>
      <c r="V148" s="16">
        <v>7.8746999999999998E-2</v>
      </c>
      <c r="W148" s="16">
        <v>7.7560000000000004E-2</v>
      </c>
      <c r="X148" s="16">
        <v>7.7020000000000005E-2</v>
      </c>
      <c r="Y148" s="16">
        <v>7.6534000000000005E-2</v>
      </c>
      <c r="Z148" s="16">
        <v>7.5267000000000001E-2</v>
      </c>
      <c r="AA148" s="16">
        <v>7.4812000000000003E-2</v>
      </c>
      <c r="AB148" s="16">
        <v>7.3935000000000001E-2</v>
      </c>
      <c r="AC148" s="16">
        <v>7.2857000000000005E-2</v>
      </c>
      <c r="AD148" s="13">
        <v>-1.5668999999999999E-2</v>
      </c>
    </row>
    <row r="149" spans="1:30" ht="15" customHeight="1" x14ac:dyDescent="0.25">
      <c r="A149" s="7" t="s">
        <v>188</v>
      </c>
      <c r="B149" s="11" t="s">
        <v>103</v>
      </c>
      <c r="C149" s="16">
        <v>0.21152000000000001</v>
      </c>
      <c r="D149" s="16">
        <v>0.20511499999999999</v>
      </c>
      <c r="E149" s="16">
        <v>0.19031200000000001</v>
      </c>
      <c r="F149" s="16">
        <v>0.184138</v>
      </c>
      <c r="G149" s="16">
        <v>0.18126400000000001</v>
      </c>
      <c r="H149" s="16">
        <v>0.179456</v>
      </c>
      <c r="I149" s="16">
        <v>0.17715500000000001</v>
      </c>
      <c r="J149" s="16">
        <v>0.17504700000000001</v>
      </c>
      <c r="K149" s="16">
        <v>0.17402200000000001</v>
      </c>
      <c r="L149" s="16">
        <v>0.173377</v>
      </c>
      <c r="M149" s="16">
        <v>0.173212</v>
      </c>
      <c r="N149" s="16">
        <v>0.17383199999999999</v>
      </c>
      <c r="O149" s="16">
        <v>0.174813</v>
      </c>
      <c r="P149" s="16">
        <v>0.17509</v>
      </c>
      <c r="Q149" s="16">
        <v>0.17370099999999999</v>
      </c>
      <c r="R149" s="16">
        <v>0.17243900000000001</v>
      </c>
      <c r="S149" s="16">
        <v>0.171403</v>
      </c>
      <c r="T149" s="16">
        <v>0.16997699999999999</v>
      </c>
      <c r="U149" s="16">
        <v>0.16819300000000001</v>
      </c>
      <c r="V149" s="16">
        <v>0.16573399999999999</v>
      </c>
      <c r="W149" s="16">
        <v>0.16416</v>
      </c>
      <c r="X149" s="16">
        <v>0.162775</v>
      </c>
      <c r="Y149" s="16">
        <v>0.16132099999999999</v>
      </c>
      <c r="Z149" s="16">
        <v>0.159964</v>
      </c>
      <c r="AA149" s="16">
        <v>0.158998</v>
      </c>
      <c r="AB149" s="16">
        <v>0.15796199999999999</v>
      </c>
      <c r="AC149" s="16">
        <v>0.157217</v>
      </c>
      <c r="AD149" s="13">
        <v>-1.0581E-2</v>
      </c>
    </row>
    <row r="150" spans="1:30" ht="15" customHeight="1" x14ac:dyDescent="0.25">
      <c r="A150" s="7" t="s">
        <v>189</v>
      </c>
      <c r="B150" s="11" t="s">
        <v>105</v>
      </c>
      <c r="C150" s="16">
        <v>0.47503400000000001</v>
      </c>
      <c r="D150" s="16">
        <v>0.45256299999999999</v>
      </c>
      <c r="E150" s="16">
        <v>0.44086199999999998</v>
      </c>
      <c r="F150" s="16">
        <v>0.42831999999999998</v>
      </c>
      <c r="G150" s="16">
        <v>0.429394</v>
      </c>
      <c r="H150" s="16">
        <v>0.43266500000000002</v>
      </c>
      <c r="I150" s="16">
        <v>0.43306</v>
      </c>
      <c r="J150" s="16">
        <v>0.43307600000000002</v>
      </c>
      <c r="K150" s="16">
        <v>0.43329000000000001</v>
      </c>
      <c r="L150" s="16">
        <v>0.43273600000000001</v>
      </c>
      <c r="M150" s="16">
        <v>0.43053200000000003</v>
      </c>
      <c r="N150" s="16">
        <v>0.42937700000000001</v>
      </c>
      <c r="O150" s="16">
        <v>0.428064</v>
      </c>
      <c r="P150" s="16">
        <v>0.42596699999999998</v>
      </c>
      <c r="Q150" s="16">
        <v>0.42232399999999998</v>
      </c>
      <c r="R150" s="16">
        <v>0.41851500000000003</v>
      </c>
      <c r="S150" s="16">
        <v>0.41349399999999997</v>
      </c>
      <c r="T150" s="16">
        <v>0.40882800000000002</v>
      </c>
      <c r="U150" s="16">
        <v>0.40510200000000002</v>
      </c>
      <c r="V150" s="16">
        <v>0.400729</v>
      </c>
      <c r="W150" s="16">
        <v>0.39633499999999999</v>
      </c>
      <c r="X150" s="16">
        <v>0.392096</v>
      </c>
      <c r="Y150" s="16">
        <v>0.38853900000000002</v>
      </c>
      <c r="Z150" s="16">
        <v>0.385241</v>
      </c>
      <c r="AA150" s="16">
        <v>0.38188800000000001</v>
      </c>
      <c r="AB150" s="16">
        <v>0.37889899999999999</v>
      </c>
      <c r="AC150" s="16">
        <v>0.37578800000000001</v>
      </c>
      <c r="AD150" s="13">
        <v>-7.4079999999999997E-3</v>
      </c>
    </row>
    <row r="151" spans="1:30" ht="15" customHeight="1" x14ac:dyDescent="0.25">
      <c r="A151" s="7" t="s">
        <v>190</v>
      </c>
      <c r="B151" s="10" t="s">
        <v>107</v>
      </c>
      <c r="C151" s="17">
        <v>3.4175330000000002</v>
      </c>
      <c r="D151" s="17">
        <v>3.3659500000000002</v>
      </c>
      <c r="E151" s="17">
        <v>3.2904239999999998</v>
      </c>
      <c r="F151" s="17">
        <v>3.2298439999999999</v>
      </c>
      <c r="G151" s="17">
        <v>3.2357360000000002</v>
      </c>
      <c r="H151" s="17">
        <v>3.2486470000000001</v>
      </c>
      <c r="I151" s="17">
        <v>3.2481969999999998</v>
      </c>
      <c r="J151" s="17">
        <v>3.241987</v>
      </c>
      <c r="K151" s="17">
        <v>3.233447</v>
      </c>
      <c r="L151" s="17">
        <v>3.217387</v>
      </c>
      <c r="M151" s="17">
        <v>3.2026140000000001</v>
      </c>
      <c r="N151" s="17">
        <v>3.1962619999999999</v>
      </c>
      <c r="O151" s="17">
        <v>3.1855250000000002</v>
      </c>
      <c r="P151" s="17">
        <v>3.165654</v>
      </c>
      <c r="Q151" s="17">
        <v>3.1456689999999998</v>
      </c>
      <c r="R151" s="17">
        <v>3.1248559999999999</v>
      </c>
      <c r="S151" s="17">
        <v>3.0978210000000002</v>
      </c>
      <c r="T151" s="17">
        <v>3.0781079999999998</v>
      </c>
      <c r="U151" s="17">
        <v>3.0658509999999999</v>
      </c>
      <c r="V151" s="17">
        <v>3.0438710000000002</v>
      </c>
      <c r="W151" s="17">
        <v>3.020848</v>
      </c>
      <c r="X151" s="17">
        <v>2.9957240000000001</v>
      </c>
      <c r="Y151" s="17">
        <v>2.9762840000000002</v>
      </c>
      <c r="Z151" s="17">
        <v>2.9539800000000001</v>
      </c>
      <c r="AA151" s="17">
        <v>2.932795</v>
      </c>
      <c r="AB151" s="17">
        <v>2.9129610000000001</v>
      </c>
      <c r="AC151" s="17">
        <v>2.8887269999999998</v>
      </c>
      <c r="AD151" s="15">
        <v>-6.097E-3</v>
      </c>
    </row>
    <row r="152" spans="1:30" ht="15" customHeight="1" x14ac:dyDescent="0.25">
      <c r="A152" s="7" t="s">
        <v>191</v>
      </c>
      <c r="B152" s="11" t="s">
        <v>109</v>
      </c>
      <c r="C152" s="16">
        <v>0.96200300000000005</v>
      </c>
      <c r="D152" s="16">
        <v>0.89355799999999996</v>
      </c>
      <c r="E152" s="16">
        <v>0.87120699999999995</v>
      </c>
      <c r="F152" s="16">
        <v>0.84975199999999995</v>
      </c>
      <c r="G152" s="16">
        <v>0.84622600000000003</v>
      </c>
      <c r="H152" s="16">
        <v>0.85297100000000003</v>
      </c>
      <c r="I152" s="16">
        <v>0.85513300000000003</v>
      </c>
      <c r="J152" s="16">
        <v>0.85308499999999998</v>
      </c>
      <c r="K152" s="16">
        <v>0.85064799999999996</v>
      </c>
      <c r="L152" s="16">
        <v>0.84820899999999999</v>
      </c>
      <c r="M152" s="16">
        <v>0.84121400000000002</v>
      </c>
      <c r="N152" s="16">
        <v>0.83574400000000004</v>
      </c>
      <c r="O152" s="16">
        <v>0.82998700000000003</v>
      </c>
      <c r="P152" s="16">
        <v>0.82274000000000003</v>
      </c>
      <c r="Q152" s="16">
        <v>0.81276999999999999</v>
      </c>
      <c r="R152" s="16">
        <v>0.80180600000000002</v>
      </c>
      <c r="S152" s="16">
        <v>0.788327</v>
      </c>
      <c r="T152" s="16">
        <v>0.776505</v>
      </c>
      <c r="U152" s="16">
        <v>0.767266</v>
      </c>
      <c r="V152" s="16">
        <v>0.756884</v>
      </c>
      <c r="W152" s="16">
        <v>0.74488200000000004</v>
      </c>
      <c r="X152" s="16">
        <v>0.734518</v>
      </c>
      <c r="Y152" s="16">
        <v>0.72435000000000005</v>
      </c>
      <c r="Z152" s="16">
        <v>0.71613099999999996</v>
      </c>
      <c r="AA152" s="16">
        <v>0.70742400000000005</v>
      </c>
      <c r="AB152" s="16">
        <v>0.69911000000000001</v>
      </c>
      <c r="AC152" s="16">
        <v>0.68986499999999995</v>
      </c>
      <c r="AD152" s="13">
        <v>-1.0295E-2</v>
      </c>
    </row>
    <row r="153" spans="1:30" ht="15" customHeight="1" x14ac:dyDescent="0.25">
      <c r="A153" s="7" t="s">
        <v>192</v>
      </c>
      <c r="B153" s="10" t="s">
        <v>35</v>
      </c>
      <c r="C153" s="17">
        <v>4.3795359999999999</v>
      </c>
      <c r="D153" s="17">
        <v>4.2595080000000003</v>
      </c>
      <c r="E153" s="17">
        <v>4.161632</v>
      </c>
      <c r="F153" s="17">
        <v>4.0795960000000004</v>
      </c>
      <c r="G153" s="17">
        <v>4.0819619999999999</v>
      </c>
      <c r="H153" s="17">
        <v>4.1016170000000001</v>
      </c>
      <c r="I153" s="17">
        <v>4.1033299999999997</v>
      </c>
      <c r="J153" s="17">
        <v>4.095072</v>
      </c>
      <c r="K153" s="17">
        <v>4.0840949999999996</v>
      </c>
      <c r="L153" s="17">
        <v>4.0655960000000002</v>
      </c>
      <c r="M153" s="17">
        <v>4.0438280000000004</v>
      </c>
      <c r="N153" s="17">
        <v>4.032006</v>
      </c>
      <c r="O153" s="17">
        <v>4.0155120000000002</v>
      </c>
      <c r="P153" s="17">
        <v>3.988394</v>
      </c>
      <c r="Q153" s="17">
        <v>3.9584389999999998</v>
      </c>
      <c r="R153" s="17">
        <v>3.9266610000000002</v>
      </c>
      <c r="S153" s="17">
        <v>3.8861479999999999</v>
      </c>
      <c r="T153" s="17">
        <v>3.8546140000000002</v>
      </c>
      <c r="U153" s="17">
        <v>3.833116</v>
      </c>
      <c r="V153" s="17">
        <v>3.8007550000000001</v>
      </c>
      <c r="W153" s="17">
        <v>3.76573</v>
      </c>
      <c r="X153" s="17">
        <v>3.7302409999999999</v>
      </c>
      <c r="Y153" s="17">
        <v>3.700634</v>
      </c>
      <c r="Z153" s="17">
        <v>3.6701109999999999</v>
      </c>
      <c r="AA153" s="17">
        <v>3.6402190000000001</v>
      </c>
      <c r="AB153" s="17">
        <v>3.6120709999999998</v>
      </c>
      <c r="AC153" s="17">
        <v>3.578592</v>
      </c>
      <c r="AD153" s="15">
        <v>-6.9430000000000004E-3</v>
      </c>
    </row>
    <row r="155" spans="1:30" ht="15" customHeight="1" x14ac:dyDescent="0.25">
      <c r="B155" s="10" t="s">
        <v>193</v>
      </c>
    </row>
    <row r="156" spans="1:30" ht="15" customHeight="1" x14ac:dyDescent="0.25">
      <c r="A156" s="7" t="s">
        <v>194</v>
      </c>
      <c r="B156" s="11" t="s">
        <v>195</v>
      </c>
      <c r="C156" s="16">
        <v>25.683958000000001</v>
      </c>
      <c r="D156" s="16">
        <v>25.849295000000001</v>
      </c>
      <c r="E156" s="16">
        <v>26.148788</v>
      </c>
      <c r="F156" s="16">
        <v>26.346481000000001</v>
      </c>
      <c r="G156" s="16">
        <v>26.585191999999999</v>
      </c>
      <c r="H156" s="16">
        <v>26.800913000000001</v>
      </c>
      <c r="I156" s="16">
        <v>27.025901999999999</v>
      </c>
      <c r="J156" s="16">
        <v>27.301352999999999</v>
      </c>
      <c r="K156" s="16">
        <v>27.626954999999999</v>
      </c>
      <c r="L156" s="16">
        <v>28.012536999999998</v>
      </c>
      <c r="M156" s="16">
        <v>28.430295999999998</v>
      </c>
      <c r="N156" s="16">
        <v>28.887696999999999</v>
      </c>
      <c r="O156" s="16">
        <v>29.393360000000001</v>
      </c>
      <c r="P156" s="16">
        <v>29.911200999999998</v>
      </c>
      <c r="Q156" s="16">
        <v>30.409084</v>
      </c>
      <c r="R156" s="16">
        <v>30.921154000000001</v>
      </c>
      <c r="S156" s="16">
        <v>31.462752999999999</v>
      </c>
      <c r="T156" s="16">
        <v>31.985524999999999</v>
      </c>
      <c r="U156" s="16">
        <v>32.536330999999997</v>
      </c>
      <c r="V156" s="16">
        <v>33.071582999999997</v>
      </c>
      <c r="W156" s="16">
        <v>33.621841000000003</v>
      </c>
      <c r="X156" s="16">
        <v>34.179543000000002</v>
      </c>
      <c r="Y156" s="16">
        <v>34.659416</v>
      </c>
      <c r="Z156" s="16">
        <v>35.074787000000001</v>
      </c>
      <c r="AA156" s="16">
        <v>35.432789</v>
      </c>
      <c r="AB156" s="16">
        <v>35.702202</v>
      </c>
      <c r="AC156" s="16">
        <v>35.917042000000002</v>
      </c>
      <c r="AD156" s="13">
        <v>1.3244000000000001E-2</v>
      </c>
    </row>
    <row r="157" spans="1:30" ht="15" customHeight="1" x14ac:dyDescent="0.25">
      <c r="A157" s="7" t="s">
        <v>196</v>
      </c>
      <c r="B157" s="11" t="s">
        <v>197</v>
      </c>
      <c r="C157" s="16">
        <v>138.33073400000001</v>
      </c>
      <c r="D157" s="16">
        <v>139.06578099999999</v>
      </c>
      <c r="E157" s="16">
        <v>140.557648</v>
      </c>
      <c r="F157" s="16">
        <v>141.544693</v>
      </c>
      <c r="G157" s="16">
        <v>155.474152</v>
      </c>
      <c r="H157" s="16">
        <v>156.57373000000001</v>
      </c>
      <c r="I157" s="16">
        <v>157.729263</v>
      </c>
      <c r="J157" s="16">
        <v>159.15269499999999</v>
      </c>
      <c r="K157" s="16">
        <v>160.84423799999999</v>
      </c>
      <c r="L157" s="16">
        <v>162.85588100000001</v>
      </c>
      <c r="M157" s="16">
        <v>165.045074</v>
      </c>
      <c r="N157" s="16">
        <v>167.45138499999999</v>
      </c>
      <c r="O157" s="16">
        <v>170.12034600000001</v>
      </c>
      <c r="P157" s="16">
        <v>172.86140399999999</v>
      </c>
      <c r="Q157" s="16">
        <v>175.504807</v>
      </c>
      <c r="R157" s="16">
        <v>178.230515</v>
      </c>
      <c r="S157" s="16">
        <v>181.11747700000001</v>
      </c>
      <c r="T157" s="16">
        <v>183.91113300000001</v>
      </c>
      <c r="U157" s="16">
        <v>186.849625</v>
      </c>
      <c r="V157" s="16">
        <v>189.70997600000001</v>
      </c>
      <c r="W157" s="16">
        <v>192.65370200000001</v>
      </c>
      <c r="X157" s="16">
        <v>195.64007599999999</v>
      </c>
      <c r="Y157" s="16">
        <v>198.247467</v>
      </c>
      <c r="Z157" s="16">
        <v>200.53192100000001</v>
      </c>
      <c r="AA157" s="16">
        <v>202.52127100000001</v>
      </c>
      <c r="AB157" s="16">
        <v>204.041504</v>
      </c>
      <c r="AC157" s="16">
        <v>205.25199900000001</v>
      </c>
      <c r="AD157" s="13">
        <v>1.5694E-2</v>
      </c>
    </row>
    <row r="158" spans="1:30" ht="15" customHeight="1" thickBot="1" x14ac:dyDescent="0.3"/>
    <row r="159" spans="1:30" ht="15" customHeight="1" x14ac:dyDescent="0.25">
      <c r="B159" s="364" t="s">
        <v>198</v>
      </c>
      <c r="C159" s="364"/>
      <c r="D159" s="364"/>
      <c r="E159" s="364"/>
      <c r="F159" s="364"/>
      <c r="G159" s="364"/>
      <c r="H159" s="364"/>
      <c r="I159" s="364"/>
      <c r="J159" s="364"/>
      <c r="K159" s="364"/>
      <c r="L159" s="364"/>
      <c r="M159" s="364"/>
      <c r="N159" s="364"/>
      <c r="O159" s="364"/>
      <c r="P159" s="364"/>
      <c r="Q159" s="364"/>
      <c r="R159" s="364"/>
      <c r="S159" s="364"/>
      <c r="T159" s="364"/>
      <c r="U159" s="364"/>
      <c r="V159" s="364"/>
      <c r="W159" s="364"/>
      <c r="X159" s="364"/>
      <c r="Y159" s="364"/>
      <c r="Z159" s="364"/>
      <c r="AA159" s="364"/>
      <c r="AB159" s="364"/>
      <c r="AC159" s="364"/>
      <c r="AD159" s="364"/>
    </row>
    <row r="160" spans="1:30" ht="15" customHeight="1" x14ac:dyDescent="0.25">
      <c r="B160" s="18" t="s">
        <v>199</v>
      </c>
    </row>
    <row r="161" spans="2:2" ht="15" customHeight="1" x14ac:dyDescent="0.25">
      <c r="B161" s="18" t="s">
        <v>200</v>
      </c>
    </row>
    <row r="162" spans="2:2" ht="15" customHeight="1" x14ac:dyDescent="0.25">
      <c r="B162" s="18" t="s">
        <v>201</v>
      </c>
    </row>
    <row r="163" spans="2:2" ht="15" customHeight="1" x14ac:dyDescent="0.25">
      <c r="B163" s="18" t="s">
        <v>202</v>
      </c>
    </row>
    <row r="164" spans="2:2" ht="15" customHeight="1" x14ac:dyDescent="0.25">
      <c r="B164" s="18" t="s">
        <v>203</v>
      </c>
    </row>
    <row r="165" spans="2:2" ht="15" customHeight="1" x14ac:dyDescent="0.25">
      <c r="B165" s="18" t="s">
        <v>204</v>
      </c>
    </row>
    <row r="166" spans="2:2" ht="15" customHeight="1" x14ac:dyDescent="0.25">
      <c r="B166" s="18" t="s">
        <v>205</v>
      </c>
    </row>
    <row r="167" spans="2:2" ht="15" customHeight="1" x14ac:dyDescent="0.25">
      <c r="B167" s="18" t="s">
        <v>206</v>
      </c>
    </row>
    <row r="168" spans="2:2" ht="15" customHeight="1" x14ac:dyDescent="0.25">
      <c r="B168" s="18" t="s">
        <v>207</v>
      </c>
    </row>
    <row r="169" spans="2:2" ht="15" customHeight="1" x14ac:dyDescent="0.25">
      <c r="B169" s="18" t="s">
        <v>226</v>
      </c>
    </row>
    <row r="170" spans="2:2" ht="15" customHeight="1" x14ac:dyDescent="0.25">
      <c r="B170" s="18" t="s">
        <v>227</v>
      </c>
    </row>
    <row r="171" spans="2:2" ht="15" customHeight="1" x14ac:dyDescent="0.25">
      <c r="B171" s="18" t="s">
        <v>228</v>
      </c>
    </row>
    <row r="172" spans="2:2" ht="15" customHeight="1" x14ac:dyDescent="0.25">
      <c r="B172" s="18" t="s">
        <v>229</v>
      </c>
    </row>
    <row r="173" spans="2:2" ht="15" customHeight="1" x14ac:dyDescent="0.25">
      <c r="B173" s="18" t="s">
        <v>230</v>
      </c>
    </row>
    <row r="174" spans="2:2" ht="15" customHeight="1" x14ac:dyDescent="0.25">
      <c r="B174" s="18" t="s">
        <v>231</v>
      </c>
    </row>
    <row r="175" spans="2:2" ht="15" customHeight="1" x14ac:dyDescent="0.25">
      <c r="B175" s="18" t="s">
        <v>232</v>
      </c>
    </row>
    <row r="176" spans="2:2" ht="15" customHeight="1" x14ac:dyDescent="0.25">
      <c r="B176" s="18" t="s">
        <v>233</v>
      </c>
    </row>
    <row r="177" spans="2:2" ht="15" customHeight="1" x14ac:dyDescent="0.25">
      <c r="B177" s="18" t="s">
        <v>234</v>
      </c>
    </row>
    <row r="178" spans="2:2" ht="15" customHeight="1" x14ac:dyDescent="0.25">
      <c r="B178" s="18" t="s">
        <v>235</v>
      </c>
    </row>
    <row r="179" spans="2:2" ht="15" customHeight="1" x14ac:dyDescent="0.25">
      <c r="B179" s="18" t="s">
        <v>236</v>
      </c>
    </row>
  </sheetData>
  <mergeCells count="1">
    <mergeCell ref="B159:AD15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K11"/>
  <sheetViews>
    <sheetView workbookViewId="0">
      <selection activeCell="H38" sqref="H38"/>
    </sheetView>
  </sheetViews>
  <sheetFormatPr defaultRowHeight="15" x14ac:dyDescent="0.25"/>
  <cols>
    <col min="1" max="1" width="50.42578125" customWidth="1"/>
    <col min="2" max="2" width="45.28515625" customWidth="1"/>
    <col min="3" max="3" width="20" customWidth="1"/>
  </cols>
  <sheetData>
    <row r="1" spans="1:37" x14ac:dyDescent="0.25">
      <c r="A1" s="56" t="s">
        <v>990</v>
      </c>
      <c r="B1" s="56"/>
    </row>
    <row r="2" spans="1:37" x14ac:dyDescent="0.25">
      <c r="A2" t="s">
        <v>1081</v>
      </c>
      <c r="B2">
        <v>76000</v>
      </c>
    </row>
    <row r="4" spans="1:37" x14ac:dyDescent="0.25">
      <c r="A4" s="56" t="s">
        <v>982</v>
      </c>
      <c r="B4" s="56"/>
    </row>
    <row r="5" spans="1:37" x14ac:dyDescent="0.25">
      <c r="A5" t="s">
        <v>4</v>
      </c>
      <c r="B5">
        <v>0.51</v>
      </c>
      <c r="C5" s="3"/>
    </row>
    <row r="6" spans="1:37" x14ac:dyDescent="0.25">
      <c r="A6" t="s">
        <v>5</v>
      </c>
      <c r="B6">
        <f>1.02*B5</f>
        <v>0.5202</v>
      </c>
      <c r="C6" s="3"/>
    </row>
    <row r="8" spans="1:37" x14ac:dyDescent="0.25">
      <c r="A8" s="56" t="s">
        <v>737</v>
      </c>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row>
    <row r="9" spans="1:37" x14ac:dyDescent="0.25">
      <c r="B9">
        <v>2015</v>
      </c>
      <c r="C9">
        <v>2016</v>
      </c>
      <c r="D9">
        <v>2017</v>
      </c>
      <c r="E9">
        <v>2018</v>
      </c>
      <c r="F9">
        <v>2019</v>
      </c>
      <c r="G9">
        <v>2020</v>
      </c>
      <c r="H9">
        <v>2021</v>
      </c>
      <c r="I9">
        <v>2022</v>
      </c>
      <c r="J9">
        <v>2023</v>
      </c>
      <c r="K9">
        <v>2024</v>
      </c>
      <c r="L9">
        <v>2025</v>
      </c>
      <c r="M9">
        <v>2026</v>
      </c>
      <c r="N9">
        <v>2027</v>
      </c>
      <c r="O9">
        <v>2028</v>
      </c>
      <c r="P9">
        <v>2029</v>
      </c>
      <c r="Q9">
        <v>2030</v>
      </c>
      <c r="R9">
        <v>2031</v>
      </c>
      <c r="S9">
        <v>2032</v>
      </c>
      <c r="T9">
        <v>2033</v>
      </c>
      <c r="U9">
        <v>2034</v>
      </c>
      <c r="V9">
        <v>2035</v>
      </c>
      <c r="W9">
        <v>2036</v>
      </c>
      <c r="X9">
        <v>2037</v>
      </c>
      <c r="Y9">
        <v>2038</v>
      </c>
      <c r="Z9">
        <v>2039</v>
      </c>
      <c r="AA9">
        <v>2040</v>
      </c>
      <c r="AB9">
        <v>2041</v>
      </c>
      <c r="AC9">
        <v>2042</v>
      </c>
      <c r="AD9">
        <v>2043</v>
      </c>
      <c r="AE9">
        <v>2044</v>
      </c>
      <c r="AF9">
        <v>2045</v>
      </c>
      <c r="AG9">
        <v>2046</v>
      </c>
      <c r="AH9">
        <v>2047</v>
      </c>
      <c r="AI9">
        <v>2048</v>
      </c>
      <c r="AJ9">
        <v>2049</v>
      </c>
      <c r="AK9">
        <v>2050</v>
      </c>
    </row>
    <row r="10" spans="1:37" x14ac:dyDescent="0.25">
      <c r="A10" t="s">
        <v>6</v>
      </c>
      <c r="B10" s="2">
        <f>$B$2*1000*$B$6*('AEO 2017_Table 24'!C47/'AEO 2017_Table 24'!$C$47)</f>
        <v>39535200</v>
      </c>
      <c r="C10" s="2">
        <f>$B$2*1000*$B$6*('AEO 2017_Table 24'!D47/'AEO 2017_Table 24'!$C$47)</f>
        <v>42337942.505551711</v>
      </c>
      <c r="D10" s="2">
        <f>$B$2*1000*$B$6*('AEO 2017_Table 24'!E47/'AEO 2017_Table 24'!$C$47)</f>
        <v>44755988.996300623</v>
      </c>
      <c r="E10" s="2">
        <f>$B$2*1000*$B$6*('AEO 2017_Table 24'!F47/'AEO 2017_Table 24'!$C$47)</f>
        <v>45681600.870286338</v>
      </c>
      <c r="F10" s="2">
        <f>$B$2*1000*$B$6*('AEO 2017_Table 24'!G47/'AEO 2017_Table 24'!$C$47)</f>
        <v>46271233.755470701</v>
      </c>
      <c r="G10" s="2">
        <f>$B$2*1000*$B$6*('AEO 2017_Table 24'!H47/'AEO 2017_Table 24'!$C$47)</f>
        <v>46548325.276527531</v>
      </c>
      <c r="H10" s="2">
        <f>$B$2*1000*$B$6*('AEO 2017_Table 24'!I47/'AEO 2017_Table 24'!$C$47)</f>
        <v>48175107.913653843</v>
      </c>
      <c r="I10" s="2">
        <f>$B$2*1000*$B$6*('AEO 2017_Table 24'!J47/'AEO 2017_Table 24'!$C$47)</f>
        <v>49489369.521726079</v>
      </c>
      <c r="J10" s="2">
        <f>$B$2*1000*$B$6*('AEO 2017_Table 24'!K47/'AEO 2017_Table 24'!$C$47)</f>
        <v>50632761.317491837</v>
      </c>
      <c r="K10" s="2">
        <f>$B$2*1000*$B$6*('AEO 2017_Table 24'!L47/'AEO 2017_Table 24'!$C$47)</f>
        <v>51467629.378644653</v>
      </c>
      <c r="L10" s="2">
        <f>$B$2*1000*$B$6*('AEO 2017_Table 24'!M47/'AEO 2017_Table 24'!$C$47)</f>
        <v>51947818.898439705</v>
      </c>
      <c r="M10" s="2">
        <f>$B$2*1000*$B$6*('AEO 2017_Table 24'!N47/'AEO 2017_Table 24'!$C$47)</f>
        <v>52656728.609539025</v>
      </c>
      <c r="N10" s="2">
        <f>$B$2*1000*$B$6*('AEO 2017_Table 24'!O47/'AEO 2017_Table 24'!$C$47)</f>
        <v>53213630.741476029</v>
      </c>
      <c r="O10" s="2">
        <f>$B$2*1000*$B$6*('AEO 2017_Table 24'!P47/'AEO 2017_Table 24'!$C$47)</f>
        <v>53648853.603818685</v>
      </c>
      <c r="P10" s="2">
        <f>$B$2*1000*$B$6*('AEO 2017_Table 24'!Q47/'AEO 2017_Table 24'!$C$47)</f>
        <v>54092637.532090165</v>
      </c>
      <c r="Q10" s="2">
        <f>$B$2*1000*$B$6*('AEO 2017_Table 24'!R47/'AEO 2017_Table 24'!$C$47)</f>
        <v>54861407.889449835</v>
      </c>
      <c r="R10" s="2">
        <f>$B$2*1000*$B$6*('AEO 2017_Table 24'!S47/'AEO 2017_Table 24'!$C$47)</f>
        <v>55673753.404234774</v>
      </c>
      <c r="S10" s="2">
        <f>$B$2*1000*$B$6*('AEO 2017_Table 24'!T47/'AEO 2017_Table 24'!$C$47)</f>
        <v>56207305.061812826</v>
      </c>
      <c r="T10" s="2">
        <f>$B$2*1000*$B$6*('AEO 2017_Table 24'!U47/'AEO 2017_Table 24'!$C$47)</f>
        <v>57193480.594598673</v>
      </c>
      <c r="U10" s="2">
        <f>$B$2*1000*$B$6*('AEO 2017_Table 24'!V47/'AEO 2017_Table 24'!$C$47)</f>
        <v>58472379.509915046</v>
      </c>
      <c r="V10" s="2">
        <f>$B$2*1000*$B$6*('AEO 2017_Table 24'!W47/'AEO 2017_Table 24'!$C$47)</f>
        <v>59694346.029550061</v>
      </c>
      <c r="W10" s="2">
        <f>$B$2*1000*$B$6*('AEO 2017_Table 24'!X47/'AEO 2017_Table 24'!$C$47)</f>
        <v>61032719.224730946</v>
      </c>
      <c r="X10" s="2">
        <f>$B$2*1000*$B$6*('AEO 2017_Table 24'!Y47/'AEO 2017_Table 24'!$C$47)</f>
        <v>62426386.389674008</v>
      </c>
      <c r="Y10" s="2">
        <f>$B$2*1000*$B$6*('AEO 2017_Table 24'!Z47/'AEO 2017_Table 24'!$C$47)</f>
        <v>63658874.85732197</v>
      </c>
      <c r="Z10" s="2">
        <f>$B$2*1000*$B$6*('AEO 2017_Table 24'!AA47/'AEO 2017_Table 24'!$C$47)</f>
        <v>65073359.327472344</v>
      </c>
      <c r="AA10" s="2">
        <f>$B$2*1000*$B$6*('AEO 2017_Table 24'!AB47/'AEO 2017_Table 24'!$C$47)</f>
        <v>66868400.172470115</v>
      </c>
      <c r="AB10" s="2">
        <f>$B$2*1000*$B$6*('AEO 2017_Table 24'!AC47/'AEO 2017_Table 24'!$C$47)</f>
        <v>68570678.222340971</v>
      </c>
      <c r="AC10" s="2">
        <f>$B$2*1000*$B$6*('AEO 2017_Table 24'!AD47/'AEO 2017_Table 24'!$C$47)</f>
        <v>70016388.650302276</v>
      </c>
      <c r="AD10" s="2">
        <f>$B$2*1000*$B$6*('AEO 2017_Table 24'!AE47/'AEO 2017_Table 24'!$C$47)</f>
        <v>71945199.418574661</v>
      </c>
      <c r="AE10" s="2">
        <f>$B$2*1000*$B$6*('AEO 2017_Table 24'!AF47/'AEO 2017_Table 24'!$C$47)</f>
        <v>74084216.746266574</v>
      </c>
      <c r="AF10" s="2">
        <f>$B$2*1000*$B$6*('AEO 2017_Table 24'!AG47/'AEO 2017_Table 24'!$C$47)</f>
        <v>76026445.758015424</v>
      </c>
      <c r="AG10" s="2">
        <f>$B$2*1000*$B$6*('AEO 2017_Table 24'!AH47/'AEO 2017_Table 24'!$C$47)</f>
        <v>77983731.439159974</v>
      </c>
      <c r="AH10" s="2">
        <f>$B$2*1000*$B$6*('AEO 2017_Table 24'!AI47/'AEO 2017_Table 24'!$C$47)</f>
        <v>79706867.464385062</v>
      </c>
      <c r="AI10" s="2">
        <f>$B$2*1000*$B$6*('AEO 2017_Table 24'!AJ47/'AEO 2017_Table 24'!$C$47)</f>
        <v>81407925.40984799</v>
      </c>
      <c r="AJ10" s="2">
        <f>$B$2*1000*$B$6*('AEO 2017_Table 24'!AK47/'AEO 2017_Table 24'!$C$47)</f>
        <v>83249844.409203872</v>
      </c>
      <c r="AK10" s="2">
        <f>$B$2*1000*$B$6*('AEO 2017_Table 24'!AL47/'AEO 2017_Table 24'!$C$47)</f>
        <v>85048740.203128532</v>
      </c>
    </row>
    <row r="11" spans="1:37" x14ac:dyDescent="0.25">
      <c r="A11" t="s">
        <v>7</v>
      </c>
      <c r="B11" s="2">
        <f>B10/10^6</f>
        <v>39.535200000000003</v>
      </c>
      <c r="C11" s="2">
        <f>C10/10^6</f>
        <v>42.337942505551709</v>
      </c>
      <c r="D11" s="2">
        <f t="shared" ref="D11:AK11" si="0">D10/10^6</f>
        <v>44.755988996300623</v>
      </c>
      <c r="E11" s="2">
        <f t="shared" si="0"/>
        <v>45.681600870286339</v>
      </c>
      <c r="F11" s="2">
        <f t="shared" si="0"/>
        <v>46.271233755470703</v>
      </c>
      <c r="G11" s="2">
        <f t="shared" si="0"/>
        <v>46.548325276527528</v>
      </c>
      <c r="H11" s="2">
        <f t="shared" si="0"/>
        <v>48.175107913653846</v>
      </c>
      <c r="I11" s="2">
        <f t="shared" si="0"/>
        <v>49.489369521726083</v>
      </c>
      <c r="J11" s="2">
        <f t="shared" si="0"/>
        <v>50.632761317491834</v>
      </c>
      <c r="K11" s="2">
        <f t="shared" si="0"/>
        <v>51.467629378644652</v>
      </c>
      <c r="L11" s="2">
        <f t="shared" si="0"/>
        <v>51.947818898439706</v>
      </c>
      <c r="M11" s="2">
        <f t="shared" si="0"/>
        <v>52.656728609539023</v>
      </c>
      <c r="N11" s="2">
        <f t="shared" si="0"/>
        <v>53.213630741476031</v>
      </c>
      <c r="O11" s="2">
        <f t="shared" si="0"/>
        <v>53.648853603818687</v>
      </c>
      <c r="P11" s="2">
        <f t="shared" si="0"/>
        <v>54.092637532090166</v>
      </c>
      <c r="Q11" s="2">
        <f t="shared" si="0"/>
        <v>54.861407889449836</v>
      </c>
      <c r="R11" s="2">
        <f t="shared" si="0"/>
        <v>55.673753404234773</v>
      </c>
      <c r="S11" s="2">
        <f t="shared" si="0"/>
        <v>56.207305061812825</v>
      </c>
      <c r="T11" s="2">
        <f t="shared" si="0"/>
        <v>57.193480594598675</v>
      </c>
      <c r="U11" s="2">
        <f t="shared" si="0"/>
        <v>58.472379509915044</v>
      </c>
      <c r="V11" s="2">
        <f t="shared" si="0"/>
        <v>59.694346029550061</v>
      </c>
      <c r="W11" s="2">
        <f t="shared" si="0"/>
        <v>61.032719224730947</v>
      </c>
      <c r="X11" s="2">
        <f t="shared" si="0"/>
        <v>62.426386389674008</v>
      </c>
      <c r="Y11" s="2">
        <f t="shared" si="0"/>
        <v>63.658874857321969</v>
      </c>
      <c r="Z11" s="2">
        <f t="shared" si="0"/>
        <v>65.073359327472346</v>
      </c>
      <c r="AA11" s="2">
        <f t="shared" si="0"/>
        <v>66.868400172470118</v>
      </c>
      <c r="AB11" s="2">
        <f t="shared" si="0"/>
        <v>68.570678222340973</v>
      </c>
      <c r="AC11" s="2">
        <f t="shared" si="0"/>
        <v>70.016388650302275</v>
      </c>
      <c r="AD11" s="2">
        <f t="shared" si="0"/>
        <v>71.94519941857466</v>
      </c>
      <c r="AE11" s="2">
        <f t="shared" si="0"/>
        <v>74.084216746266577</v>
      </c>
      <c r="AF11" s="2">
        <f t="shared" si="0"/>
        <v>76.026445758015427</v>
      </c>
      <c r="AG11" s="2">
        <f t="shared" si="0"/>
        <v>77.983731439159968</v>
      </c>
      <c r="AH11" s="2">
        <f t="shared" si="0"/>
        <v>79.706867464385056</v>
      </c>
      <c r="AI11" s="2">
        <f t="shared" si="0"/>
        <v>81.407925409847991</v>
      </c>
      <c r="AJ11" s="2">
        <f t="shared" si="0"/>
        <v>83.249844409203874</v>
      </c>
      <c r="AK11" s="2">
        <f t="shared" si="0"/>
        <v>85.048740203128531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K9"/>
  <sheetViews>
    <sheetView workbookViewId="0">
      <selection activeCell="H38" sqref="H38"/>
    </sheetView>
  </sheetViews>
  <sheetFormatPr defaultRowHeight="15" x14ac:dyDescent="0.25"/>
  <cols>
    <col min="1" max="1" width="37.140625" bestFit="1" customWidth="1"/>
  </cols>
  <sheetData>
    <row r="1" spans="1:37" x14ac:dyDescent="0.25">
      <c r="A1" s="56" t="s">
        <v>496</v>
      </c>
      <c r="B1" s="56"/>
    </row>
    <row r="2" spans="1:37" x14ac:dyDescent="0.25">
      <c r="A2" t="s">
        <v>650</v>
      </c>
      <c r="B2">
        <v>2839</v>
      </c>
    </row>
    <row r="3" spans="1:37" x14ac:dyDescent="0.25">
      <c r="A3" t="s">
        <v>651</v>
      </c>
      <c r="B3">
        <v>46038</v>
      </c>
    </row>
    <row r="4" spans="1:37" x14ac:dyDescent="0.25">
      <c r="A4" t="s">
        <v>652</v>
      </c>
      <c r="B4">
        <v>0.3</v>
      </c>
    </row>
    <row r="6" spans="1:37" x14ac:dyDescent="0.25">
      <c r="A6" s="56" t="s">
        <v>737</v>
      </c>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56"/>
      <c r="AI6" s="56"/>
      <c r="AJ6" s="56"/>
      <c r="AK6" s="56"/>
    </row>
    <row r="7" spans="1:37" x14ac:dyDescent="0.25">
      <c r="B7">
        <v>2015</v>
      </c>
      <c r="C7">
        <v>2016</v>
      </c>
      <c r="D7">
        <v>2017</v>
      </c>
      <c r="E7">
        <v>2018</v>
      </c>
      <c r="F7">
        <v>2019</v>
      </c>
      <c r="G7">
        <v>2020</v>
      </c>
      <c r="H7">
        <v>2021</v>
      </c>
      <c r="I7">
        <v>2022</v>
      </c>
      <c r="J7">
        <v>2023</v>
      </c>
      <c r="K7">
        <v>2024</v>
      </c>
      <c r="L7">
        <v>2025</v>
      </c>
      <c r="M7">
        <v>2026</v>
      </c>
      <c r="N7">
        <v>2027</v>
      </c>
      <c r="O7">
        <v>2028</v>
      </c>
      <c r="P7">
        <v>2029</v>
      </c>
      <c r="Q7">
        <v>2030</v>
      </c>
      <c r="R7">
        <v>2031</v>
      </c>
      <c r="S7">
        <v>2032</v>
      </c>
      <c r="T7">
        <v>2033</v>
      </c>
      <c r="U7">
        <v>2034</v>
      </c>
      <c r="V7">
        <v>2035</v>
      </c>
      <c r="W7">
        <v>2036</v>
      </c>
      <c r="X7">
        <v>2037</v>
      </c>
      <c r="Y7">
        <v>2038</v>
      </c>
      <c r="Z7">
        <v>2039</v>
      </c>
      <c r="AA7">
        <v>2040</v>
      </c>
      <c r="AB7">
        <v>2041</v>
      </c>
      <c r="AC7">
        <v>2042</v>
      </c>
      <c r="AD7">
        <v>2043</v>
      </c>
      <c r="AE7">
        <v>2044</v>
      </c>
      <c r="AF7">
        <v>2045</v>
      </c>
      <c r="AG7">
        <v>2046</v>
      </c>
      <c r="AH7">
        <v>2047</v>
      </c>
      <c r="AI7">
        <v>2048</v>
      </c>
      <c r="AJ7">
        <v>2049</v>
      </c>
      <c r="AK7">
        <v>2050</v>
      </c>
    </row>
    <row r="8" spans="1:37" x14ac:dyDescent="0.25">
      <c r="A8" t="s">
        <v>643</v>
      </c>
      <c r="B8" s="66">
        <f>(SUM($B$2:$B$3)/('AEO 2017_Table 19'!C55/'AEO 2017_Table 19'!$C$55))/1000</f>
        <v>48.877000000000002</v>
      </c>
      <c r="C8" s="66">
        <f>(SUM($B$2:$B$3)/('AEO 2017_Table 19'!D55/'AEO 2017_Table 19'!$C$55))/1000</f>
        <v>51.711597652724741</v>
      </c>
      <c r="D8" s="66">
        <f>(SUM($B$2:$B$3)/('AEO 2017_Table 19'!E55/'AEO 2017_Table 19'!$C$55))/1000</f>
        <v>52.53429262215738</v>
      </c>
      <c r="E8" s="66">
        <f>(SUM($B$2:$B$3)/('AEO 2017_Table 19'!F55/'AEO 2017_Table 19'!$C$55))/1000</f>
        <v>55.332020384822492</v>
      </c>
      <c r="F8" s="66">
        <f>(SUM($B$2:$B$3)/('AEO 2017_Table 19'!G55/'AEO 2017_Table 19'!$C$55))/1000</f>
        <v>55.493210242088558</v>
      </c>
      <c r="G8" s="66">
        <f>(SUM($B$2:$B$3)/('AEO 2017_Table 19'!H55/'AEO 2017_Table 19'!$C$55))/1000</f>
        <v>54.696687202059962</v>
      </c>
      <c r="H8" s="66">
        <f>(SUM($B$2:$B$3)/('AEO 2017_Table 19'!I55/'AEO 2017_Table 19'!$C$55))/1000</f>
        <v>53.358408054975456</v>
      </c>
      <c r="I8" s="66">
        <f>(SUM($B$2:$B$3)/('AEO 2017_Table 19'!J55/'AEO 2017_Table 19'!$C$55))/1000</f>
        <v>52.754672638831067</v>
      </c>
      <c r="J8" s="66">
        <f>(SUM($B$2:$B$3)/('AEO 2017_Table 19'!K55/'AEO 2017_Table 19'!$C$55))/1000</f>
        <v>53.014878762602919</v>
      </c>
      <c r="K8" s="66">
        <f>(SUM($B$2:$B$3)/('AEO 2017_Table 19'!L55/'AEO 2017_Table 19'!$C$55))/1000</f>
        <v>53.899961484957849</v>
      </c>
      <c r="L8" s="66">
        <f>(SUM($B$2:$B$3)/('AEO 2017_Table 19'!M55/'AEO 2017_Table 19'!$C$55))/1000</f>
        <v>55.516667846539796</v>
      </c>
      <c r="M8" s="66">
        <f>(SUM($B$2:$B$3)/('AEO 2017_Table 19'!N55/'AEO 2017_Table 19'!$C$55))/1000</f>
        <v>57.837955137897836</v>
      </c>
      <c r="N8" s="66">
        <f>(SUM($B$2:$B$3)/('AEO 2017_Table 19'!O55/'AEO 2017_Table 19'!$C$55))/1000</f>
        <v>59.359742495054782</v>
      </c>
      <c r="O8" s="66">
        <f>(SUM($B$2:$B$3)/('AEO 2017_Table 19'!P55/'AEO 2017_Table 19'!$C$55))/1000</f>
        <v>61.259038313657221</v>
      </c>
      <c r="P8" s="66">
        <f>(SUM($B$2:$B$3)/('AEO 2017_Table 19'!Q55/'AEO 2017_Table 19'!$C$55))/1000</f>
        <v>62.736625402245274</v>
      </c>
      <c r="Q8" s="66">
        <f>(SUM($B$2:$B$3)/('AEO 2017_Table 19'!R55/'AEO 2017_Table 19'!$C$55))/1000</f>
        <v>64.309166761679251</v>
      </c>
      <c r="R8" s="66">
        <f>(SUM($B$2:$B$3)/('AEO 2017_Table 19'!S55/'AEO 2017_Table 19'!$C$55))/1000</f>
        <v>66.76565488293258</v>
      </c>
      <c r="S8" s="66">
        <f>(SUM($B$2:$B$3)/('AEO 2017_Table 19'!T55/'AEO 2017_Table 19'!$C$55))/1000</f>
        <v>68.668454593603585</v>
      </c>
      <c r="T8" s="66">
        <f>(SUM($B$2:$B$3)/('AEO 2017_Table 19'!U55/'AEO 2017_Table 19'!$C$55))/1000</f>
        <v>69.372073874972671</v>
      </c>
      <c r="U8" s="66">
        <f>(SUM($B$2:$B$3)/('AEO 2017_Table 19'!V55/'AEO 2017_Table 19'!$C$55))/1000</f>
        <v>70.751870776537217</v>
      </c>
      <c r="V8" s="66">
        <f>(SUM($B$2:$B$3)/('AEO 2017_Table 19'!W55/'AEO 2017_Table 19'!$C$55))/1000</f>
        <v>71.753001353579833</v>
      </c>
      <c r="W8" s="66">
        <f>(SUM($B$2:$B$3)/('AEO 2017_Table 19'!X55/'AEO 2017_Table 19'!$C$55))/1000</f>
        <v>73.576362245107262</v>
      </c>
      <c r="X8" s="66">
        <f>(SUM($B$2:$B$3)/('AEO 2017_Table 19'!Y55/'AEO 2017_Table 19'!$C$55))/1000</f>
        <v>74.228907533737612</v>
      </c>
      <c r="Y8" s="66">
        <f>(SUM($B$2:$B$3)/('AEO 2017_Table 19'!Z55/'AEO 2017_Table 19'!$C$55))/1000</f>
        <v>74.458086096974313</v>
      </c>
      <c r="Z8" s="66">
        <f>(SUM($B$2:$B$3)/('AEO 2017_Table 19'!AA55/'AEO 2017_Table 19'!$C$55))/1000</f>
        <v>76.029882045359699</v>
      </c>
      <c r="AA8" s="66">
        <f>(SUM($B$2:$B$3)/('AEO 2017_Table 19'!AB55/'AEO 2017_Table 19'!$C$55))/1000</f>
        <v>77.74426659774943</v>
      </c>
      <c r="AB8" s="66">
        <f>(SUM($B$2:$B$3)/('AEO 2017_Table 19'!AC55/'AEO 2017_Table 19'!$C$55))/1000</f>
        <v>79.694820507257688</v>
      </c>
      <c r="AC8" s="66">
        <f>(SUM($B$2:$B$3)/('AEO 2017_Table 19'!AD55/'AEO 2017_Table 19'!$C$55))/1000</f>
        <v>81.080400061210057</v>
      </c>
      <c r="AD8" s="66">
        <f>(SUM($B$2:$B$3)/('AEO 2017_Table 19'!AE55/'AEO 2017_Table 19'!$C$55))/1000</f>
        <v>82.145830221497491</v>
      </c>
      <c r="AE8" s="66">
        <f>(SUM($B$2:$B$3)/('AEO 2017_Table 19'!AF55/'AEO 2017_Table 19'!$C$55))/1000</f>
        <v>82.921606994906966</v>
      </c>
      <c r="AF8" s="66">
        <f>(SUM($B$2:$B$3)/('AEO 2017_Table 19'!AG55/'AEO 2017_Table 19'!$C$55))/1000</f>
        <v>83.405069374182503</v>
      </c>
      <c r="AG8" s="66">
        <f>(SUM($B$2:$B$3)/('AEO 2017_Table 19'!AH55/'AEO 2017_Table 19'!$C$55))/1000</f>
        <v>83.661871025447383</v>
      </c>
      <c r="AH8" s="66">
        <f>(SUM($B$2:$B$3)/('AEO 2017_Table 19'!AI55/'AEO 2017_Table 19'!$C$55))/1000</f>
        <v>84.216249288253678</v>
      </c>
      <c r="AI8" s="66">
        <f>(SUM($B$2:$B$3)/('AEO 2017_Table 19'!AJ55/'AEO 2017_Table 19'!$C$55))/1000</f>
        <v>84.239944060218477</v>
      </c>
      <c r="AJ8" s="66">
        <f>(SUM($B$2:$B$3)/('AEO 2017_Table 19'!AK55/'AEO 2017_Table 19'!$C$55))/1000</f>
        <v>84.460610300909323</v>
      </c>
      <c r="AK8" s="66">
        <f>(SUM($B$2:$B$3)/('AEO 2017_Table 19'!AL55/'AEO 2017_Table 19'!$C$55))/1000</f>
        <v>84.576133033513798</v>
      </c>
    </row>
    <row r="9" spans="1:37" x14ac:dyDescent="0.25">
      <c r="A9" t="s">
        <v>642</v>
      </c>
      <c r="B9" s="66">
        <f>$B$4/('AEO 2017_Table 19'!C55/'AEO 2017_Table 19'!$C$55)</f>
        <v>0.3</v>
      </c>
      <c r="C9" s="66">
        <f>$B$4/('AEO 2017_Table 19'!D55/'AEO 2017_Table 19'!$C$55)</f>
        <v>0.31739835292299901</v>
      </c>
      <c r="D9" s="66">
        <f>$B$4/('AEO 2017_Table 19'!E55/'AEO 2017_Table 19'!$C$55)</f>
        <v>0.32244793638413188</v>
      </c>
      <c r="E9" s="66">
        <f>$B$4/('AEO 2017_Table 19'!F55/'AEO 2017_Table 19'!$C$55)</f>
        <v>0.3396199872219397</v>
      </c>
      <c r="F9" s="66">
        <f>$B$4/('AEO 2017_Table 19'!G55/'AEO 2017_Table 19'!$C$55)</f>
        <v>0.34060934739502358</v>
      </c>
      <c r="G9" s="66">
        <f>$B$4/('AEO 2017_Table 19'!H55/'AEO 2017_Table 19'!$C$55)</f>
        <v>0.33572040347439469</v>
      </c>
      <c r="H9" s="66">
        <f>$B$4/('AEO 2017_Table 19'!I55/'AEO 2017_Table 19'!$C$55)</f>
        <v>0.32750623844533494</v>
      </c>
      <c r="I9" s="66">
        <f>$B$4/('AEO 2017_Table 19'!J55/'AEO 2017_Table 19'!$C$55)</f>
        <v>0.3238005972471576</v>
      </c>
      <c r="J9" s="66">
        <f>$B$4/('AEO 2017_Table 19'!K55/'AEO 2017_Table 19'!$C$55)</f>
        <v>0.32539770503060489</v>
      </c>
      <c r="K9" s="66">
        <f>$B$4/('AEO 2017_Table 19'!L55/'AEO 2017_Table 19'!$C$55)</f>
        <v>0.33083021555102304</v>
      </c>
      <c r="L9" s="66">
        <f>$B$4/('AEO 2017_Table 19'!M55/'AEO 2017_Table 19'!$C$55)</f>
        <v>0.3407533267991476</v>
      </c>
      <c r="M9" s="66">
        <f>$B$4/('AEO 2017_Table 19'!N55/'AEO 2017_Table 19'!$C$55)</f>
        <v>0.35500105451172026</v>
      </c>
      <c r="N9" s="66">
        <f>$B$4/('AEO 2017_Table 19'!O55/'AEO 2017_Table 19'!$C$55)</f>
        <v>0.36434156655515748</v>
      </c>
      <c r="O9" s="66">
        <f>$B$4/('AEO 2017_Table 19'!P55/'AEO 2017_Table 19'!$C$55)</f>
        <v>0.37599917126863686</v>
      </c>
      <c r="P9" s="66">
        <f>$B$4/('AEO 2017_Table 19'!Q55/'AEO 2017_Table 19'!$C$55)</f>
        <v>0.38506838841732471</v>
      </c>
      <c r="Q9" s="66">
        <f>$B$4/('AEO 2017_Table 19'!R55/'AEO 2017_Table 19'!$C$55)</f>
        <v>0.39472042123092199</v>
      </c>
      <c r="R9" s="66">
        <f>$B$4/('AEO 2017_Table 19'!S55/'AEO 2017_Table 19'!$C$55)</f>
        <v>0.40979799220246282</v>
      </c>
      <c r="S9" s="66">
        <f>$B$4/('AEO 2017_Table 19'!T55/'AEO 2017_Table 19'!$C$55)</f>
        <v>0.42147710330177951</v>
      </c>
      <c r="T9" s="66">
        <f>$B$4/('AEO 2017_Table 19'!U55/'AEO 2017_Table 19'!$C$55)</f>
        <v>0.42579581730654092</v>
      </c>
      <c r="U9" s="66">
        <f>$B$4/('AEO 2017_Table 19'!V55/'AEO 2017_Table 19'!$C$55)</f>
        <v>0.43426481234448039</v>
      </c>
      <c r="V9" s="66">
        <f>$B$4/('AEO 2017_Table 19'!W55/'AEO 2017_Table 19'!$C$55)</f>
        <v>0.44040960791525569</v>
      </c>
      <c r="W9" s="66">
        <f>$B$4/('AEO 2017_Table 19'!X55/'AEO 2017_Table 19'!$C$55)</f>
        <v>0.45160113496188753</v>
      </c>
      <c r="X9" s="66">
        <f>$B$4/('AEO 2017_Table 19'!Y55/'AEO 2017_Table 19'!$C$55)</f>
        <v>0.45560636414103328</v>
      </c>
      <c r="Y9" s="66">
        <f>$B$4/('AEO 2017_Table 19'!Z55/'AEO 2017_Table 19'!$C$55)</f>
        <v>0.45701302921808401</v>
      </c>
      <c r="Z9" s="66">
        <f>$B$4/('AEO 2017_Table 19'!AA55/'AEO 2017_Table 19'!$C$55)</f>
        <v>0.46666048680581684</v>
      </c>
      <c r="AA9" s="66">
        <f>$B$4/('AEO 2017_Table 19'!AB55/'AEO 2017_Table 19'!$C$55)</f>
        <v>0.47718313274801705</v>
      </c>
      <c r="AB9" s="66">
        <f>$B$4/('AEO 2017_Table 19'!AC55/'AEO 2017_Table 19'!$C$55)</f>
        <v>0.48915535225519785</v>
      </c>
      <c r="AC9" s="66">
        <f>$B$4/('AEO 2017_Table 19'!AD55/'AEO 2017_Table 19'!$C$55)</f>
        <v>0.49765984038224553</v>
      </c>
      <c r="AD9" s="66">
        <f>$B$4/('AEO 2017_Table 19'!AE55/'AEO 2017_Table 19'!$C$55)</f>
        <v>0.50419929755200299</v>
      </c>
      <c r="AE9" s="66">
        <f>$B$4/('AEO 2017_Table 19'!AF55/'AEO 2017_Table 19'!$C$55)</f>
        <v>0.5089609038703703</v>
      </c>
      <c r="AF9" s="66">
        <f>$B$4/('AEO 2017_Table 19'!AG55/'AEO 2017_Table 19'!$C$55)</f>
        <v>0.51192832645732655</v>
      </c>
      <c r="AG9" s="66">
        <f>$B$4/('AEO 2017_Table 19'!AH55/'AEO 2017_Table 19'!$C$55)</f>
        <v>0.5135045380779143</v>
      </c>
      <c r="AH9" s="66">
        <f>$B$4/('AEO 2017_Table 19'!AI55/'AEO 2017_Table 19'!$C$55)</f>
        <v>0.51690723216392376</v>
      </c>
      <c r="AI9" s="66">
        <f>$B$4/('AEO 2017_Table 19'!AJ55/'AEO 2017_Table 19'!$C$55)</f>
        <v>0.51705266726815358</v>
      </c>
      <c r="AJ9" s="66">
        <f>$B$4/('AEO 2017_Table 19'!AK55/'AEO 2017_Table 19'!$C$55)</f>
        <v>0.51840708493305221</v>
      </c>
      <c r="AK9" s="66">
        <f>$B$4/('AEO 2017_Table 19'!AL55/'AEO 2017_Table 19'!$C$55)</f>
        <v>0.51911614685954832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K45"/>
  <sheetViews>
    <sheetView topLeftCell="A19" zoomScaleNormal="100" workbookViewId="0">
      <selection activeCell="H38" sqref="H38"/>
    </sheetView>
  </sheetViews>
  <sheetFormatPr defaultRowHeight="15" x14ac:dyDescent="0.25"/>
  <cols>
    <col min="1" max="1" width="23" customWidth="1"/>
  </cols>
  <sheetData>
    <row r="1" spans="1:13" x14ac:dyDescent="0.25">
      <c r="A1" s="56" t="s">
        <v>1284</v>
      </c>
      <c r="B1" s="56"/>
      <c r="C1" s="56"/>
      <c r="D1" s="56"/>
      <c r="E1" s="56"/>
      <c r="F1" s="56"/>
      <c r="G1" s="56"/>
      <c r="H1" s="56"/>
      <c r="I1" s="56"/>
      <c r="J1" s="56"/>
      <c r="K1" s="56"/>
      <c r="L1" s="56"/>
      <c r="M1" s="56"/>
    </row>
    <row r="2" spans="1:13" x14ac:dyDescent="0.25">
      <c r="A2" s="29" t="s">
        <v>274</v>
      </c>
      <c r="B2" s="30"/>
      <c r="C2" s="30"/>
      <c r="D2" s="30"/>
      <c r="E2" s="30"/>
      <c r="F2" s="30"/>
      <c r="G2" s="30"/>
    </row>
    <row r="3" spans="1:13" ht="37.5" customHeight="1" x14ac:dyDescent="0.25">
      <c r="A3" s="54" t="s">
        <v>284</v>
      </c>
      <c r="B3" s="54" t="s">
        <v>285</v>
      </c>
      <c r="C3" s="54" t="s">
        <v>286</v>
      </c>
      <c r="D3" s="54" t="s">
        <v>287</v>
      </c>
      <c r="E3" s="54" t="s">
        <v>288</v>
      </c>
      <c r="F3" s="54" t="s">
        <v>289</v>
      </c>
      <c r="G3" s="54" t="s">
        <v>290</v>
      </c>
    </row>
    <row r="4" spans="1:13" x14ac:dyDescent="0.25">
      <c r="A4" s="32">
        <v>1990</v>
      </c>
      <c r="B4" s="50">
        <v>1683</v>
      </c>
      <c r="C4" s="51">
        <v>384244</v>
      </c>
      <c r="D4" s="32">
        <v>1656</v>
      </c>
      <c r="E4" s="32">
        <v>546808</v>
      </c>
      <c r="F4" s="32">
        <v>3339</v>
      </c>
      <c r="G4" s="32">
        <v>931052</v>
      </c>
    </row>
    <row r="5" spans="1:13" x14ac:dyDescent="0.25">
      <c r="A5" s="33"/>
      <c r="B5" s="33"/>
      <c r="C5" s="33"/>
      <c r="D5" s="33"/>
      <c r="E5" s="33"/>
      <c r="F5" s="33"/>
      <c r="G5" s="33"/>
    </row>
    <row r="6" spans="1:13" x14ac:dyDescent="0.25">
      <c r="A6" s="21">
        <v>2005</v>
      </c>
      <c r="B6" s="31">
        <v>586</v>
      </c>
      <c r="C6" s="52">
        <v>334398</v>
      </c>
      <c r="D6" s="21">
        <v>789</v>
      </c>
      <c r="E6" s="21">
        <v>691448</v>
      </c>
      <c r="F6" s="21">
        <v>1398</v>
      </c>
      <c r="G6" s="21">
        <v>1025846</v>
      </c>
    </row>
    <row r="7" spans="1:13" x14ac:dyDescent="0.25">
      <c r="A7" s="34"/>
      <c r="B7" s="34"/>
      <c r="C7" s="34"/>
      <c r="D7" s="34"/>
      <c r="E7" s="34"/>
      <c r="F7" s="34"/>
      <c r="G7" s="34"/>
    </row>
    <row r="8" spans="1:13" x14ac:dyDescent="0.25">
      <c r="A8" s="21">
        <v>2011</v>
      </c>
      <c r="B8" s="31">
        <v>508</v>
      </c>
      <c r="C8" s="52">
        <v>313529</v>
      </c>
      <c r="D8" s="21">
        <v>788</v>
      </c>
      <c r="E8" s="21">
        <v>684807</v>
      </c>
      <c r="F8" s="21">
        <v>1296</v>
      </c>
      <c r="G8" s="21">
        <v>998337</v>
      </c>
    </row>
    <row r="9" spans="1:13" x14ac:dyDescent="0.25">
      <c r="A9" s="21">
        <v>2012</v>
      </c>
      <c r="B9" s="31">
        <v>488</v>
      </c>
      <c r="C9" s="52">
        <v>310608</v>
      </c>
      <c r="D9" s="21">
        <v>719</v>
      </c>
      <c r="E9" s="21">
        <v>610307</v>
      </c>
      <c r="F9" s="21">
        <v>1207</v>
      </c>
      <c r="G9" s="21">
        <v>920915</v>
      </c>
    </row>
    <row r="10" spans="1:13" x14ac:dyDescent="0.25">
      <c r="A10" s="21">
        <v>2013</v>
      </c>
      <c r="B10" s="31">
        <v>395</v>
      </c>
      <c r="C10" s="52">
        <v>309546</v>
      </c>
      <c r="D10" s="21">
        <v>637</v>
      </c>
      <c r="E10" s="21">
        <v>581270</v>
      </c>
      <c r="F10" s="21">
        <v>1032</v>
      </c>
      <c r="G10" s="21">
        <v>890815</v>
      </c>
    </row>
    <row r="11" spans="1:13" x14ac:dyDescent="0.25">
      <c r="A11" s="21">
        <v>2014</v>
      </c>
      <c r="B11" s="31">
        <v>345</v>
      </c>
      <c r="C11" s="52">
        <v>321783</v>
      </c>
      <c r="D11" s="21">
        <v>613</v>
      </c>
      <c r="E11" s="21">
        <v>583974</v>
      </c>
      <c r="F11" s="21">
        <v>958</v>
      </c>
      <c r="G11" s="21">
        <v>905757</v>
      </c>
    </row>
    <row r="12" spans="1:13" x14ac:dyDescent="0.25">
      <c r="A12" s="22">
        <v>2015</v>
      </c>
      <c r="B12" s="20">
        <v>305</v>
      </c>
      <c r="C12" s="53">
        <v>278342</v>
      </c>
      <c r="D12" s="22">
        <v>529</v>
      </c>
      <c r="E12" s="22">
        <v>534127</v>
      </c>
      <c r="F12" s="22">
        <v>834</v>
      </c>
      <c r="G12" s="22">
        <v>812469</v>
      </c>
    </row>
    <row r="13" spans="1:13" x14ac:dyDescent="0.25">
      <c r="A13" s="26"/>
      <c r="B13" s="30"/>
      <c r="C13" s="30"/>
      <c r="D13" s="30"/>
      <c r="E13" s="30"/>
      <c r="F13" s="30"/>
      <c r="G13" s="30"/>
    </row>
    <row r="14" spans="1:13" x14ac:dyDescent="0.25">
      <c r="A14" s="56" t="s">
        <v>958</v>
      </c>
      <c r="B14" s="56"/>
      <c r="C14" s="56"/>
      <c r="D14" s="56"/>
      <c r="E14" s="56"/>
      <c r="F14" s="56"/>
      <c r="G14" s="56"/>
      <c r="H14" s="56"/>
      <c r="I14" s="56"/>
      <c r="J14" s="56"/>
      <c r="K14" s="56"/>
      <c r="L14" s="56"/>
      <c r="M14" s="56"/>
    </row>
    <row r="15" spans="1:13" x14ac:dyDescent="0.25">
      <c r="A15" s="30" t="s">
        <v>275</v>
      </c>
      <c r="B15" s="30"/>
      <c r="C15" s="30"/>
      <c r="D15" s="30"/>
      <c r="E15" s="30"/>
      <c r="F15" s="30"/>
      <c r="G15" s="30"/>
      <c r="H15" s="30"/>
      <c r="I15" s="30"/>
      <c r="J15" s="30"/>
      <c r="K15" s="30"/>
      <c r="L15" s="30"/>
    </row>
    <row r="16" spans="1:13" x14ac:dyDescent="0.25">
      <c r="A16" s="23" t="s">
        <v>276</v>
      </c>
      <c r="B16" s="37">
        <v>1990</v>
      </c>
      <c r="C16" s="38"/>
      <c r="D16" s="37">
        <v>2005</v>
      </c>
      <c r="E16" s="39"/>
      <c r="F16" s="37">
        <v>2011</v>
      </c>
      <c r="G16" s="37">
        <v>2012</v>
      </c>
      <c r="H16" s="37">
        <v>2013</v>
      </c>
      <c r="I16" s="37">
        <v>2014</v>
      </c>
      <c r="J16" s="37">
        <v>2015</v>
      </c>
    </row>
    <row r="17" spans="1:11" x14ac:dyDescent="0.25">
      <c r="A17" s="32" t="s">
        <v>277</v>
      </c>
      <c r="B17" s="40">
        <v>2968</v>
      </c>
      <c r="C17" s="41"/>
      <c r="D17" s="40">
        <v>1682</v>
      </c>
      <c r="E17" s="42"/>
      <c r="F17" s="40">
        <v>2008</v>
      </c>
      <c r="G17" s="40">
        <v>1891</v>
      </c>
      <c r="H17" s="40">
        <v>1849</v>
      </c>
      <c r="I17" s="40">
        <v>1854</v>
      </c>
      <c r="J17" s="40">
        <v>1783</v>
      </c>
    </row>
    <row r="18" spans="1:11" x14ac:dyDescent="0.25">
      <c r="A18" s="21" t="s">
        <v>278</v>
      </c>
      <c r="B18" s="43">
        <v>3234</v>
      </c>
      <c r="C18" s="44"/>
      <c r="D18" s="43">
        <v>2390</v>
      </c>
      <c r="E18" s="45"/>
      <c r="F18" s="43">
        <v>2839</v>
      </c>
      <c r="G18" s="43">
        <v>2631</v>
      </c>
      <c r="H18" s="43">
        <v>2580</v>
      </c>
      <c r="I18" s="43">
        <v>2523</v>
      </c>
      <c r="J18" s="43">
        <v>2421</v>
      </c>
    </row>
    <row r="19" spans="1:11" x14ac:dyDescent="0.25">
      <c r="A19" s="21" t="s">
        <v>279</v>
      </c>
      <c r="B19" s="46">
        <v>-266</v>
      </c>
      <c r="C19" s="44"/>
      <c r="D19" s="46">
        <v>-708</v>
      </c>
      <c r="E19" s="45"/>
      <c r="F19" s="46">
        <v>-831</v>
      </c>
      <c r="G19" s="46">
        <v>-740</v>
      </c>
      <c r="H19" s="46">
        <v>-730</v>
      </c>
      <c r="I19" s="46">
        <v>-668</v>
      </c>
      <c r="J19" s="46">
        <v>-638</v>
      </c>
    </row>
    <row r="20" spans="1:11" ht="24" x14ac:dyDescent="0.25">
      <c r="A20" s="21" t="s">
        <v>280</v>
      </c>
      <c r="B20" s="35">
        <v>430</v>
      </c>
      <c r="C20" s="44"/>
      <c r="D20" s="35">
        <v>475</v>
      </c>
      <c r="E20" s="45"/>
      <c r="F20" s="35">
        <v>465</v>
      </c>
      <c r="G20" s="35">
        <v>410</v>
      </c>
      <c r="H20" s="35">
        <v>388</v>
      </c>
      <c r="I20" s="35">
        <v>386</v>
      </c>
      <c r="J20" s="35">
        <v>347</v>
      </c>
    </row>
    <row r="21" spans="1:11" ht="36" x14ac:dyDescent="0.25">
      <c r="A21" s="21" t="s">
        <v>281</v>
      </c>
      <c r="B21" s="35">
        <v>368</v>
      </c>
      <c r="C21" s="44"/>
      <c r="D21" s="35">
        <v>306</v>
      </c>
      <c r="E21" s="45"/>
      <c r="F21" s="35">
        <v>276</v>
      </c>
      <c r="G21" s="35">
        <v>268</v>
      </c>
      <c r="H21" s="35">
        <v>263</v>
      </c>
      <c r="I21" s="35">
        <v>270</v>
      </c>
      <c r="J21" s="35">
        <v>231</v>
      </c>
    </row>
    <row r="22" spans="1:11" ht="36" x14ac:dyDescent="0.25">
      <c r="A22" s="22" t="s">
        <v>282</v>
      </c>
      <c r="B22" s="36">
        <v>93</v>
      </c>
      <c r="C22" s="47"/>
      <c r="D22" s="36">
        <v>103</v>
      </c>
      <c r="E22" s="48"/>
      <c r="F22" s="36">
        <v>101</v>
      </c>
      <c r="G22" s="36">
        <v>89</v>
      </c>
      <c r="H22" s="36">
        <v>84</v>
      </c>
      <c r="I22" s="36">
        <v>84</v>
      </c>
      <c r="J22" s="36">
        <v>75</v>
      </c>
    </row>
    <row r="23" spans="1:11" x14ac:dyDescent="0.25">
      <c r="A23" s="23" t="s">
        <v>269</v>
      </c>
      <c r="B23" s="49">
        <v>3860</v>
      </c>
      <c r="C23" s="38"/>
      <c r="D23" s="49">
        <v>2565</v>
      </c>
      <c r="E23" s="39"/>
      <c r="F23" s="49">
        <v>2849</v>
      </c>
      <c r="G23" s="49">
        <v>2658</v>
      </c>
      <c r="H23" s="49">
        <v>2584</v>
      </c>
      <c r="I23" s="49">
        <v>2593</v>
      </c>
      <c r="J23" s="49">
        <v>2436</v>
      </c>
    </row>
    <row r="24" spans="1:11" ht="15" customHeight="1" x14ac:dyDescent="0.25">
      <c r="A24" s="58" t="s">
        <v>283</v>
      </c>
      <c r="B24" s="57"/>
      <c r="C24" s="57"/>
      <c r="D24" s="57"/>
      <c r="E24" s="57"/>
      <c r="F24" s="57"/>
      <c r="G24" s="57"/>
      <c r="H24" s="57"/>
      <c r="I24" s="57"/>
      <c r="J24" s="57"/>
    </row>
    <row r="26" spans="1:11" x14ac:dyDescent="0.25">
      <c r="A26" s="56" t="s">
        <v>293</v>
      </c>
      <c r="B26" s="56"/>
      <c r="C26" s="56"/>
      <c r="D26" s="56"/>
      <c r="E26" s="56"/>
      <c r="F26" s="56"/>
      <c r="G26" s="56"/>
      <c r="H26" s="56"/>
      <c r="I26" s="56"/>
      <c r="J26" s="56"/>
      <c r="K26" s="56"/>
    </row>
    <row r="27" spans="1:11" x14ac:dyDescent="0.25">
      <c r="B27" s="37">
        <v>2011</v>
      </c>
      <c r="C27" s="37">
        <v>2012</v>
      </c>
      <c r="D27" s="37">
        <v>2013</v>
      </c>
      <c r="E27" s="37">
        <v>2014</v>
      </c>
      <c r="F27" s="37">
        <v>2015</v>
      </c>
      <c r="G27" t="s">
        <v>294</v>
      </c>
    </row>
    <row r="28" spans="1:11" ht="14.25" customHeight="1" x14ac:dyDescent="0.25">
      <c r="A28" t="s">
        <v>291</v>
      </c>
      <c r="B28">
        <f>SUM(INDEX($F$18:$J$18,1,MATCH(B$27,$F$16:$J$16,0)),INDEX($F$21:$J$21,1,MATCH(B$27,$F$16:$J$16,0)))/INDEX($C$8:$C$12,MATCH(B$27,$A$8:$A$12,0),1)</f>
        <v>9.9352850932449624E-3</v>
      </c>
      <c r="C28">
        <f t="shared" ref="C28:F28" si="0">SUM(INDEX($F$18:$J$18,1,MATCH(C$27,$F$16:$J$16,0)),INDEX($F$21:$J$21,1,MATCH(C$27,$F$16:$J$16,0)))/INDEX($C$8:$C$12,MATCH(C$27,$A$8:$A$12,0),1)</f>
        <v>9.3333075773965896E-3</v>
      </c>
      <c r="D28">
        <f t="shared" si="0"/>
        <v>9.1844184709219314E-3</v>
      </c>
      <c r="E28">
        <f t="shared" si="0"/>
        <v>8.6797624486066698E-3</v>
      </c>
      <c r="F28">
        <f t="shared" si="0"/>
        <v>9.5278470370982454E-3</v>
      </c>
      <c r="G28">
        <f>AVERAGE(B28:F28)</f>
        <v>9.3321241254536811E-3</v>
      </c>
    </row>
    <row r="29" spans="1:11" x14ac:dyDescent="0.25">
      <c r="A29" t="s">
        <v>292</v>
      </c>
      <c r="B29">
        <f>SUM(INDEX($F$20:$J$20,1,MATCH(B$27,$F$16:$J$16,0)),INDEX($F$22:$J$22,1,MATCH(B$27,$F$16:$J$16,0)))/INDEX($E$8:$E$12,MATCH(B$27,$A$8:$A$12,0),1)</f>
        <v>8.2651024303197836E-4</v>
      </c>
      <c r="C29">
        <f t="shared" ref="C29:F29" si="1">SUM(INDEX($F$20:$J$20,1,MATCH(C$27,$F$16:$J$16,0)),INDEX($F$22:$J$22,1,MATCH(C$27,$F$16:$J$16,0)))/INDEX($E$8:$E$12,MATCH(C$27,$A$8:$A$12,0),1)</f>
        <v>8.1762129551193083E-4</v>
      </c>
      <c r="D29">
        <f t="shared" si="1"/>
        <v>8.1201507044918882E-4</v>
      </c>
      <c r="E29">
        <f t="shared" si="1"/>
        <v>8.0483035203622079E-4</v>
      </c>
      <c r="F29">
        <f t="shared" si="1"/>
        <v>7.9007427072587605E-4</v>
      </c>
      <c r="G29">
        <f>AVERAGE(B29:F29)</f>
        <v>8.1021024635103897E-4</v>
      </c>
    </row>
    <row r="31" spans="1:11" x14ac:dyDescent="0.25">
      <c r="A31" s="56" t="s">
        <v>440</v>
      </c>
      <c r="B31" s="56"/>
      <c r="C31" s="56"/>
      <c r="D31" s="56"/>
      <c r="E31" s="56"/>
      <c r="F31" s="56"/>
      <c r="G31" s="56"/>
      <c r="H31" s="56"/>
      <c r="I31" s="56"/>
      <c r="J31" s="56"/>
      <c r="K31" s="56"/>
    </row>
    <row r="32" spans="1:11" x14ac:dyDescent="0.25">
      <c r="B32" s="37">
        <v>2011</v>
      </c>
      <c r="C32" s="37">
        <v>2012</v>
      </c>
      <c r="D32" s="37">
        <v>2013</v>
      </c>
      <c r="E32" s="37">
        <v>2014</v>
      </c>
      <c r="F32" s="37">
        <v>2015</v>
      </c>
      <c r="G32" t="s">
        <v>294</v>
      </c>
    </row>
    <row r="33" spans="1:37" x14ac:dyDescent="0.25">
      <c r="A33" t="s">
        <v>439</v>
      </c>
      <c r="B33">
        <f>ABS(F19)/SUM(F18,F21)</f>
        <v>0.26677367576243982</v>
      </c>
      <c r="C33">
        <f t="shared" ref="C33:F33" si="2">ABS(G19)/SUM(G18,G21)</f>
        <v>0.25526043463263193</v>
      </c>
      <c r="D33">
        <f t="shared" si="2"/>
        <v>0.2567710165318326</v>
      </c>
      <c r="E33">
        <f t="shared" si="2"/>
        <v>0.23916935195130684</v>
      </c>
      <c r="F33">
        <f t="shared" si="2"/>
        <v>0.24057315233785823</v>
      </c>
      <c r="G33">
        <f>AVERAGE(B33:F33)</f>
        <v>0.25170952624321385</v>
      </c>
    </row>
    <row r="36" spans="1:37" x14ac:dyDescent="0.25">
      <c r="A36" s="56" t="s">
        <v>443</v>
      </c>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row>
    <row r="37" spans="1:37" x14ac:dyDescent="0.25">
      <c r="A37" t="s">
        <v>444</v>
      </c>
      <c r="B37" s="55">
        <v>2015</v>
      </c>
      <c r="C37" s="55">
        <v>2016</v>
      </c>
      <c r="D37" s="55">
        <v>2017</v>
      </c>
      <c r="E37" s="55">
        <v>2018</v>
      </c>
      <c r="F37" s="55">
        <v>2019</v>
      </c>
      <c r="G37" s="55">
        <v>2020</v>
      </c>
      <c r="H37" s="55">
        <v>2021</v>
      </c>
      <c r="I37" s="55">
        <v>2022</v>
      </c>
      <c r="J37" s="55">
        <v>2023</v>
      </c>
      <c r="K37" s="55">
        <v>2024</v>
      </c>
      <c r="L37" s="55">
        <v>2025</v>
      </c>
      <c r="M37" s="55">
        <v>2026</v>
      </c>
      <c r="N37" s="55">
        <v>2027</v>
      </c>
      <c r="O37" s="55">
        <v>2028</v>
      </c>
      <c r="P37" s="55">
        <v>2029</v>
      </c>
      <c r="Q37" s="55">
        <v>2030</v>
      </c>
      <c r="R37" s="55">
        <v>2031</v>
      </c>
      <c r="S37" s="55">
        <v>2032</v>
      </c>
      <c r="T37" s="55">
        <v>2033</v>
      </c>
      <c r="U37" s="55">
        <v>2034</v>
      </c>
      <c r="V37" s="55">
        <v>2035</v>
      </c>
      <c r="W37" s="55">
        <v>2036</v>
      </c>
      <c r="X37" s="55">
        <v>2037</v>
      </c>
      <c r="Y37" s="55">
        <v>2038</v>
      </c>
      <c r="Z37" s="55">
        <v>2039</v>
      </c>
      <c r="AA37" s="55">
        <v>2040</v>
      </c>
      <c r="AB37" s="55">
        <v>2041</v>
      </c>
      <c r="AC37" s="55">
        <v>2042</v>
      </c>
      <c r="AD37" s="55">
        <v>2043</v>
      </c>
      <c r="AE37" s="55">
        <v>2044</v>
      </c>
      <c r="AF37" s="55">
        <v>2045</v>
      </c>
      <c r="AG37" s="55">
        <v>2046</v>
      </c>
      <c r="AH37" s="55">
        <v>2047</v>
      </c>
      <c r="AI37" s="55">
        <v>2048</v>
      </c>
      <c r="AJ37" s="55">
        <v>2049</v>
      </c>
      <c r="AK37" s="55">
        <v>2050</v>
      </c>
    </row>
    <row r="38" spans="1:37" x14ac:dyDescent="0.25">
      <c r="A38" t="s">
        <v>441</v>
      </c>
      <c r="B38" s="2">
        <f>'AEO 2017_Table 15'!E55</f>
        <v>264.74520899999999</v>
      </c>
      <c r="C38" s="2">
        <f>'AEO 2017_Table 15'!F55</f>
        <v>249.62292500000001</v>
      </c>
      <c r="D38" s="2">
        <f>'AEO 2017_Table 15'!G55</f>
        <v>254.87702899999999</v>
      </c>
      <c r="E38" s="2">
        <f>'AEO 2017_Table 15'!H55</f>
        <v>243.97264100000001</v>
      </c>
      <c r="F38" s="2">
        <f>'AEO 2017_Table 15'!I55</f>
        <v>258.42105099999998</v>
      </c>
      <c r="G38" s="2">
        <f>'AEO 2017_Table 15'!J55</f>
        <v>274.126465</v>
      </c>
      <c r="H38" s="2">
        <f>'AEO 2017_Table 15'!K55</f>
        <v>265.97515900000002</v>
      </c>
      <c r="I38" s="2">
        <f>'AEO 2017_Table 15'!L55</f>
        <v>278.01132200000001</v>
      </c>
      <c r="J38" s="2">
        <f>'AEO 2017_Table 15'!M55</f>
        <v>277.55566399999998</v>
      </c>
      <c r="K38" s="2">
        <f>'AEO 2017_Table 15'!N55</f>
        <v>273.11148100000003</v>
      </c>
      <c r="L38" s="2">
        <f>'AEO 2017_Table 15'!O55</f>
        <v>262.32058699999999</v>
      </c>
      <c r="M38" s="2">
        <f>'AEO 2017_Table 15'!P55</f>
        <v>257.46328699999998</v>
      </c>
      <c r="N38" s="2">
        <f>'AEO 2017_Table 15'!Q55</f>
        <v>258.02941900000002</v>
      </c>
      <c r="O38" s="2">
        <f>'AEO 2017_Table 15'!R55</f>
        <v>253.96258499999999</v>
      </c>
      <c r="P38" s="2">
        <f>'AEO 2017_Table 15'!S55</f>
        <v>252.74208100000001</v>
      </c>
      <c r="Q38" s="2">
        <f>'AEO 2017_Table 15'!T55</f>
        <v>251.4366</v>
      </c>
      <c r="R38" s="2">
        <f>'AEO 2017_Table 15'!U55</f>
        <v>253.09223900000001</v>
      </c>
      <c r="S38" s="2">
        <f>'AEO 2017_Table 15'!V55</f>
        <v>257.38833599999998</v>
      </c>
      <c r="T38" s="2">
        <f>'AEO 2017_Table 15'!W55</f>
        <v>259.88339200000001</v>
      </c>
      <c r="U38" s="2">
        <f>'AEO 2017_Table 15'!X55</f>
        <v>257.66513099999997</v>
      </c>
      <c r="V38" s="2">
        <f>'AEO 2017_Table 15'!Y55</f>
        <v>259.71087599999998</v>
      </c>
      <c r="W38" s="2">
        <f>'AEO 2017_Table 15'!Z55</f>
        <v>267.43261699999999</v>
      </c>
      <c r="X38" s="2">
        <f>'AEO 2017_Table 15'!AA55</f>
        <v>277.92938199999998</v>
      </c>
      <c r="Y38" s="2">
        <f>'AEO 2017_Table 15'!AB55</f>
        <v>284.461792</v>
      </c>
      <c r="Z38" s="2">
        <f>'AEO 2017_Table 15'!AC55</f>
        <v>286.996399</v>
      </c>
      <c r="AA38" s="2">
        <f>'AEO 2017_Table 15'!AD55</f>
        <v>290.25585899999999</v>
      </c>
      <c r="AB38" s="2">
        <f>'AEO 2017_Table 15'!AE55</f>
        <v>290.56381199999998</v>
      </c>
      <c r="AC38" s="2">
        <f>'AEO 2017_Table 15'!AF55</f>
        <v>291.91207900000001</v>
      </c>
      <c r="AD38" s="2">
        <f>'AEO 2017_Table 15'!AG55</f>
        <v>292.18240400000002</v>
      </c>
      <c r="AE38" s="2">
        <f>'AEO 2017_Table 15'!AH55</f>
        <v>294.19635</v>
      </c>
      <c r="AF38" s="2">
        <f>'AEO 2017_Table 15'!AI55</f>
        <v>297.92398100000003</v>
      </c>
      <c r="AG38" s="2">
        <f>'AEO 2017_Table 15'!AJ55</f>
        <v>297.93701199999998</v>
      </c>
      <c r="AH38" s="2">
        <f>'AEO 2017_Table 15'!AK55</f>
        <v>300.89718599999998</v>
      </c>
      <c r="AI38" s="2">
        <f>'AEO 2017_Table 15'!AL55</f>
        <v>302.11471599999999</v>
      </c>
      <c r="AJ38" s="2">
        <f>'AEO 2017_Table 15'!AM55</f>
        <v>300.872681</v>
      </c>
      <c r="AK38" s="2">
        <f>'AEO 2017_Table 15'!AN55</f>
        <v>300.49902300000002</v>
      </c>
    </row>
    <row r="39" spans="1:37" x14ac:dyDescent="0.25">
      <c r="A39" t="s">
        <v>442</v>
      </c>
      <c r="B39" s="2">
        <f>'AEO 2017_Table 15'!E56</f>
        <v>574.91882299999997</v>
      </c>
      <c r="C39" s="2">
        <f>'AEO 2017_Table 15'!F56</f>
        <v>490.99984699999999</v>
      </c>
      <c r="D39" s="2">
        <f>'AEO 2017_Table 15'!G56</f>
        <v>498.53866599999998</v>
      </c>
      <c r="E39" s="2">
        <f>'AEO 2017_Table 15'!H56</f>
        <v>519.51788299999998</v>
      </c>
      <c r="F39" s="2">
        <f>'AEO 2017_Table 15'!I56</f>
        <v>550.27893100000006</v>
      </c>
      <c r="G39" s="2">
        <f>'AEO 2017_Table 15'!J56</f>
        <v>558.07135000000005</v>
      </c>
      <c r="H39" s="2">
        <f>'AEO 2017_Table 15'!K56</f>
        <v>565.45977800000003</v>
      </c>
      <c r="I39" s="2">
        <f>'AEO 2017_Table 15'!L56</f>
        <v>557.77752699999996</v>
      </c>
      <c r="J39" s="2">
        <f>'AEO 2017_Table 15'!M56</f>
        <v>564.860229</v>
      </c>
      <c r="K39" s="2">
        <f>'AEO 2017_Table 15'!N56</f>
        <v>580.10186799999997</v>
      </c>
      <c r="L39" s="2">
        <f>'AEO 2017_Table 15'!O56</f>
        <v>589.39074700000003</v>
      </c>
      <c r="M39" s="2">
        <f>'AEO 2017_Table 15'!P56</f>
        <v>593.64502000000005</v>
      </c>
      <c r="N39" s="2">
        <f>'AEO 2017_Table 15'!Q56</f>
        <v>599.72204599999998</v>
      </c>
      <c r="O39" s="2">
        <f>'AEO 2017_Table 15'!R56</f>
        <v>610.03497300000004</v>
      </c>
      <c r="P39" s="2">
        <f>'AEO 2017_Table 15'!S56</f>
        <v>619.53985599999999</v>
      </c>
      <c r="Q39" s="2">
        <f>'AEO 2017_Table 15'!T56</f>
        <v>625.228882</v>
      </c>
      <c r="R39" s="2">
        <f>'AEO 2017_Table 15'!U56</f>
        <v>621.825378</v>
      </c>
      <c r="S39" s="2">
        <f>'AEO 2017_Table 15'!V56</f>
        <v>616.64837599999998</v>
      </c>
      <c r="T39" s="2">
        <f>'AEO 2017_Table 15'!W56</f>
        <v>614.00317399999994</v>
      </c>
      <c r="U39" s="2">
        <f>'AEO 2017_Table 15'!X56</f>
        <v>607.58831799999996</v>
      </c>
      <c r="V39" s="2">
        <f>'AEO 2017_Table 15'!Y56</f>
        <v>603.94592299999999</v>
      </c>
      <c r="W39" s="2">
        <f>'AEO 2017_Table 15'!Z56</f>
        <v>593.08862299999998</v>
      </c>
      <c r="X39" s="2">
        <f>'AEO 2017_Table 15'!AA56</f>
        <v>581.72442599999999</v>
      </c>
      <c r="Y39" s="2">
        <f>'AEO 2017_Table 15'!AB56</f>
        <v>575.068848</v>
      </c>
      <c r="Z39" s="2">
        <f>'AEO 2017_Table 15'!AC56</f>
        <v>567.40045199999997</v>
      </c>
      <c r="AA39" s="2">
        <f>'AEO 2017_Table 15'!AD56</f>
        <v>559.618469</v>
      </c>
      <c r="AB39" s="2">
        <f>'AEO 2017_Table 15'!AE56</f>
        <v>555.70495600000004</v>
      </c>
      <c r="AC39" s="2">
        <f>'AEO 2017_Table 15'!AF56</f>
        <v>557.67394999999999</v>
      </c>
      <c r="AD39" s="2">
        <f>'AEO 2017_Table 15'!AG56</f>
        <v>557.68725600000005</v>
      </c>
      <c r="AE39" s="2">
        <f>'AEO 2017_Table 15'!AH56</f>
        <v>559.84491000000003</v>
      </c>
      <c r="AF39" s="2">
        <f>'AEO 2017_Table 15'!AI56</f>
        <v>556.43322799999999</v>
      </c>
      <c r="AG39" s="2">
        <f>'AEO 2017_Table 15'!AJ56</f>
        <v>552.89892599999996</v>
      </c>
      <c r="AH39" s="2">
        <f>'AEO 2017_Table 15'!AK56</f>
        <v>548.07006799999999</v>
      </c>
      <c r="AI39" s="2">
        <f>'AEO 2017_Table 15'!AL56</f>
        <v>546.07818599999996</v>
      </c>
      <c r="AJ39" s="2">
        <f>'AEO 2017_Table 15'!AM56</f>
        <v>547.70983899999999</v>
      </c>
      <c r="AK39" s="2">
        <f>'AEO 2017_Table 15'!AN56</f>
        <v>549.47393799999998</v>
      </c>
    </row>
    <row r="41" spans="1:37" x14ac:dyDescent="0.25">
      <c r="A41" s="56" t="s">
        <v>445</v>
      </c>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row>
    <row r="42" spans="1:37" x14ac:dyDescent="0.25">
      <c r="A42" t="s">
        <v>446</v>
      </c>
      <c r="B42" s="55">
        <v>2015</v>
      </c>
      <c r="C42" s="55">
        <v>2016</v>
      </c>
      <c r="D42" s="55">
        <v>2017</v>
      </c>
      <c r="E42" s="55">
        <v>2018</v>
      </c>
      <c r="F42" s="55">
        <v>2019</v>
      </c>
      <c r="G42" s="55">
        <v>2020</v>
      </c>
      <c r="H42" s="55">
        <v>2021</v>
      </c>
      <c r="I42" s="55">
        <v>2022</v>
      </c>
      <c r="J42" s="55">
        <v>2023</v>
      </c>
      <c r="K42" s="55">
        <v>2024</v>
      </c>
      <c r="L42" s="55">
        <v>2025</v>
      </c>
      <c r="M42" s="55">
        <v>2026</v>
      </c>
      <c r="N42" s="55">
        <v>2027</v>
      </c>
      <c r="O42" s="55">
        <v>2028</v>
      </c>
      <c r="P42" s="55">
        <v>2029</v>
      </c>
      <c r="Q42" s="55">
        <v>2030</v>
      </c>
      <c r="R42" s="55">
        <v>2031</v>
      </c>
      <c r="S42" s="55">
        <v>2032</v>
      </c>
      <c r="T42" s="55">
        <v>2033</v>
      </c>
      <c r="U42" s="55">
        <v>2034</v>
      </c>
      <c r="V42" s="55">
        <v>2035</v>
      </c>
      <c r="W42" s="55">
        <v>2036</v>
      </c>
      <c r="X42" s="55">
        <v>2037</v>
      </c>
      <c r="Y42" s="55">
        <v>2038</v>
      </c>
      <c r="Z42" s="55">
        <v>2039</v>
      </c>
      <c r="AA42" s="55">
        <v>2040</v>
      </c>
      <c r="AB42" s="55">
        <v>2041</v>
      </c>
      <c r="AC42" s="55">
        <v>2042</v>
      </c>
      <c r="AD42" s="55">
        <v>2043</v>
      </c>
      <c r="AE42" s="55">
        <v>2044</v>
      </c>
      <c r="AF42" s="55">
        <v>2045</v>
      </c>
      <c r="AG42" s="55">
        <v>2046</v>
      </c>
      <c r="AH42" s="55">
        <v>2047</v>
      </c>
      <c r="AI42" s="55">
        <v>2048</v>
      </c>
      <c r="AJ42" s="55">
        <v>2049</v>
      </c>
      <c r="AK42" s="55">
        <v>2050</v>
      </c>
    </row>
    <row r="43" spans="1:37" x14ac:dyDescent="0.25">
      <c r="A43" t="s">
        <v>441</v>
      </c>
      <c r="B43" s="2">
        <f>SUM(J18,J21)</f>
        <v>2652</v>
      </c>
      <c r="C43" s="2">
        <f>$G$28*$C$12*C38/$B$38</f>
        <v>2449.151261839892</v>
      </c>
      <c r="D43" s="2">
        <f t="shared" ref="D43:AK43" si="3">$G$28*$C$12*D38/$B$38</f>
        <v>2500.7013966740142</v>
      </c>
      <c r="E43" s="2">
        <f>$G$28*$C$12*E38/$B$38</f>
        <v>2393.7140451325167</v>
      </c>
      <c r="F43" s="2">
        <f t="shared" si="3"/>
        <v>2535.4732268386042</v>
      </c>
      <c r="G43" s="2">
        <f t="shared" si="3"/>
        <v>2689.5653820996563</v>
      </c>
      <c r="H43" s="2">
        <f t="shared" si="3"/>
        <v>2609.5896291693398</v>
      </c>
      <c r="I43" s="2">
        <f t="shared" si="3"/>
        <v>2727.6812820059554</v>
      </c>
      <c r="J43" s="2">
        <f t="shared" si="3"/>
        <v>2723.210637470132</v>
      </c>
      <c r="K43" s="2">
        <f t="shared" si="3"/>
        <v>2679.6069644409131</v>
      </c>
      <c r="L43" s="2">
        <f t="shared" si="3"/>
        <v>2573.7331483381627</v>
      </c>
      <c r="M43" s="2">
        <f t="shared" si="3"/>
        <v>2526.0762176931312</v>
      </c>
      <c r="N43" s="2">
        <f t="shared" si="3"/>
        <v>2531.6307672288676</v>
      </c>
      <c r="O43" s="2">
        <f t="shared" si="3"/>
        <v>2491.7294175319462</v>
      </c>
      <c r="P43" s="2">
        <f t="shared" si="3"/>
        <v>2479.7545602079222</v>
      </c>
      <c r="Q43" s="2">
        <f t="shared" si="3"/>
        <v>2466.9459592412518</v>
      </c>
      <c r="R43" s="2">
        <f t="shared" si="3"/>
        <v>2483.1901016652755</v>
      </c>
      <c r="S43" s="2">
        <f t="shared" si="3"/>
        <v>2525.340843182853</v>
      </c>
      <c r="T43" s="2">
        <f t="shared" si="3"/>
        <v>2549.8208445719929</v>
      </c>
      <c r="U43" s="2">
        <f t="shared" si="3"/>
        <v>2528.0565906388242</v>
      </c>
      <c r="V43" s="2">
        <f t="shared" si="3"/>
        <v>2548.1282204707104</v>
      </c>
      <c r="W43" s="2">
        <f t="shared" si="3"/>
        <v>2623.8893378190101</v>
      </c>
      <c r="X43" s="2">
        <f t="shared" si="3"/>
        <v>2726.8773355960043</v>
      </c>
      <c r="Y43" s="2">
        <f t="shared" si="3"/>
        <v>2790.9694465043099</v>
      </c>
      <c r="Z43" s="2">
        <f t="shared" si="3"/>
        <v>2815.8374987167344</v>
      </c>
      <c r="AA43" s="2">
        <f t="shared" si="3"/>
        <v>2847.8173762536903</v>
      </c>
      <c r="AB43" s="2">
        <f t="shared" si="3"/>
        <v>2850.8388274226377</v>
      </c>
      <c r="AC43" s="2">
        <f t="shared" si="3"/>
        <v>2864.0672191031977</v>
      </c>
      <c r="AD43" s="2">
        <f t="shared" si="3"/>
        <v>2866.7194867779594</v>
      </c>
      <c r="AE43" s="2">
        <f t="shared" si="3"/>
        <v>2886.4791237871696</v>
      </c>
      <c r="AF43" s="2">
        <f t="shared" si="3"/>
        <v>2923.0524159530378</v>
      </c>
      <c r="AG43" s="2">
        <f t="shared" si="3"/>
        <v>2923.1802683531846</v>
      </c>
      <c r="AH43" s="2">
        <f t="shared" si="3"/>
        <v>2952.2237301560845</v>
      </c>
      <c r="AI43" s="2">
        <f t="shared" si="3"/>
        <v>2964.1694083658399</v>
      </c>
      <c r="AJ43" s="2">
        <f t="shared" si="3"/>
        <v>2951.9833017111755</v>
      </c>
      <c r="AK43" s="2">
        <f t="shared" si="3"/>
        <v>2948.3171922695187</v>
      </c>
    </row>
    <row r="44" spans="1:37" x14ac:dyDescent="0.25">
      <c r="A44" t="s">
        <v>442</v>
      </c>
      <c r="B44" s="2">
        <f>SUM(J20,J22)</f>
        <v>422</v>
      </c>
      <c r="C44" s="2">
        <f>$G$29*$E$12*C39/$B$39</f>
        <v>369.5873450303701</v>
      </c>
      <c r="D44" s="2">
        <f t="shared" ref="D44:AK44" si="4">$G$29*$E$12*D39/$B$39</f>
        <v>375.26199465785669</v>
      </c>
      <c r="E44" s="2">
        <f t="shared" si="4"/>
        <v>391.05355377792705</v>
      </c>
      <c r="F44" s="2">
        <f t="shared" si="4"/>
        <v>414.20813138143455</v>
      </c>
      <c r="G44" s="2">
        <f t="shared" si="4"/>
        <v>420.07367180302697</v>
      </c>
      <c r="H44" s="2">
        <f t="shared" si="4"/>
        <v>425.63511852272023</v>
      </c>
      <c r="I44" s="2">
        <f t="shared" si="4"/>
        <v>419.85250419341895</v>
      </c>
      <c r="J44" s="2">
        <f t="shared" si="4"/>
        <v>425.18382363030935</v>
      </c>
      <c r="K44" s="2">
        <f t="shared" si="4"/>
        <v>436.65657036605597</v>
      </c>
      <c r="L44" s="2">
        <f t="shared" si="4"/>
        <v>443.64853207214253</v>
      </c>
      <c r="M44" s="2">
        <f t="shared" si="4"/>
        <v>446.85082525555447</v>
      </c>
      <c r="N44" s="2">
        <f t="shared" si="4"/>
        <v>451.42514827977431</v>
      </c>
      <c r="O44" s="2">
        <f t="shared" si="4"/>
        <v>459.18793544296869</v>
      </c>
      <c r="P44" s="2">
        <f t="shared" si="4"/>
        <v>466.34248853347981</v>
      </c>
      <c r="Q44" s="2">
        <f t="shared" si="4"/>
        <v>470.62475466450923</v>
      </c>
      <c r="R44" s="2">
        <f t="shared" si="4"/>
        <v>468.06285568460947</v>
      </c>
      <c r="S44" s="2">
        <f t="shared" si="4"/>
        <v>464.16600228213389</v>
      </c>
      <c r="T44" s="2">
        <f t="shared" si="4"/>
        <v>462.17489538012092</v>
      </c>
      <c r="U44" s="2">
        <f t="shared" si="4"/>
        <v>457.3462796233585</v>
      </c>
      <c r="V44" s="2">
        <f t="shared" si="4"/>
        <v>454.60456166595577</v>
      </c>
      <c r="W44" s="2">
        <f t="shared" si="4"/>
        <v>446.43201190709965</v>
      </c>
      <c r="X44" s="2">
        <f t="shared" si="4"/>
        <v>437.87790863538908</v>
      </c>
      <c r="Y44" s="2">
        <f t="shared" si="4"/>
        <v>432.86809566356845</v>
      </c>
      <c r="Z44" s="2">
        <f t="shared" si="4"/>
        <v>427.09591032461555</v>
      </c>
      <c r="AA44" s="2">
        <f t="shared" si="4"/>
        <v>421.23822533018114</v>
      </c>
      <c r="AB44" s="2">
        <f t="shared" si="4"/>
        <v>418.29243036048985</v>
      </c>
      <c r="AC44" s="2">
        <f t="shared" si="4"/>
        <v>419.77453930469227</v>
      </c>
      <c r="AD44" s="2">
        <f t="shared" si="4"/>
        <v>419.78455504959123</v>
      </c>
      <c r="AE44" s="2">
        <f t="shared" si="4"/>
        <v>421.40867289448772</v>
      </c>
      <c r="AF44" s="2">
        <f t="shared" si="4"/>
        <v>418.84061813811235</v>
      </c>
      <c r="AG44" s="2">
        <f t="shared" si="4"/>
        <v>416.18026437080141</v>
      </c>
      <c r="AH44" s="2">
        <f t="shared" si="4"/>
        <v>412.5454672957045</v>
      </c>
      <c r="AI44" s="2">
        <f t="shared" si="4"/>
        <v>411.04613000569964</v>
      </c>
      <c r="AJ44" s="2">
        <f t="shared" si="4"/>
        <v>412.27431429937178</v>
      </c>
      <c r="AK44" s="2">
        <f t="shared" si="4"/>
        <v>413.60219386952718</v>
      </c>
    </row>
    <row r="45" spans="1:37" x14ac:dyDescent="0.25">
      <c r="A45" t="s">
        <v>439</v>
      </c>
      <c r="B45" s="2">
        <f>J19</f>
        <v>-638</v>
      </c>
      <c r="C45" s="2">
        <f>C43*$G$33*-1</f>
        <v>-616.4747038156886</v>
      </c>
      <c r="D45" s="2">
        <f t="shared" ref="D45:AK45" si="5">D43*$G$33*-1</f>
        <v>-629.45036383255933</v>
      </c>
      <c r="E45" s="2">
        <f t="shared" si="5"/>
        <v>-602.5206282620328</v>
      </c>
      <c r="F45" s="2">
        <f t="shared" si="5"/>
        <v>-638.20276472989781</v>
      </c>
      <c r="G45" s="2">
        <f t="shared" si="5"/>
        <v>-676.98922812845296</v>
      </c>
      <c r="H45" s="2">
        <f t="shared" si="5"/>
        <v>-656.8585692474187</v>
      </c>
      <c r="I45" s="2">
        <f t="shared" si="5"/>
        <v>-686.58336323620119</v>
      </c>
      <c r="J45" s="2">
        <f t="shared" si="5"/>
        <v>-685.45805941808737</v>
      </c>
      <c r="K45" s="2">
        <f t="shared" si="5"/>
        <v>-674.48259953743866</v>
      </c>
      <c r="L45" s="2">
        <f t="shared" si="5"/>
        <v>-647.83315144465416</v>
      </c>
      <c r="M45" s="2">
        <f t="shared" si="5"/>
        <v>-635.83744800978764</v>
      </c>
      <c r="N45" s="2">
        <f t="shared" si="5"/>
        <v>-637.23558104192227</v>
      </c>
      <c r="O45" s="2">
        <f t="shared" si="5"/>
        <v>-627.1920312132454</v>
      </c>
      <c r="P45" s="2">
        <f t="shared" si="5"/>
        <v>-624.17784554938521</v>
      </c>
      <c r="Q45" s="2">
        <f t="shared" si="5"/>
        <v>-620.95379866822623</v>
      </c>
      <c r="R45" s="2">
        <f t="shared" si="5"/>
        <v>-625.04260406200456</v>
      </c>
      <c r="S45" s="2">
        <f t="shared" si="5"/>
        <v>-635.6523472401941</v>
      </c>
      <c r="T45" s="2">
        <f t="shared" si="5"/>
        <v>-641.81419679228782</v>
      </c>
      <c r="U45" s="2">
        <f t="shared" si="5"/>
        <v>-636.33592674573288</v>
      </c>
      <c r="V45" s="2">
        <f t="shared" si="5"/>
        <v>-641.3881471816461</v>
      </c>
      <c r="W45" s="2">
        <f t="shared" si="5"/>
        <v>-660.45794213704312</v>
      </c>
      <c r="X45" s="2">
        <f t="shared" si="5"/>
        <v>-686.38100226622748</v>
      </c>
      <c r="Y45" s="2">
        <f t="shared" si="5"/>
        <v>-702.51359713888462</v>
      </c>
      <c r="Z45" s="2">
        <f t="shared" si="5"/>
        <v>-708.7731227798655</v>
      </c>
      <c r="AA45" s="2">
        <f t="shared" si="5"/>
        <v>-716.82276260400874</v>
      </c>
      <c r="AB45" s="2">
        <f t="shared" si="5"/>
        <v>-717.58329064631141</v>
      </c>
      <c r="AC45" s="2">
        <f t="shared" si="5"/>
        <v>-720.91300284918486</v>
      </c>
      <c r="AD45" s="2">
        <f t="shared" si="5"/>
        <v>-721.58060388906938</v>
      </c>
      <c r="AE45" s="2">
        <f t="shared" si="5"/>
        <v>-726.55429275939548</v>
      </c>
      <c r="AF45" s="2">
        <f t="shared" si="5"/>
        <v>-735.76013880362086</v>
      </c>
      <c r="AG45" s="2">
        <f t="shared" si="5"/>
        <v>-735.79232047069081</v>
      </c>
      <c r="AH45" s="2">
        <f t="shared" si="5"/>
        <v>-743.10283648156167</v>
      </c>
      <c r="AI45" s="2">
        <f t="shared" si="5"/>
        <v>-746.10967748439305</v>
      </c>
      <c r="AJ45" s="2">
        <f t="shared" si="5"/>
        <v>-743.04231835159817</v>
      </c>
      <c r="AK45" s="2">
        <f t="shared" si="5"/>
        <v>-742.11952368088305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K200"/>
  <sheetViews>
    <sheetView topLeftCell="A170" workbookViewId="0">
      <selection activeCell="C200" sqref="C200:AK200"/>
    </sheetView>
  </sheetViews>
  <sheetFormatPr defaultRowHeight="15" x14ac:dyDescent="0.25"/>
  <cols>
    <col min="1" max="1" width="61.28515625" customWidth="1"/>
    <col min="2" max="2" width="14" bestFit="1" customWidth="1"/>
  </cols>
  <sheetData>
    <row r="1" spans="1:37" x14ac:dyDescent="0.25">
      <c r="A1" s="56" t="s">
        <v>1384</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row>
    <row r="2" spans="1:37" x14ac:dyDescent="0.25">
      <c r="A2" s="174" t="s">
        <v>1389</v>
      </c>
      <c r="B2" s="175">
        <v>2015</v>
      </c>
      <c r="C2" s="175">
        <v>2016</v>
      </c>
      <c r="D2" s="175">
        <v>2017</v>
      </c>
      <c r="E2" s="175">
        <v>2018</v>
      </c>
      <c r="F2" s="175">
        <v>2019</v>
      </c>
      <c r="G2" s="175">
        <v>2020</v>
      </c>
      <c r="H2" s="175">
        <v>2021</v>
      </c>
      <c r="I2" s="175">
        <v>2022</v>
      </c>
      <c r="J2" s="175">
        <v>2023</v>
      </c>
      <c r="K2" s="175">
        <v>2024</v>
      </c>
      <c r="L2" s="175">
        <v>2025</v>
      </c>
      <c r="M2" s="175">
        <v>2026</v>
      </c>
      <c r="N2" s="175">
        <v>2027</v>
      </c>
      <c r="O2" s="175">
        <v>2028</v>
      </c>
      <c r="P2" s="175">
        <v>2029</v>
      </c>
      <c r="Q2" s="175">
        <v>2030</v>
      </c>
      <c r="R2" s="175">
        <v>2031</v>
      </c>
      <c r="S2" s="175">
        <v>2032</v>
      </c>
      <c r="T2" s="175">
        <v>2033</v>
      </c>
      <c r="U2" s="175">
        <v>2034</v>
      </c>
      <c r="V2" s="175">
        <v>2035</v>
      </c>
      <c r="W2" s="175">
        <v>2036</v>
      </c>
      <c r="X2" s="175">
        <v>2037</v>
      </c>
      <c r="Y2" s="175">
        <v>2038</v>
      </c>
      <c r="Z2" s="175">
        <v>2039</v>
      </c>
      <c r="AA2" s="175">
        <v>2040</v>
      </c>
      <c r="AB2" s="175">
        <v>2041</v>
      </c>
      <c r="AC2" s="175">
        <v>2042</v>
      </c>
      <c r="AD2" s="175">
        <v>2043</v>
      </c>
      <c r="AE2" s="175">
        <v>2044</v>
      </c>
      <c r="AF2" s="175">
        <v>2045</v>
      </c>
      <c r="AG2" s="175">
        <v>2046</v>
      </c>
      <c r="AH2" s="175">
        <v>2047</v>
      </c>
      <c r="AI2" s="175">
        <v>2048</v>
      </c>
      <c r="AJ2" s="175">
        <v>2049</v>
      </c>
      <c r="AK2" s="175">
        <v>2050</v>
      </c>
    </row>
    <row r="3" spans="1:37" x14ac:dyDescent="0.25">
      <c r="A3" s="177" t="s">
        <v>1390</v>
      </c>
      <c r="B3" s="179"/>
      <c r="C3" s="179" t="str">
        <f>IF(B3="","",$B3*'AEO 2017_Table 13'!D16/'AEO 2017_Table 13'!$C$16)</f>
        <v/>
      </c>
      <c r="D3" s="179" t="str">
        <f>IF(C3="","",$B3*'AEO 2017_Table 13'!E16/'AEO 2017_Table 13'!$C$16)</f>
        <v/>
      </c>
      <c r="E3" s="179" t="str">
        <f>IF(D3="","",$B3*'AEO 2017_Table 13'!F16/'AEO 2017_Table 13'!$C$16)</f>
        <v/>
      </c>
      <c r="F3" s="179" t="str">
        <f>IF(E3="","",$B3*'AEO 2017_Table 13'!G16/'AEO 2017_Table 13'!$C$16)</f>
        <v/>
      </c>
      <c r="G3" s="179" t="str">
        <f>IF(F3="","",$B3*'AEO 2017_Table 13'!H16/'AEO 2017_Table 13'!$C$16)</f>
        <v/>
      </c>
      <c r="H3" s="179" t="str">
        <f>IF(G3="","",$B3*'AEO 2017_Table 13'!I16/'AEO 2017_Table 13'!$C$16)</f>
        <v/>
      </c>
      <c r="I3" s="179" t="str">
        <f>IF(H3="","",$B3*'AEO 2017_Table 13'!J16/'AEO 2017_Table 13'!$C$16)</f>
        <v/>
      </c>
      <c r="J3" s="179" t="str">
        <f>IF(I3="","",$B3*'AEO 2017_Table 13'!K16/'AEO 2017_Table 13'!$C$16)</f>
        <v/>
      </c>
      <c r="K3" s="179" t="str">
        <f>IF(J3="","",$B3*'AEO 2017_Table 13'!L16/'AEO 2017_Table 13'!$C$16)</f>
        <v/>
      </c>
      <c r="L3" s="179" t="str">
        <f>IF(K3="","",$B3*'AEO 2017_Table 13'!M16/'AEO 2017_Table 13'!$C$16)</f>
        <v/>
      </c>
      <c r="M3" s="179" t="str">
        <f>IF(L3="","",$B3*'AEO 2017_Table 13'!N16/'AEO 2017_Table 13'!$C$16)</f>
        <v/>
      </c>
      <c r="N3" s="179" t="str">
        <f>IF(M3="","",$B3*'AEO 2017_Table 13'!O16/'AEO 2017_Table 13'!$C$16)</f>
        <v/>
      </c>
      <c r="O3" s="179" t="str">
        <f>IF(N3="","",$B3*'AEO 2017_Table 13'!P16/'AEO 2017_Table 13'!$C$16)</f>
        <v/>
      </c>
      <c r="P3" s="179" t="str">
        <f>IF(O3="","",$B3*'AEO 2017_Table 13'!Q16/'AEO 2017_Table 13'!$C$16)</f>
        <v/>
      </c>
      <c r="Q3" s="179" t="str">
        <f>IF(P3="","",$B3*'AEO 2017_Table 13'!R16/'AEO 2017_Table 13'!$C$16)</f>
        <v/>
      </c>
      <c r="R3" s="179" t="str">
        <f>IF(Q3="","",$B3*'AEO 2017_Table 13'!S16/'AEO 2017_Table 13'!$C$16)</f>
        <v/>
      </c>
      <c r="S3" s="179" t="str">
        <f>IF(R3="","",$B3*'AEO 2017_Table 13'!T16/'AEO 2017_Table 13'!$C$16)</f>
        <v/>
      </c>
      <c r="T3" s="179" t="str">
        <f>IF(S3="","",$B3*'AEO 2017_Table 13'!U16/'AEO 2017_Table 13'!$C$16)</f>
        <v/>
      </c>
      <c r="U3" s="179" t="str">
        <f>IF(T3="","",$B3*'AEO 2017_Table 13'!V16/'AEO 2017_Table 13'!$C$16)</f>
        <v/>
      </c>
      <c r="V3" s="179" t="str">
        <f>IF(U3="","",$B3*'AEO 2017_Table 13'!W16/'AEO 2017_Table 13'!$C$16)</f>
        <v/>
      </c>
      <c r="W3" s="179" t="str">
        <f>IF(V3="","",$B3*'AEO 2017_Table 13'!X16/'AEO 2017_Table 13'!$C$16)</f>
        <v/>
      </c>
      <c r="X3" s="179" t="str">
        <f>IF(W3="","",$B3*'AEO 2017_Table 13'!Y16/'AEO 2017_Table 13'!$C$16)</f>
        <v/>
      </c>
      <c r="Y3" s="179" t="str">
        <f>IF(X3="","",$B3*'AEO 2017_Table 13'!Z16/'AEO 2017_Table 13'!$C$16)</f>
        <v/>
      </c>
      <c r="Z3" s="179" t="str">
        <f>IF(Y3="","",$B3*'AEO 2017_Table 13'!AA16/'AEO 2017_Table 13'!$C$16)</f>
        <v/>
      </c>
      <c r="AA3" s="179" t="str">
        <f>IF(Z3="","",$B3*'AEO 2017_Table 13'!AB16/'AEO 2017_Table 13'!$C$16)</f>
        <v/>
      </c>
      <c r="AB3" s="179" t="str">
        <f>IF(AA3="","",$B3*'AEO 2017_Table 13'!AC16/'AEO 2017_Table 13'!$C$16)</f>
        <v/>
      </c>
      <c r="AC3" s="179" t="str">
        <f>IF(AB3="","",$B3*'AEO 2017_Table 13'!AD16/'AEO 2017_Table 13'!$C$16)</f>
        <v/>
      </c>
      <c r="AD3" s="179" t="str">
        <f>IF(AC3="","",$B3*'AEO 2017_Table 13'!AE16/'AEO 2017_Table 13'!$C$16)</f>
        <v/>
      </c>
      <c r="AE3" s="179" t="str">
        <f>IF(AD3="","",$B3*'AEO 2017_Table 13'!AF16/'AEO 2017_Table 13'!$C$16)</f>
        <v/>
      </c>
      <c r="AF3" s="179" t="str">
        <f>IF(AE3="","",$B3*'AEO 2017_Table 13'!AG16/'AEO 2017_Table 13'!$C$16)</f>
        <v/>
      </c>
      <c r="AG3" s="179" t="str">
        <f>IF(AF3="","",$B3*'AEO 2017_Table 13'!AH16/'AEO 2017_Table 13'!$C$16)</f>
        <v/>
      </c>
      <c r="AH3" s="179" t="str">
        <f>IF(AG3="","",$B3*'AEO 2017_Table 13'!AI16/'AEO 2017_Table 13'!$C$16)</f>
        <v/>
      </c>
      <c r="AI3" s="179" t="str">
        <f>IF(AH3="","",$B3*'AEO 2017_Table 13'!AJ16/'AEO 2017_Table 13'!$C$16)</f>
        <v/>
      </c>
      <c r="AJ3" s="179" t="str">
        <f>IF(AI3="","",$B3*'AEO 2017_Table 13'!AK16/'AEO 2017_Table 13'!$C$16)</f>
        <v/>
      </c>
      <c r="AK3" s="179" t="str">
        <f>IF(AJ3="","",$B3*'AEO 2017_Table 13'!AL16/'AEO 2017_Table 13'!$C$16)</f>
        <v/>
      </c>
    </row>
    <row r="4" spans="1:37" x14ac:dyDescent="0.25">
      <c r="A4" s="181" t="s">
        <v>1292</v>
      </c>
      <c r="B4" s="166">
        <v>4630.1991003726653</v>
      </c>
      <c r="C4" s="166">
        <f>IF(B4="","",$B4*'AEO 2017_Table 13'!D$16/'AEO 2017_Table 13'!$C$16)</f>
        <v>4544.4552118130796</v>
      </c>
      <c r="D4" s="166">
        <f>IF(C4="","",$B4*'AEO 2017_Table 13'!E$16/'AEO 2017_Table 13'!$C$16)</f>
        <v>4771.5566096463881</v>
      </c>
      <c r="E4" s="166">
        <f>IF(D4="","",$B4*'AEO 2017_Table 13'!F$16/'AEO 2017_Table 13'!$C$16)</f>
        <v>4992.8264974428803</v>
      </c>
      <c r="F4" s="166">
        <f>IF(E4="","",$B4*'AEO 2017_Table 13'!G$16/'AEO 2017_Table 13'!$C$16)</f>
        <v>5144.8780773606895</v>
      </c>
      <c r="G4" s="166">
        <f>IF(F4="","",$B4*'AEO 2017_Table 13'!H$16/'AEO 2017_Table 13'!$C$16)</f>
        <v>5280.2699618011811</v>
      </c>
      <c r="H4" s="166">
        <f>IF(G4="","",$B4*'AEO 2017_Table 13'!I$16/'AEO 2017_Table 13'!$C$16)</f>
        <v>5301.9157131197644</v>
      </c>
      <c r="I4" s="166">
        <f>IF(H4="","",$B4*'AEO 2017_Table 13'!J$16/'AEO 2017_Table 13'!$C$16)</f>
        <v>5374.4336218134995</v>
      </c>
      <c r="J4" s="166">
        <f>IF(I4="","",$B4*'AEO 2017_Table 13'!K$16/'AEO 2017_Table 13'!$C$16)</f>
        <v>5470.8828857126546</v>
      </c>
      <c r="K4" s="166">
        <f>IF(J4="","",$B4*'AEO 2017_Table 13'!L$16/'AEO 2017_Table 13'!$C$16)</f>
        <v>5561.8676996116774</v>
      </c>
      <c r="L4" s="166">
        <f>IF(K4="","",$B4*'AEO 2017_Table 13'!M$16/'AEO 2017_Table 13'!$C$16)</f>
        <v>5646.7233131594867</v>
      </c>
      <c r="M4" s="166">
        <f>IF(L4="","",$B4*'AEO 2017_Table 13'!N$16/'AEO 2017_Table 13'!$C$16)</f>
        <v>5729.0411938545249</v>
      </c>
      <c r="N4" s="166">
        <f>IF(M4="","",$B4*'AEO 2017_Table 13'!O$16/'AEO 2017_Table 13'!$C$16)</f>
        <v>5761.3834137829035</v>
      </c>
      <c r="O4" s="166">
        <f>IF(N4="","",$B4*'AEO 2017_Table 13'!P$16/'AEO 2017_Table 13'!$C$16)</f>
        <v>5808.2389785961295</v>
      </c>
      <c r="P4" s="166">
        <f>IF(O4="","",$B4*'AEO 2017_Table 13'!Q$16/'AEO 2017_Table 13'!$C$16)</f>
        <v>5843.2706883499823</v>
      </c>
      <c r="Q4" s="166">
        <f>IF(P4="","",$B4*'AEO 2017_Table 13'!R$16/'AEO 2017_Table 13'!$C$16)</f>
        <v>5866.4799133105798</v>
      </c>
      <c r="R4" s="166">
        <f>IF(Q4="","",$B4*'AEO 2017_Table 13'!S$16/'AEO 2017_Table 13'!$C$16)</f>
        <v>5895.931043010698</v>
      </c>
      <c r="S4" s="166">
        <f>IF(R4="","",$B4*'AEO 2017_Table 13'!T$16/'AEO 2017_Table 13'!$C$16)</f>
        <v>5939.3686502728251</v>
      </c>
      <c r="T4" s="166">
        <f>IF(S4="","",$B4*'AEO 2017_Table 13'!U$16/'AEO 2017_Table 13'!$C$16)</f>
        <v>5985.7987474560368</v>
      </c>
      <c r="U4" s="166">
        <f>IF(T4="","",$B4*'AEO 2017_Table 13'!V$16/'AEO 2017_Table 13'!$C$16)</f>
        <v>6048.9558544396732</v>
      </c>
      <c r="V4" s="166">
        <f>IF(U4="","",$B4*'AEO 2017_Table 13'!W$16/'AEO 2017_Table 13'!$C$16)</f>
        <v>6137.0711598018115</v>
      </c>
      <c r="W4" s="166">
        <f>IF(V4="","",$B4*'AEO 2017_Table 13'!X$16/'AEO 2017_Table 13'!$C$16)</f>
        <v>6207.3502249400262</v>
      </c>
      <c r="X4" s="166">
        <f>IF(W4="","",$B4*'AEO 2017_Table 13'!Y$16/'AEO 2017_Table 13'!$C$16)</f>
        <v>6268.5216450336675</v>
      </c>
      <c r="Y4" s="166">
        <f>IF(X4="","",$B4*'AEO 2017_Table 13'!Z$16/'AEO 2017_Table 13'!$C$16)</f>
        <v>6316.0808414991052</v>
      </c>
      <c r="Z4" s="166">
        <f>IF(Y4="","",$B4*'AEO 2017_Table 13'!AA$16/'AEO 2017_Table 13'!$C$16)</f>
        <v>6374.8777616914258</v>
      </c>
      <c r="AA4" s="166">
        <f>IF(Z4="","",$B4*'AEO 2017_Table 13'!AB$16/'AEO 2017_Table 13'!$C$16)</f>
        <v>6406.4733578681007</v>
      </c>
      <c r="AB4" s="166">
        <f>IF(AA4="","",$B4*'AEO 2017_Table 13'!AC$16/'AEO 2017_Table 13'!$C$16)</f>
        <v>6437.9512824417907</v>
      </c>
      <c r="AC4" s="166">
        <f>IF(AB4="","",$B4*'AEO 2017_Table 13'!AD$16/'AEO 2017_Table 13'!$C$16)</f>
        <v>6456.9767423739204</v>
      </c>
      <c r="AD4" s="166">
        <f>IF(AC4="","",$B4*'AEO 2017_Table 13'!AE$16/'AEO 2017_Table 13'!$C$16)</f>
        <v>6489.8941315058364</v>
      </c>
      <c r="AE4" s="166">
        <f>IF(AD4="","",$B4*'AEO 2017_Table 13'!AF$16/'AEO 2017_Table 13'!$C$16)</f>
        <v>6537.2683420451804</v>
      </c>
      <c r="AF4" s="166">
        <f>IF(AE4="","",$B4*'AEO 2017_Table 13'!AG$16/'AEO 2017_Table 13'!$C$16)</f>
        <v>6583.7566755384587</v>
      </c>
      <c r="AG4" s="166">
        <f>IF(AF4="","",$B4*'AEO 2017_Table 13'!AH$16/'AEO 2017_Table 13'!$C$16)</f>
        <v>6624.1495514837097</v>
      </c>
      <c r="AH4" s="166">
        <f>IF(AG4="","",$B4*'AEO 2017_Table 13'!AI$16/'AEO 2017_Table 13'!$C$16)</f>
        <v>6669.5466392963026</v>
      </c>
      <c r="AI4" s="166">
        <f>IF(AH4="","",$B4*'AEO 2017_Table 13'!AJ$16/'AEO 2017_Table 13'!$C$16)</f>
        <v>6707.1369784612452</v>
      </c>
      <c r="AJ4" s="166">
        <f>IF(AI4="","",$B4*'AEO 2017_Table 13'!AK$16/'AEO 2017_Table 13'!$C$16)</f>
        <v>6745.2259232103133</v>
      </c>
      <c r="AK4" s="166">
        <f>IF(AJ4="","",$B4*'AEO 2017_Table 13'!AL$16/'AEO 2017_Table 13'!$C$16)</f>
        <v>6793.2386777612082</v>
      </c>
    </row>
    <row r="5" spans="1:37" x14ac:dyDescent="0.25">
      <c r="A5" s="183" t="s">
        <v>1391</v>
      </c>
      <c r="B5" s="184">
        <v>359.74335608174709</v>
      </c>
      <c r="C5" s="184">
        <f>IF(B5="","",$B5*'AEO 2017_Table 13'!D$16/'AEO 2017_Table 13'!$C$16)</f>
        <v>353.0814839753312</v>
      </c>
      <c r="D5" s="184">
        <f>IF(C5="","",$B5*'AEO 2017_Table 13'!E$16/'AEO 2017_Table 13'!$C$16)</f>
        <v>370.72612889369657</v>
      </c>
      <c r="E5" s="184">
        <f>IF(D5="","",$B5*'AEO 2017_Table 13'!F$16/'AEO 2017_Table 13'!$C$16)</f>
        <v>387.91769459317919</v>
      </c>
      <c r="F5" s="184">
        <f>IF(E5="","",$B5*'AEO 2017_Table 13'!G$16/'AEO 2017_Table 13'!$C$16)</f>
        <v>399.73134330922727</v>
      </c>
      <c r="G5" s="184">
        <f>IF(F5="","",$B5*'AEO 2017_Table 13'!H$16/'AEO 2017_Table 13'!$C$16)</f>
        <v>410.25061685211529</v>
      </c>
      <c r="H5" s="184">
        <f>IF(G5="","",$B5*'AEO 2017_Table 13'!I$16/'AEO 2017_Table 13'!$C$16)</f>
        <v>411.93238367368269</v>
      </c>
      <c r="I5" s="184">
        <f>IF(H5="","",$B5*'AEO 2017_Table 13'!J$16/'AEO 2017_Table 13'!$C$16)</f>
        <v>417.56666316879432</v>
      </c>
      <c r="J5" s="184">
        <f>IF(I5="","",$B5*'AEO 2017_Table 13'!K$16/'AEO 2017_Table 13'!$C$16)</f>
        <v>425.06028949771468</v>
      </c>
      <c r="K5" s="184">
        <f>IF(J5="","",$B5*'AEO 2017_Table 13'!L$16/'AEO 2017_Table 13'!$C$16)</f>
        <v>432.12935534023399</v>
      </c>
      <c r="L5" s="184">
        <f>IF(K5="","",$B5*'AEO 2017_Table 13'!M$16/'AEO 2017_Table 13'!$C$16)</f>
        <v>438.72221291251589</v>
      </c>
      <c r="M5" s="184">
        <f>IF(L5="","",$B5*'AEO 2017_Table 13'!N$16/'AEO 2017_Table 13'!$C$16)</f>
        <v>445.11790131053459</v>
      </c>
      <c r="N5" s="184">
        <f>IF(M5="","",$B5*'AEO 2017_Table 13'!O$16/'AEO 2017_Table 13'!$C$16)</f>
        <v>447.63073034616554</v>
      </c>
      <c r="O5" s="184">
        <f>IF(N5="","",$B5*'AEO 2017_Table 13'!P$16/'AEO 2017_Table 13'!$C$16)</f>
        <v>451.27117382853299</v>
      </c>
      <c r="P5" s="184">
        <f>IF(O5="","",$B5*'AEO 2017_Table 13'!Q$16/'AEO 2017_Table 13'!$C$16)</f>
        <v>453.99296279763342</v>
      </c>
      <c r="Q5" s="184">
        <f>IF(P5="","",$B5*'AEO 2017_Table 13'!R$16/'AEO 2017_Table 13'!$C$16)</f>
        <v>455.79620371630358</v>
      </c>
      <c r="R5" s="184">
        <f>IF(Q5="","",$B5*'AEO 2017_Table 13'!S$16/'AEO 2017_Table 13'!$C$16)</f>
        <v>458.08440947356064</v>
      </c>
      <c r="S5" s="184">
        <f>IF(R5="","",$B5*'AEO 2017_Table 13'!T$16/'AEO 2017_Table 13'!$C$16)</f>
        <v>461.45929471669865</v>
      </c>
      <c r="T5" s="184">
        <f>IF(S5="","",$B5*'AEO 2017_Table 13'!U$16/'AEO 2017_Table 13'!$C$16)</f>
        <v>465.0666814881543</v>
      </c>
      <c r="U5" s="184">
        <f>IF(T5="","",$B5*'AEO 2017_Table 13'!V$16/'AEO 2017_Table 13'!$C$16)</f>
        <v>469.97367341964139</v>
      </c>
      <c r="V5" s="184">
        <f>IF(U5="","",$B5*'AEO 2017_Table 13'!W$16/'AEO 2017_Table 13'!$C$16)</f>
        <v>476.81979277347045</v>
      </c>
      <c r="W5" s="184">
        <f>IF(V5="","",$B5*'AEO 2017_Table 13'!X$16/'AEO 2017_Table 13'!$C$16)</f>
        <v>482.28012530065581</v>
      </c>
      <c r="X5" s="184">
        <f>IF(W5="","",$B5*'AEO 2017_Table 13'!Y$16/'AEO 2017_Table 13'!$C$16)</f>
        <v>487.03283927336633</v>
      </c>
      <c r="Y5" s="184">
        <f>IF(X5="","",$B5*'AEO 2017_Table 13'!Z$16/'AEO 2017_Table 13'!$C$16)</f>
        <v>490.72795142257195</v>
      </c>
      <c r="Z5" s="184">
        <f>IF(Y5="","",$B5*'AEO 2017_Table 13'!AA$16/'AEO 2017_Table 13'!$C$16)</f>
        <v>495.29617860648574</v>
      </c>
      <c r="AA5" s="184">
        <f>IF(Z5="","",$B5*'AEO 2017_Table 13'!AB$16/'AEO 2017_Table 13'!$C$16)</f>
        <v>497.75099870376539</v>
      </c>
      <c r="AB5" s="184">
        <f>IF(AA5="","",$B5*'AEO 2017_Table 13'!AC$16/'AEO 2017_Table 13'!$C$16)</f>
        <v>500.19667630491131</v>
      </c>
      <c r="AC5" s="184">
        <f>IF(AB5="","",$B5*'AEO 2017_Table 13'!AD$16/'AEO 2017_Table 13'!$C$16)</f>
        <v>501.67485956628167</v>
      </c>
      <c r="AD5" s="184">
        <f>IF(AC5="","",$B5*'AEO 2017_Table 13'!AE$16/'AEO 2017_Table 13'!$C$16)</f>
        <v>504.23237637777498</v>
      </c>
      <c r="AE5" s="184">
        <f>IF(AD5="","",$B5*'AEO 2017_Table 13'!AF$16/'AEO 2017_Table 13'!$C$16)</f>
        <v>507.91311604397544</v>
      </c>
      <c r="AF5" s="184">
        <f>IF(AE5="","",$B5*'AEO 2017_Table 13'!AG$16/'AEO 2017_Table 13'!$C$16)</f>
        <v>511.52502748600682</v>
      </c>
      <c r="AG5" s="184">
        <f>IF(AF5="","",$B5*'AEO 2017_Table 13'!AH$16/'AEO 2017_Table 13'!$C$16)</f>
        <v>514.6633523051637</v>
      </c>
      <c r="AH5" s="184">
        <f>IF(AG5="","",$B5*'AEO 2017_Table 13'!AI$16/'AEO 2017_Table 13'!$C$16)</f>
        <v>518.19047940531925</v>
      </c>
      <c r="AI5" s="184">
        <f>IF(AH5="","",$B5*'AEO 2017_Table 13'!AJ$16/'AEO 2017_Table 13'!$C$16)</f>
        <v>521.11106110694834</v>
      </c>
      <c r="AJ5" s="184">
        <f>IF(AI5="","",$B5*'AEO 2017_Table 13'!AK$16/'AEO 2017_Table 13'!$C$16)</f>
        <v>524.07038197341797</v>
      </c>
      <c r="AK5" s="184">
        <f>IF(AJ5="","",$B5*'AEO 2017_Table 13'!AL$16/'AEO 2017_Table 13'!$C$16)</f>
        <v>527.80073332169547</v>
      </c>
    </row>
    <row r="6" spans="1:37" x14ac:dyDescent="0.25">
      <c r="A6" s="183" t="s">
        <v>1392</v>
      </c>
      <c r="B6" s="184">
        <v>6.6877663997164287</v>
      </c>
      <c r="C6" s="184">
        <f>B6</f>
        <v>6.6877663997164287</v>
      </c>
      <c r="D6" s="184">
        <f t="shared" ref="D6:AK6" si="0">C6</f>
        <v>6.6877663997164287</v>
      </c>
      <c r="E6" s="184">
        <f t="shared" si="0"/>
        <v>6.6877663997164287</v>
      </c>
      <c r="F6" s="184">
        <f t="shared" si="0"/>
        <v>6.6877663997164287</v>
      </c>
      <c r="G6" s="184">
        <f t="shared" si="0"/>
        <v>6.6877663997164287</v>
      </c>
      <c r="H6" s="184">
        <f t="shared" si="0"/>
        <v>6.6877663997164287</v>
      </c>
      <c r="I6" s="184">
        <f t="shared" si="0"/>
        <v>6.6877663997164287</v>
      </c>
      <c r="J6" s="184">
        <f t="shared" si="0"/>
        <v>6.6877663997164287</v>
      </c>
      <c r="K6" s="184">
        <f t="shared" si="0"/>
        <v>6.6877663997164287</v>
      </c>
      <c r="L6" s="184">
        <f t="shared" si="0"/>
        <v>6.6877663997164287</v>
      </c>
      <c r="M6" s="184">
        <f t="shared" si="0"/>
        <v>6.6877663997164287</v>
      </c>
      <c r="N6" s="184">
        <f t="shared" si="0"/>
        <v>6.6877663997164287</v>
      </c>
      <c r="O6" s="184">
        <f t="shared" si="0"/>
        <v>6.6877663997164287</v>
      </c>
      <c r="P6" s="184">
        <f t="shared" si="0"/>
        <v>6.6877663997164287</v>
      </c>
      <c r="Q6" s="184">
        <f t="shared" si="0"/>
        <v>6.6877663997164287</v>
      </c>
      <c r="R6" s="184">
        <f t="shared" si="0"/>
        <v>6.6877663997164287</v>
      </c>
      <c r="S6" s="184">
        <f t="shared" si="0"/>
        <v>6.6877663997164287</v>
      </c>
      <c r="T6" s="184">
        <f t="shared" si="0"/>
        <v>6.6877663997164287</v>
      </c>
      <c r="U6" s="184">
        <f t="shared" si="0"/>
        <v>6.6877663997164287</v>
      </c>
      <c r="V6" s="184">
        <f t="shared" si="0"/>
        <v>6.6877663997164287</v>
      </c>
      <c r="W6" s="184">
        <f t="shared" si="0"/>
        <v>6.6877663997164287</v>
      </c>
      <c r="X6" s="184">
        <f t="shared" si="0"/>
        <v>6.6877663997164287</v>
      </c>
      <c r="Y6" s="184">
        <f t="shared" si="0"/>
        <v>6.6877663997164287</v>
      </c>
      <c r="Z6" s="184">
        <f t="shared" si="0"/>
        <v>6.6877663997164287</v>
      </c>
      <c r="AA6" s="184">
        <f t="shared" si="0"/>
        <v>6.6877663997164287</v>
      </c>
      <c r="AB6" s="184">
        <f t="shared" si="0"/>
        <v>6.6877663997164287</v>
      </c>
      <c r="AC6" s="184">
        <f t="shared" si="0"/>
        <v>6.6877663997164287</v>
      </c>
      <c r="AD6" s="184">
        <f t="shared" si="0"/>
        <v>6.6877663997164287</v>
      </c>
      <c r="AE6" s="184">
        <f t="shared" si="0"/>
        <v>6.6877663997164287</v>
      </c>
      <c r="AF6" s="184">
        <f t="shared" si="0"/>
        <v>6.6877663997164287</v>
      </c>
      <c r="AG6" s="184">
        <f t="shared" si="0"/>
        <v>6.6877663997164287</v>
      </c>
      <c r="AH6" s="184">
        <f t="shared" si="0"/>
        <v>6.6877663997164287</v>
      </c>
      <c r="AI6" s="184">
        <f t="shared" si="0"/>
        <v>6.6877663997164287</v>
      </c>
      <c r="AJ6" s="184">
        <f t="shared" si="0"/>
        <v>6.6877663997164287</v>
      </c>
      <c r="AK6" s="184">
        <f t="shared" si="0"/>
        <v>6.6877663997164287</v>
      </c>
    </row>
    <row r="7" spans="1:37" x14ac:dyDescent="0.25">
      <c r="A7" s="247" t="s">
        <v>1533</v>
      </c>
      <c r="B7" s="248">
        <v>0</v>
      </c>
      <c r="C7" s="248">
        <f>SUM(C8:C11)</f>
        <v>0</v>
      </c>
      <c r="D7" s="248">
        <f t="shared" ref="D7:AK7" si="1">SUM(D8:D11)</f>
        <v>101.59127423094162</v>
      </c>
      <c r="E7" s="248">
        <f t="shared" si="1"/>
        <v>98.982613337689997</v>
      </c>
      <c r="F7" s="248">
        <f t="shared" si="1"/>
        <v>68.018576283780547</v>
      </c>
      <c r="G7" s="248">
        <f t="shared" si="1"/>
        <v>60.566047554377981</v>
      </c>
      <c r="H7" s="248">
        <f t="shared" si="1"/>
        <v>9.6829851296422476</v>
      </c>
      <c r="I7" s="248">
        <f t="shared" si="1"/>
        <v>32.440076631175408</v>
      </c>
      <c r="J7" s="248">
        <f t="shared" si="1"/>
        <v>43.14550113576842</v>
      </c>
      <c r="K7" s="248">
        <f t="shared" si="1"/>
        <v>40.701040450888968</v>
      </c>
      <c r="L7" s="248">
        <f t="shared" si="1"/>
        <v>37.959211119861891</v>
      </c>
      <c r="M7" s="248">
        <f t="shared" si="1"/>
        <v>36.823984667579296</v>
      </c>
      <c r="N7" s="248">
        <f t="shared" si="1"/>
        <v>14.467930912486336</v>
      </c>
      <c r="O7" s="248">
        <f t="shared" si="1"/>
        <v>20.960313673101542</v>
      </c>
      <c r="P7" s="248">
        <f t="shared" si="1"/>
        <v>15.671044151805475</v>
      </c>
      <c r="Q7" s="248">
        <f t="shared" si="1"/>
        <v>10.382387603754115</v>
      </c>
      <c r="R7" s="248">
        <f t="shared" si="1"/>
        <v>13.174633984295005</v>
      </c>
      <c r="S7" s="248">
        <f t="shared" si="1"/>
        <v>19.431328531679746</v>
      </c>
      <c r="T7" s="248">
        <f t="shared" si="1"/>
        <v>20.769985480103372</v>
      </c>
      <c r="U7" s="248">
        <f t="shared" si="1"/>
        <v>28.252626520234202</v>
      </c>
      <c r="V7" s="248">
        <f t="shared" si="1"/>
        <v>39.41739785132733</v>
      </c>
      <c r="W7" s="248">
        <f t="shared" si="1"/>
        <v>31.438554968257439</v>
      </c>
      <c r="X7" s="248">
        <f t="shared" si="1"/>
        <v>27.36435166458412</v>
      </c>
      <c r="Y7" s="248">
        <f t="shared" si="1"/>
        <v>21.275075435114466</v>
      </c>
      <c r="Z7" s="248">
        <f t="shared" si="1"/>
        <v>26.302145650275044</v>
      </c>
      <c r="AA7" s="248">
        <f t="shared" si="1"/>
        <v>14.133937114868594</v>
      </c>
      <c r="AB7" s="248">
        <f t="shared" si="1"/>
        <v>14.081298037336701</v>
      </c>
      <c r="AC7" s="248">
        <f t="shared" si="1"/>
        <v>8.5108270392662178</v>
      </c>
      <c r="AD7" s="248">
        <f t="shared" si="1"/>
        <v>14.725226432650828</v>
      </c>
      <c r="AE7" s="248">
        <f t="shared" si="1"/>
        <v>21.192324046854296</v>
      </c>
      <c r="AF7" s="248">
        <f t="shared" si="1"/>
        <v>20.796036843073772</v>
      </c>
      <c r="AG7" s="248">
        <f t="shared" si="1"/>
        <v>18.069301978239331</v>
      </c>
      <c r="AH7" s="248">
        <f t="shared" si="1"/>
        <v>20.307880273993305</v>
      </c>
      <c r="AI7" s="248">
        <f t="shared" si="1"/>
        <v>16.815618446095016</v>
      </c>
      <c r="AJ7" s="248">
        <f t="shared" si="1"/>
        <v>17.038664086118544</v>
      </c>
      <c r="AK7" s="248">
        <f t="shared" si="1"/>
        <v>21.477969579663934</v>
      </c>
    </row>
    <row r="8" spans="1:37" x14ac:dyDescent="0.25">
      <c r="A8" s="247" t="s">
        <v>1534</v>
      </c>
      <c r="B8" s="248">
        <v>0</v>
      </c>
      <c r="C8" s="248">
        <f>MAX(0,0.95*(SUM(C30:C33)-SUM(B30:B33)))</f>
        <v>0</v>
      </c>
      <c r="D8" s="248">
        <f t="shared" ref="D8:AK8" si="2">MAX(0,0.95*(SUM(D30:D33)-SUM(C30:C33)))</f>
        <v>1.2383701985666025</v>
      </c>
      <c r="E8" s="248">
        <f t="shared" si="2"/>
        <v>1.2065713267360789</v>
      </c>
      <c r="F8" s="248">
        <f t="shared" si="2"/>
        <v>0.8291280767606336</v>
      </c>
      <c r="G8" s="248">
        <f t="shared" si="2"/>
        <v>0.73828376407415253</v>
      </c>
      <c r="H8" s="248">
        <f t="shared" si="2"/>
        <v>0.11803297387976935</v>
      </c>
      <c r="I8" s="248">
        <f t="shared" si="2"/>
        <v>0.39543577382386041</v>
      </c>
      <c r="J8" s="248">
        <f t="shared" si="2"/>
        <v>0.52593200757869651</v>
      </c>
      <c r="K8" s="248">
        <f t="shared" si="2"/>
        <v>0.49613469194663717</v>
      </c>
      <c r="L8" s="248">
        <f t="shared" si="2"/>
        <v>0.4627125328212276</v>
      </c>
      <c r="M8" s="248">
        <f t="shared" si="2"/>
        <v>0.44887442893117036</v>
      </c>
      <c r="N8" s="248">
        <f t="shared" si="2"/>
        <v>0.17636017081756242</v>
      </c>
      <c r="O8" s="248">
        <f t="shared" si="2"/>
        <v>0.25550056342803451</v>
      </c>
      <c r="P8" s="248">
        <f t="shared" si="2"/>
        <v>0.191025796309059</v>
      </c>
      <c r="Q8" s="248">
        <f t="shared" si="2"/>
        <v>0.12655850116840134</v>
      </c>
      <c r="R8" s="248">
        <f t="shared" si="2"/>
        <v>0.16059523051246918</v>
      </c>
      <c r="S8" s="248">
        <f t="shared" si="2"/>
        <v>0.23686264745029034</v>
      </c>
      <c r="T8" s="248">
        <f t="shared" si="2"/>
        <v>0.25318051415273396</v>
      </c>
      <c r="U8" s="248">
        <f t="shared" si="2"/>
        <v>0.34439188777527929</v>
      </c>
      <c r="V8" s="248">
        <f t="shared" si="2"/>
        <v>0.48048743530042476</v>
      </c>
      <c r="W8" s="248">
        <f t="shared" si="2"/>
        <v>0.38322749520972577</v>
      </c>
      <c r="X8" s="248">
        <f t="shared" si="2"/>
        <v>0.33356405715989723</v>
      </c>
      <c r="Y8" s="248">
        <f t="shared" si="2"/>
        <v>0.25933742430684742</v>
      </c>
      <c r="Z8" s="248">
        <f t="shared" si="2"/>
        <v>0.32061605268986854</v>
      </c>
      <c r="AA8" s="248">
        <f t="shared" si="2"/>
        <v>0.17228887661826242</v>
      </c>
      <c r="AB8" s="248">
        <f t="shared" si="2"/>
        <v>0.17164722047812936</v>
      </c>
      <c r="AC8" s="248">
        <f t="shared" si="2"/>
        <v>0.10374468329458324</v>
      </c>
      <c r="AD8" s="248">
        <f t="shared" si="2"/>
        <v>0.17949653372677155</v>
      </c>
      <c r="AE8" s="248">
        <f t="shared" si="2"/>
        <v>0.25832870723062307</v>
      </c>
      <c r="AF8" s="248">
        <f t="shared" si="2"/>
        <v>0.25349807323228218</v>
      </c>
      <c r="AG8" s="248">
        <f t="shared" si="2"/>
        <v>0.22025991157354879</v>
      </c>
      <c r="AH8" s="248">
        <f t="shared" si="2"/>
        <v>0.24754757647987269</v>
      </c>
      <c r="AI8" s="248">
        <f t="shared" si="2"/>
        <v>0.20497784786884488</v>
      </c>
      <c r="AJ8" s="248">
        <f t="shared" si="2"/>
        <v>0.20769671398815176</v>
      </c>
      <c r="AK8" s="248">
        <f t="shared" si="2"/>
        <v>0.26181064913816349</v>
      </c>
    </row>
    <row r="9" spans="1:37" ht="15" customHeight="1" x14ac:dyDescent="0.25">
      <c r="A9" s="249" t="s">
        <v>1535</v>
      </c>
      <c r="B9" s="248">
        <v>0</v>
      </c>
      <c r="C9" s="248">
        <f>MAX(0,0.77*(C39-B39))</f>
        <v>0</v>
      </c>
      <c r="D9" s="248">
        <f t="shared" ref="D9:AK9" si="3">MAX(0,0.77*(D39-C39))</f>
        <v>38.531503582615912</v>
      </c>
      <c r="E9" s="248">
        <f t="shared" si="3"/>
        <v>37.542091575383353</v>
      </c>
      <c r="F9" s="248">
        <f t="shared" si="3"/>
        <v>25.798062241104351</v>
      </c>
      <c r="G9" s="248">
        <f t="shared" si="3"/>
        <v>22.971469705373842</v>
      </c>
      <c r="H9" s="248">
        <f t="shared" si="3"/>
        <v>3.6725592728080416</v>
      </c>
      <c r="I9" s="248">
        <f t="shared" si="3"/>
        <v>12.303861117963697</v>
      </c>
      <c r="J9" s="248">
        <f t="shared" si="3"/>
        <v>16.36421084558344</v>
      </c>
      <c r="K9" s="248">
        <f t="shared" si="3"/>
        <v>15.437076636961667</v>
      </c>
      <c r="L9" s="248">
        <f t="shared" si="3"/>
        <v>14.397156550407439</v>
      </c>
      <c r="M9" s="248">
        <f t="shared" si="3"/>
        <v>13.966588251659863</v>
      </c>
      <c r="N9" s="248">
        <f t="shared" si="3"/>
        <v>5.4873918651736293</v>
      </c>
      <c r="O9" s="248">
        <f t="shared" si="3"/>
        <v>7.9498205677775973</v>
      </c>
      <c r="P9" s="248">
        <f t="shared" si="3"/>
        <v>5.9437082411820734</v>
      </c>
      <c r="Q9" s="248">
        <f t="shared" si="3"/>
        <v>3.9378284028680013</v>
      </c>
      <c r="R9" s="248">
        <f t="shared" si="3"/>
        <v>4.9968706506380069</v>
      </c>
      <c r="S9" s="248">
        <f t="shared" si="3"/>
        <v>7.3699076087123512</v>
      </c>
      <c r="T9" s="248">
        <f t="shared" si="3"/>
        <v>7.8776329561357805</v>
      </c>
      <c r="U9" s="248">
        <f t="shared" si="3"/>
        <v>10.715646478732268</v>
      </c>
      <c r="V9" s="248">
        <f t="shared" si="3"/>
        <v>14.950217112871291</v>
      </c>
      <c r="W9" s="248">
        <f t="shared" si="3"/>
        <v>11.924004325784299</v>
      </c>
      <c r="X9" s="248">
        <f t="shared" si="3"/>
        <v>10.378741896700667</v>
      </c>
      <c r="Y9" s="248">
        <f t="shared" si="3"/>
        <v>8.069203300718625</v>
      </c>
      <c r="Z9" s="248">
        <f t="shared" si="3"/>
        <v>9.9758687645773918</v>
      </c>
      <c r="AA9" s="248">
        <f t="shared" si="3"/>
        <v>5.3607148123766981</v>
      </c>
      <c r="AB9" s="248">
        <f t="shared" si="3"/>
        <v>5.3407498811376604</v>
      </c>
      <c r="AC9" s="248">
        <f t="shared" si="3"/>
        <v>3.2279835550544749</v>
      </c>
      <c r="AD9" s="248">
        <f t="shared" si="3"/>
        <v>5.5849788216526468</v>
      </c>
      <c r="AE9" s="248">
        <f t="shared" si="3"/>
        <v>8.0378173826136088</v>
      </c>
      <c r="AF9" s="248">
        <f t="shared" si="3"/>
        <v>7.887513708131519</v>
      </c>
      <c r="AG9" s="248">
        <f t="shared" si="3"/>
        <v>6.8533186455283639</v>
      </c>
      <c r="AH9" s="248">
        <f t="shared" si="3"/>
        <v>7.702365852345852</v>
      </c>
      <c r="AI9" s="248">
        <f t="shared" si="3"/>
        <v>6.3778219862339096</v>
      </c>
      <c r="AJ9" s="248">
        <f t="shared" si="3"/>
        <v>6.4624186599415934</v>
      </c>
      <c r="AK9" s="248">
        <f t="shared" si="3"/>
        <v>8.1461569221470906</v>
      </c>
    </row>
    <row r="10" spans="1:37" ht="15" customHeight="1" x14ac:dyDescent="0.25">
      <c r="A10" s="249" t="s">
        <v>1536</v>
      </c>
      <c r="B10" s="248">
        <v>0</v>
      </c>
      <c r="C10" s="248">
        <f>MAX(0,0.703*(SUM(C47:C52)-SUM(B47:B52)))</f>
        <v>0</v>
      </c>
      <c r="D10" s="248">
        <f t="shared" ref="D10:AK10" si="4">MAX(0,0.703*(SUM(D47:D52)-SUM(C47:C52)))</f>
        <v>0.81048995921985989</v>
      </c>
      <c r="E10" s="248">
        <f t="shared" si="4"/>
        <v>0.78967819682200235</v>
      </c>
      <c r="F10" s="248">
        <f t="shared" si="4"/>
        <v>0.54264870222134787</v>
      </c>
      <c r="G10" s="248">
        <f t="shared" si="4"/>
        <v>0.48319281143050452</v>
      </c>
      <c r="H10" s="248">
        <f t="shared" si="4"/>
        <v>7.7250357201056483E-2</v>
      </c>
      <c r="I10" s="248">
        <f t="shared" si="4"/>
        <v>0.2588052624098538</v>
      </c>
      <c r="J10" s="248">
        <f t="shared" si="4"/>
        <v>0.3442125883425412</v>
      </c>
      <c r="K10" s="248">
        <f t="shared" si="4"/>
        <v>0.32471080675941982</v>
      </c>
      <c r="L10" s="248">
        <f t="shared" si="4"/>
        <v>0.30283663341614664</v>
      </c>
      <c r="M10" s="248">
        <f t="shared" si="4"/>
        <v>0.29377985518415262</v>
      </c>
      <c r="N10" s="248">
        <f t="shared" si="4"/>
        <v>0.11542440848414111</v>
      </c>
      <c r="O10" s="248">
        <f t="shared" si="4"/>
        <v>0.16722030413290365</v>
      </c>
      <c r="P10" s="248">
        <f t="shared" si="4"/>
        <v>0.12502278401052835</v>
      </c>
      <c r="Q10" s="248">
        <f t="shared" si="4"/>
        <v>8.2830154157161495E-2</v>
      </c>
      <c r="R10" s="248">
        <f t="shared" si="4"/>
        <v>0.1051065521276453</v>
      </c>
      <c r="S10" s="248">
        <f t="shared" si="4"/>
        <v>0.15502213933676273</v>
      </c>
      <c r="T10" s="248">
        <f t="shared" si="4"/>
        <v>0.16570187560103461</v>
      </c>
      <c r="U10" s="248">
        <f t="shared" si="4"/>
        <v>0.22539800085768072</v>
      </c>
      <c r="V10" s="248">
        <f t="shared" si="4"/>
        <v>0.31446997214003924</v>
      </c>
      <c r="W10" s="248">
        <f t="shared" si="4"/>
        <v>0.25081517410866166</v>
      </c>
      <c r="X10" s="248">
        <f t="shared" si="4"/>
        <v>0.21831138975862543</v>
      </c>
      <c r="Y10" s="248">
        <f t="shared" si="4"/>
        <v>0.16973145727660832</v>
      </c>
      <c r="Z10" s="248">
        <f t="shared" si="4"/>
        <v>0.20983716482408155</v>
      </c>
      <c r="AA10" s="248">
        <f t="shared" si="4"/>
        <v>0.11275982314981579</v>
      </c>
      <c r="AB10" s="248">
        <f t="shared" si="4"/>
        <v>0.11233987129741088</v>
      </c>
      <c r="AC10" s="248">
        <f t="shared" si="4"/>
        <v>6.789894026037728E-2</v>
      </c>
      <c r="AD10" s="248">
        <f t="shared" si="4"/>
        <v>0.11747709890685827</v>
      </c>
      <c r="AE10" s="248">
        <f t="shared" si="4"/>
        <v>0.16907127095840072</v>
      </c>
      <c r="AF10" s="248">
        <f t="shared" si="4"/>
        <v>0.16590971203454777</v>
      </c>
      <c r="AG10" s="248">
        <f t="shared" si="4"/>
        <v>0.14415596156597582</v>
      </c>
      <c r="AH10" s="248">
        <f t="shared" si="4"/>
        <v>0.16201522404074059</v>
      </c>
      <c r="AI10" s="248">
        <f t="shared" si="4"/>
        <v>0.13415413884513835</v>
      </c>
      <c r="AJ10" s="248">
        <f t="shared" si="4"/>
        <v>0.13593358548615592</v>
      </c>
      <c r="AK10" s="248">
        <f t="shared" si="4"/>
        <v>0.17135013632347759</v>
      </c>
    </row>
    <row r="11" spans="1:37" ht="15" customHeight="1" x14ac:dyDescent="0.25">
      <c r="A11" s="249" t="s">
        <v>1537</v>
      </c>
      <c r="B11" s="248">
        <v>0</v>
      </c>
      <c r="C11" s="248">
        <f>MAX(0,0.632*(C24-B24))</f>
        <v>0</v>
      </c>
      <c r="D11" s="248">
        <f t="shared" ref="D11:AK11" si="5">MAX(0,0.632*(D24-C24))</f>
        <v>61.01091049053926</v>
      </c>
      <c r="E11" s="248">
        <f t="shared" si="5"/>
        <v>59.444272238748553</v>
      </c>
      <c r="F11" s="248">
        <f t="shared" si="5"/>
        <v>40.848737263694218</v>
      </c>
      <c r="G11" s="248">
        <f t="shared" si="5"/>
        <v>36.373101273499479</v>
      </c>
      <c r="H11" s="248">
        <f t="shared" si="5"/>
        <v>5.8151425257533811</v>
      </c>
      <c r="I11" s="248">
        <f t="shared" si="5"/>
        <v>19.481974476977996</v>
      </c>
      <c r="J11" s="248">
        <f t="shared" si="5"/>
        <v>25.911145694263745</v>
      </c>
      <c r="K11" s="248">
        <f t="shared" si="5"/>
        <v>24.443118315221245</v>
      </c>
      <c r="L11" s="248">
        <f t="shared" si="5"/>
        <v>22.796505403217079</v>
      </c>
      <c r="M11" s="248">
        <f t="shared" si="5"/>
        <v>22.11474213180411</v>
      </c>
      <c r="N11" s="248">
        <f t="shared" si="5"/>
        <v>8.6887544680110036</v>
      </c>
      <c r="O11" s="248">
        <f t="shared" si="5"/>
        <v>12.587772237763005</v>
      </c>
      <c r="P11" s="248">
        <f t="shared" si="5"/>
        <v>9.4112873303038143</v>
      </c>
      <c r="Q11" s="248">
        <f t="shared" si="5"/>
        <v>6.2351705455605515</v>
      </c>
      <c r="R11" s="248">
        <f t="shared" si="5"/>
        <v>7.9120615510168832</v>
      </c>
      <c r="S11" s="248">
        <f t="shared" si="5"/>
        <v>11.669536136180344</v>
      </c>
      <c r="T11" s="248">
        <f t="shared" si="5"/>
        <v>12.473470134213825</v>
      </c>
      <c r="U11" s="248">
        <f t="shared" si="5"/>
        <v>16.967190152868973</v>
      </c>
      <c r="V11" s="248">
        <f t="shared" si="5"/>
        <v>23.672223331015573</v>
      </c>
      <c r="W11" s="248">
        <f t="shared" si="5"/>
        <v>18.880507973154753</v>
      </c>
      <c r="X11" s="248">
        <f t="shared" si="5"/>
        <v>16.43373432096493</v>
      </c>
      <c r="Y11" s="248">
        <f t="shared" si="5"/>
        <v>12.776803252812387</v>
      </c>
      <c r="Z11" s="248">
        <f t="shared" si="5"/>
        <v>15.795823668183704</v>
      </c>
      <c r="AA11" s="248">
        <f t="shared" si="5"/>
        <v>8.488173602723819</v>
      </c>
      <c r="AB11" s="248">
        <f t="shared" si="5"/>
        <v>8.4565610644235019</v>
      </c>
      <c r="AC11" s="248">
        <f t="shared" si="5"/>
        <v>5.1111998606567832</v>
      </c>
      <c r="AD11" s="248">
        <f t="shared" si="5"/>
        <v>8.843273978364552</v>
      </c>
      <c r="AE11" s="248">
        <f t="shared" si="5"/>
        <v>12.727106686051663</v>
      </c>
      <c r="AF11" s="248">
        <f t="shared" si="5"/>
        <v>12.489115349675423</v>
      </c>
      <c r="AG11" s="248">
        <f t="shared" si="5"/>
        <v>10.851567459571442</v>
      </c>
      <c r="AH11" s="248">
        <f t="shared" si="5"/>
        <v>12.195951621126842</v>
      </c>
      <c r="AI11" s="248">
        <f t="shared" si="5"/>
        <v>10.098664473147124</v>
      </c>
      <c r="AJ11" s="248">
        <f t="shared" si="5"/>
        <v>10.232615126702644</v>
      </c>
      <c r="AK11" s="248">
        <f t="shared" si="5"/>
        <v>12.898651872055204</v>
      </c>
    </row>
    <row r="12" spans="1:37" x14ac:dyDescent="0.25">
      <c r="A12" s="250" t="s">
        <v>1393</v>
      </c>
      <c r="B12" s="251">
        <f>B4-SUM(B5:B7)</f>
        <v>4263.7679778912016</v>
      </c>
      <c r="C12" s="251">
        <f t="shared" ref="C12:AK12" si="6">C4-SUM(C5:C7)</f>
        <v>4184.6859614380319</v>
      </c>
      <c r="D12" s="251">
        <f t="shared" si="6"/>
        <v>4292.5514401220335</v>
      </c>
      <c r="E12" s="251">
        <f t="shared" si="6"/>
        <v>4499.2384231122942</v>
      </c>
      <c r="F12" s="251">
        <f t="shared" si="6"/>
        <v>4670.4403913679653</v>
      </c>
      <c r="G12" s="251">
        <f t="shared" si="6"/>
        <v>4802.7655309949714</v>
      </c>
      <c r="H12" s="251">
        <f t="shared" si="6"/>
        <v>4873.6125779167232</v>
      </c>
      <c r="I12" s="251">
        <f t="shared" si="6"/>
        <v>4917.7391156138128</v>
      </c>
      <c r="J12" s="251">
        <f t="shared" si="6"/>
        <v>4995.989328679455</v>
      </c>
      <c r="K12" s="251">
        <f t="shared" si="6"/>
        <v>5082.3495374208378</v>
      </c>
      <c r="L12" s="251">
        <f t="shared" si="6"/>
        <v>5163.3541227273927</v>
      </c>
      <c r="M12" s="251">
        <f t="shared" si="6"/>
        <v>5240.4115414766948</v>
      </c>
      <c r="N12" s="251">
        <f t="shared" si="6"/>
        <v>5292.5969861245349</v>
      </c>
      <c r="O12" s="251">
        <f t="shared" si="6"/>
        <v>5329.3197246947784</v>
      </c>
      <c r="P12" s="251">
        <f t="shared" si="6"/>
        <v>5366.9189150008269</v>
      </c>
      <c r="Q12" s="251">
        <f t="shared" si="6"/>
        <v>5393.6135555908058</v>
      </c>
      <c r="R12" s="251">
        <f t="shared" si="6"/>
        <v>5417.9842331531263</v>
      </c>
      <c r="S12" s="251">
        <f t="shared" si="6"/>
        <v>5451.7902606247299</v>
      </c>
      <c r="T12" s="251">
        <f t="shared" si="6"/>
        <v>5493.274314088063</v>
      </c>
      <c r="U12" s="251">
        <f t="shared" si="6"/>
        <v>5544.0417881000812</v>
      </c>
      <c r="V12" s="251">
        <f t="shared" si="6"/>
        <v>5614.1462027772977</v>
      </c>
      <c r="W12" s="251">
        <f t="shared" si="6"/>
        <v>5686.9437782713967</v>
      </c>
      <c r="X12" s="251">
        <f t="shared" si="6"/>
        <v>5747.4366876960003</v>
      </c>
      <c r="Y12" s="251">
        <f t="shared" si="6"/>
        <v>5797.3900482417021</v>
      </c>
      <c r="Z12" s="251">
        <f t="shared" si="6"/>
        <v>5846.5916710349484</v>
      </c>
      <c r="AA12" s="251">
        <f t="shared" si="6"/>
        <v>5887.9006556497507</v>
      </c>
      <c r="AB12" s="251">
        <f t="shared" si="6"/>
        <v>5916.9855416998262</v>
      </c>
      <c r="AC12" s="251">
        <f t="shared" si="6"/>
        <v>5940.1032893686561</v>
      </c>
      <c r="AD12" s="251">
        <f t="shared" si="6"/>
        <v>5964.2487622956942</v>
      </c>
      <c r="AE12" s="251">
        <f t="shared" si="6"/>
        <v>6001.4751355546341</v>
      </c>
      <c r="AF12" s="251">
        <f t="shared" si="6"/>
        <v>6044.7478448096617</v>
      </c>
      <c r="AG12" s="251">
        <f t="shared" si="6"/>
        <v>6084.7291308005906</v>
      </c>
      <c r="AH12" s="251">
        <f t="shared" si="6"/>
        <v>6124.3605132172734</v>
      </c>
      <c r="AI12" s="251">
        <f t="shared" si="6"/>
        <v>6162.5225325084857</v>
      </c>
      <c r="AJ12" s="251">
        <f t="shared" si="6"/>
        <v>6197.4291107510608</v>
      </c>
      <c r="AK12" s="251">
        <f t="shared" si="6"/>
        <v>6237.2722084601319</v>
      </c>
    </row>
    <row r="13" spans="1:37" x14ac:dyDescent="0.25">
      <c r="A13" s="188" t="s">
        <v>1394</v>
      </c>
      <c r="B13" s="190"/>
      <c r="C13" s="190" t="str">
        <f>IF(B13="","",$B13*'AEO 2017_Table 13'!D$16/'AEO 2017_Table 13'!$C$16)</f>
        <v/>
      </c>
      <c r="D13" s="190" t="str">
        <f>IF(C13="","",$B13*'AEO 2017_Table 13'!E$16/'AEO 2017_Table 13'!$C$16)</f>
        <v/>
      </c>
      <c r="E13" s="190" t="str">
        <f>IF(D13="","",$B13*'AEO 2017_Table 13'!F$16/'AEO 2017_Table 13'!$C$16)</f>
        <v/>
      </c>
      <c r="F13" s="190" t="str">
        <f>IF(E13="","",$B13*'AEO 2017_Table 13'!G$16/'AEO 2017_Table 13'!$C$16)</f>
        <v/>
      </c>
      <c r="G13" s="190" t="str">
        <f>IF(F13="","",$B13*'AEO 2017_Table 13'!H$16/'AEO 2017_Table 13'!$C$16)</f>
        <v/>
      </c>
      <c r="H13" s="190" t="str">
        <f>IF(G13="","",$B13*'AEO 2017_Table 13'!I$16/'AEO 2017_Table 13'!$C$16)</f>
        <v/>
      </c>
      <c r="I13" s="190" t="str">
        <f>IF(H13="","",$B13*'AEO 2017_Table 13'!J$16/'AEO 2017_Table 13'!$C$16)</f>
        <v/>
      </c>
      <c r="J13" s="190" t="str">
        <f>IF(I13="","",$B13*'AEO 2017_Table 13'!K$16/'AEO 2017_Table 13'!$C$16)</f>
        <v/>
      </c>
      <c r="K13" s="190" t="str">
        <f>IF(J13="","",$B13*'AEO 2017_Table 13'!L$16/'AEO 2017_Table 13'!$C$16)</f>
        <v/>
      </c>
      <c r="L13" s="190" t="str">
        <f>IF(K13="","",$B13*'AEO 2017_Table 13'!M$16/'AEO 2017_Table 13'!$C$16)</f>
        <v/>
      </c>
      <c r="M13" s="190" t="str">
        <f>IF(L13="","",$B13*'AEO 2017_Table 13'!N$16/'AEO 2017_Table 13'!$C$16)</f>
        <v/>
      </c>
      <c r="N13" s="190" t="str">
        <f>IF(M13="","",$B13*'AEO 2017_Table 13'!O$16/'AEO 2017_Table 13'!$C$16)</f>
        <v/>
      </c>
      <c r="O13" s="190" t="str">
        <f>IF(N13="","",$B13*'AEO 2017_Table 13'!P$16/'AEO 2017_Table 13'!$C$16)</f>
        <v/>
      </c>
      <c r="P13" s="190" t="str">
        <f>IF(O13="","",$B13*'AEO 2017_Table 13'!Q$16/'AEO 2017_Table 13'!$C$16)</f>
        <v/>
      </c>
      <c r="Q13" s="190" t="str">
        <f>IF(P13="","",$B13*'AEO 2017_Table 13'!R$16/'AEO 2017_Table 13'!$C$16)</f>
        <v/>
      </c>
      <c r="R13" s="190" t="str">
        <f>IF(Q13="","",$B13*'AEO 2017_Table 13'!S$16/'AEO 2017_Table 13'!$C$16)</f>
        <v/>
      </c>
      <c r="S13" s="190" t="str">
        <f>IF(R13="","",$B13*'AEO 2017_Table 13'!T$16/'AEO 2017_Table 13'!$C$16)</f>
        <v/>
      </c>
      <c r="T13" s="190" t="str">
        <f>IF(S13="","",$B13*'AEO 2017_Table 13'!U$16/'AEO 2017_Table 13'!$C$16)</f>
        <v/>
      </c>
      <c r="U13" s="190" t="str">
        <f>IF(T13="","",$B13*'AEO 2017_Table 13'!V$16/'AEO 2017_Table 13'!$C$16)</f>
        <v/>
      </c>
      <c r="V13" s="190" t="str">
        <f>IF(U13="","",$B13*'AEO 2017_Table 13'!W$16/'AEO 2017_Table 13'!$C$16)</f>
        <v/>
      </c>
      <c r="W13" s="190" t="str">
        <f>IF(V13="","",$B13*'AEO 2017_Table 13'!X$16/'AEO 2017_Table 13'!$C$16)</f>
        <v/>
      </c>
      <c r="X13" s="190" t="str">
        <f>IF(W13="","",$B13*'AEO 2017_Table 13'!Y$16/'AEO 2017_Table 13'!$C$16)</f>
        <v/>
      </c>
      <c r="Y13" s="190" t="str">
        <f>IF(X13="","",$B13*'AEO 2017_Table 13'!Z$16/'AEO 2017_Table 13'!$C$16)</f>
        <v/>
      </c>
      <c r="Z13" s="190" t="str">
        <f>IF(Y13="","",$B13*'AEO 2017_Table 13'!AA$16/'AEO 2017_Table 13'!$C$16)</f>
        <v/>
      </c>
      <c r="AA13" s="190" t="str">
        <f>IF(Z13="","",$B13*'AEO 2017_Table 13'!AB$16/'AEO 2017_Table 13'!$C$16)</f>
        <v/>
      </c>
      <c r="AB13" s="190" t="str">
        <f>IF(AA13="","",$B13*'AEO 2017_Table 13'!AC$16/'AEO 2017_Table 13'!$C$16)</f>
        <v/>
      </c>
      <c r="AC13" s="190" t="str">
        <f>IF(AB13="","",$B13*'AEO 2017_Table 13'!AD$16/'AEO 2017_Table 13'!$C$16)</f>
        <v/>
      </c>
      <c r="AD13" s="190" t="str">
        <f>IF(AC13="","",$B13*'AEO 2017_Table 13'!AE$16/'AEO 2017_Table 13'!$C$16)</f>
        <v/>
      </c>
      <c r="AE13" s="190" t="str">
        <f>IF(AD13="","",$B13*'AEO 2017_Table 13'!AF$16/'AEO 2017_Table 13'!$C$16)</f>
        <v/>
      </c>
      <c r="AF13" s="190" t="str">
        <f>IF(AE13="","",$B13*'AEO 2017_Table 13'!AG$16/'AEO 2017_Table 13'!$C$16)</f>
        <v/>
      </c>
      <c r="AG13" s="190" t="str">
        <f>IF(AF13="","",$B13*'AEO 2017_Table 13'!AH$16/'AEO 2017_Table 13'!$C$16)</f>
        <v/>
      </c>
      <c r="AH13" s="190" t="str">
        <f>IF(AG13="","",$B13*'AEO 2017_Table 13'!AI$16/'AEO 2017_Table 13'!$C$16)</f>
        <v/>
      </c>
      <c r="AI13" s="190" t="str">
        <f>IF(AH13="","",$B13*'AEO 2017_Table 13'!AJ$16/'AEO 2017_Table 13'!$C$16)</f>
        <v/>
      </c>
      <c r="AJ13" s="190" t="str">
        <f>IF(AI13="","",$B13*'AEO 2017_Table 13'!AK$16/'AEO 2017_Table 13'!$C$16)</f>
        <v/>
      </c>
      <c r="AK13" s="190" t="str">
        <f>IF(AJ13="","",$B13*'AEO 2017_Table 13'!AL$16/'AEO 2017_Table 13'!$C$16)</f>
        <v/>
      </c>
    </row>
    <row r="14" spans="1:37" x14ac:dyDescent="0.25">
      <c r="A14" s="191" t="s">
        <v>1395</v>
      </c>
      <c r="B14" s="193"/>
      <c r="C14" s="193" t="str">
        <f>IF(B14="","",$B14*'AEO 2017_Table 13'!D$16/'AEO 2017_Table 13'!$C$16)</f>
        <v/>
      </c>
      <c r="D14" s="193" t="str">
        <f>IF(C14="","",$B14*'AEO 2017_Table 13'!E$16/'AEO 2017_Table 13'!$C$16)</f>
        <v/>
      </c>
      <c r="E14" s="193" t="str">
        <f>IF(D14="","",$B14*'AEO 2017_Table 13'!F$16/'AEO 2017_Table 13'!$C$16)</f>
        <v/>
      </c>
      <c r="F14" s="193" t="str">
        <f>IF(E14="","",$B14*'AEO 2017_Table 13'!G$16/'AEO 2017_Table 13'!$C$16)</f>
        <v/>
      </c>
      <c r="G14" s="193" t="str">
        <f>IF(F14="","",$B14*'AEO 2017_Table 13'!H$16/'AEO 2017_Table 13'!$C$16)</f>
        <v/>
      </c>
      <c r="H14" s="193" t="str">
        <f>IF(G14="","",$B14*'AEO 2017_Table 13'!I$16/'AEO 2017_Table 13'!$C$16)</f>
        <v/>
      </c>
      <c r="I14" s="193" t="str">
        <f>IF(H14="","",$B14*'AEO 2017_Table 13'!J$16/'AEO 2017_Table 13'!$C$16)</f>
        <v/>
      </c>
      <c r="J14" s="193" t="str">
        <f>IF(I14="","",$B14*'AEO 2017_Table 13'!K$16/'AEO 2017_Table 13'!$C$16)</f>
        <v/>
      </c>
      <c r="K14" s="193" t="str">
        <f>IF(J14="","",$B14*'AEO 2017_Table 13'!L$16/'AEO 2017_Table 13'!$C$16)</f>
        <v/>
      </c>
      <c r="L14" s="193" t="str">
        <f>IF(K14="","",$B14*'AEO 2017_Table 13'!M$16/'AEO 2017_Table 13'!$C$16)</f>
        <v/>
      </c>
      <c r="M14" s="193" t="str">
        <f>IF(L14="","",$B14*'AEO 2017_Table 13'!N$16/'AEO 2017_Table 13'!$C$16)</f>
        <v/>
      </c>
      <c r="N14" s="193" t="str">
        <f>IF(M14="","",$B14*'AEO 2017_Table 13'!O$16/'AEO 2017_Table 13'!$C$16)</f>
        <v/>
      </c>
      <c r="O14" s="193" t="str">
        <f>IF(N14="","",$B14*'AEO 2017_Table 13'!P$16/'AEO 2017_Table 13'!$C$16)</f>
        <v/>
      </c>
      <c r="P14" s="193" t="str">
        <f>IF(O14="","",$B14*'AEO 2017_Table 13'!Q$16/'AEO 2017_Table 13'!$C$16)</f>
        <v/>
      </c>
      <c r="Q14" s="193" t="str">
        <f>IF(P14="","",$B14*'AEO 2017_Table 13'!R$16/'AEO 2017_Table 13'!$C$16)</f>
        <v/>
      </c>
      <c r="R14" s="193" t="str">
        <f>IF(Q14="","",$B14*'AEO 2017_Table 13'!S$16/'AEO 2017_Table 13'!$C$16)</f>
        <v/>
      </c>
      <c r="S14" s="193" t="str">
        <f>IF(R14="","",$B14*'AEO 2017_Table 13'!T$16/'AEO 2017_Table 13'!$C$16)</f>
        <v/>
      </c>
      <c r="T14" s="193" t="str">
        <f>IF(S14="","",$B14*'AEO 2017_Table 13'!U$16/'AEO 2017_Table 13'!$C$16)</f>
        <v/>
      </c>
      <c r="U14" s="193" t="str">
        <f>IF(T14="","",$B14*'AEO 2017_Table 13'!V$16/'AEO 2017_Table 13'!$C$16)</f>
        <v/>
      </c>
      <c r="V14" s="193" t="str">
        <f>IF(U14="","",$B14*'AEO 2017_Table 13'!W$16/'AEO 2017_Table 13'!$C$16)</f>
        <v/>
      </c>
      <c r="W14" s="193" t="str">
        <f>IF(V14="","",$B14*'AEO 2017_Table 13'!X$16/'AEO 2017_Table 13'!$C$16)</f>
        <v/>
      </c>
      <c r="X14" s="193" t="str">
        <f>IF(W14="","",$B14*'AEO 2017_Table 13'!Y$16/'AEO 2017_Table 13'!$C$16)</f>
        <v/>
      </c>
      <c r="Y14" s="193" t="str">
        <f>IF(X14="","",$B14*'AEO 2017_Table 13'!Z$16/'AEO 2017_Table 13'!$C$16)</f>
        <v/>
      </c>
      <c r="Z14" s="193" t="str">
        <f>IF(Y14="","",$B14*'AEO 2017_Table 13'!AA$16/'AEO 2017_Table 13'!$C$16)</f>
        <v/>
      </c>
      <c r="AA14" s="193" t="str">
        <f>IF(Z14="","",$B14*'AEO 2017_Table 13'!AB$16/'AEO 2017_Table 13'!$C$16)</f>
        <v/>
      </c>
      <c r="AB14" s="193" t="str">
        <f>IF(AA14="","",$B14*'AEO 2017_Table 13'!AC$16/'AEO 2017_Table 13'!$C$16)</f>
        <v/>
      </c>
      <c r="AC14" s="193" t="str">
        <f>IF(AB14="","",$B14*'AEO 2017_Table 13'!AD$16/'AEO 2017_Table 13'!$C$16)</f>
        <v/>
      </c>
      <c r="AD14" s="193" t="str">
        <f>IF(AC14="","",$B14*'AEO 2017_Table 13'!AE$16/'AEO 2017_Table 13'!$C$16)</f>
        <v/>
      </c>
      <c r="AE14" s="193" t="str">
        <f>IF(AD14="","",$B14*'AEO 2017_Table 13'!AF$16/'AEO 2017_Table 13'!$C$16)</f>
        <v/>
      </c>
      <c r="AF14" s="193" t="str">
        <f>IF(AE14="","",$B14*'AEO 2017_Table 13'!AG$16/'AEO 2017_Table 13'!$C$16)</f>
        <v/>
      </c>
      <c r="AG14" s="193" t="str">
        <f>IF(AF14="","",$B14*'AEO 2017_Table 13'!AH$16/'AEO 2017_Table 13'!$C$16)</f>
        <v/>
      </c>
      <c r="AH14" s="193" t="str">
        <f>IF(AG14="","",$B14*'AEO 2017_Table 13'!AI$16/'AEO 2017_Table 13'!$C$16)</f>
        <v/>
      </c>
      <c r="AI14" s="193" t="str">
        <f>IF(AH14="","",$B14*'AEO 2017_Table 13'!AJ$16/'AEO 2017_Table 13'!$C$16)</f>
        <v/>
      </c>
      <c r="AJ14" s="193" t="str">
        <f>IF(AI14="","",$B14*'AEO 2017_Table 13'!AK$16/'AEO 2017_Table 13'!$C$16)</f>
        <v/>
      </c>
      <c r="AK14" s="193" t="str">
        <f>IF(AJ14="","",$B14*'AEO 2017_Table 13'!AL$16/'AEO 2017_Table 13'!$C$16)</f>
        <v/>
      </c>
    </row>
    <row r="15" spans="1:37" x14ac:dyDescent="0.25">
      <c r="A15" s="194" t="s">
        <v>1396</v>
      </c>
      <c r="B15" s="195">
        <v>15.955358250925736</v>
      </c>
      <c r="C15" s="195">
        <f>IF(B15="","",$B15*'AEO 2017_Table 13'!D$16/'AEO 2017_Table 13'!$C$16)</f>
        <v>15.659890511820191</v>
      </c>
      <c r="D15" s="195">
        <f>IF(C15="","",$B15*'AEO 2017_Table 13'!E$16/'AEO 2017_Table 13'!$C$16)</f>
        <v>16.442466829418457</v>
      </c>
      <c r="E15" s="195">
        <f>IF(D15="","",$B15*'AEO 2017_Table 13'!F$16/'AEO 2017_Table 13'!$C$16)</f>
        <v>17.20494815115061</v>
      </c>
      <c r="F15" s="195">
        <f>IF(E15="","",$B15*'AEO 2017_Table 13'!G$16/'AEO 2017_Table 13'!$C$16)</f>
        <v>17.728907786064074</v>
      </c>
      <c r="G15" s="195">
        <f>IF(F15="","",$B15*'AEO 2017_Table 13'!H$16/'AEO 2017_Table 13'!$C$16)</f>
        <v>18.195459218019149</v>
      </c>
      <c r="H15" s="195">
        <f>IF(G15="","",$B15*'AEO 2017_Table 13'!I$16/'AEO 2017_Table 13'!$C$16)</f>
        <v>18.27004903789766</v>
      </c>
      <c r="I15" s="195">
        <f>IF(H15="","",$B15*'AEO 2017_Table 13'!J$16/'AEO 2017_Table 13'!$C$16)</f>
        <v>18.519940929743811</v>
      </c>
      <c r="J15" s="195">
        <f>IF(I15="","",$B15*'AEO 2017_Table 13'!K$16/'AEO 2017_Table 13'!$C$16)</f>
        <v>18.852298680499114</v>
      </c>
      <c r="K15" s="195">
        <f>IF(J15="","",$B15*'AEO 2017_Table 13'!L$16/'AEO 2017_Table 13'!$C$16)</f>
        <v>19.165826299869931</v>
      </c>
      <c r="L15" s="195">
        <f>IF(K15="","",$B15*'AEO 2017_Table 13'!M$16/'AEO 2017_Table 13'!$C$16)</f>
        <v>19.458233102343808</v>
      </c>
      <c r="M15" s="195">
        <f>IF(L15="","",$B15*'AEO 2017_Table 13'!N$16/'AEO 2017_Table 13'!$C$16)</f>
        <v>19.741895046133784</v>
      </c>
      <c r="N15" s="195">
        <f>IF(M15="","",$B15*'AEO 2017_Table 13'!O$16/'AEO 2017_Table 13'!$C$16)</f>
        <v>19.853344185663438</v>
      </c>
      <c r="O15" s="195">
        <f>IF(N15="","",$B15*'AEO 2017_Table 13'!P$16/'AEO 2017_Table 13'!$C$16)</f>
        <v>20.014805346714656</v>
      </c>
      <c r="P15" s="195">
        <f>IF(O15="","",$B15*'AEO 2017_Table 13'!Q$16/'AEO 2017_Table 13'!$C$16)</f>
        <v>20.135522289366254</v>
      </c>
      <c r="Q15" s="195">
        <f>IF(P15="","",$B15*'AEO 2017_Table 13'!R$16/'AEO 2017_Table 13'!$C$16)</f>
        <v>20.215499735464174</v>
      </c>
      <c r="R15" s="195">
        <f>IF(Q15="","",$B15*'AEO 2017_Table 13'!S$16/'AEO 2017_Table 13'!$C$16)</f>
        <v>20.316986370287722</v>
      </c>
      <c r="S15" s="195">
        <f>IF(R15="","",$B15*'AEO 2017_Table 13'!T$16/'AEO 2017_Table 13'!$C$16)</f>
        <v>20.466669476868272</v>
      </c>
      <c r="T15" s="195">
        <f>IF(S15="","",$B15*'AEO 2017_Table 13'!U$16/'AEO 2017_Table 13'!$C$16)</f>
        <v>20.626664504754618</v>
      </c>
      <c r="U15" s="195">
        <f>IF(T15="","",$B15*'AEO 2017_Table 13'!V$16/'AEO 2017_Table 13'!$C$16)</f>
        <v>20.844299696281233</v>
      </c>
      <c r="V15" s="195">
        <f>IF(U15="","",$B15*'AEO 2017_Table 13'!W$16/'AEO 2017_Table 13'!$C$16)</f>
        <v>21.14793918001952</v>
      </c>
      <c r="W15" s="195">
        <f>IF(V15="","",$B15*'AEO 2017_Table 13'!X$16/'AEO 2017_Table 13'!$C$16)</f>
        <v>21.390116165827777</v>
      </c>
      <c r="X15" s="195">
        <f>IF(W15="","",$B15*'AEO 2017_Table 13'!Y$16/'AEO 2017_Table 13'!$C$16)</f>
        <v>21.600908812354223</v>
      </c>
      <c r="Y15" s="195">
        <f>IF(X15="","",$B15*'AEO 2017_Table 13'!Z$16/'AEO 2017_Table 13'!$C$16)</f>
        <v>21.764794641296472</v>
      </c>
      <c r="Z15" s="195">
        <f>IF(Y15="","",$B15*'AEO 2017_Table 13'!AA$16/'AEO 2017_Table 13'!$C$16)</f>
        <v>21.967404919036802</v>
      </c>
      <c r="AA15" s="195">
        <f>IF(Z15="","",$B15*'AEO 2017_Table 13'!AB$16/'AEO 2017_Table 13'!$C$16)</f>
        <v>22.076281242759006</v>
      </c>
      <c r="AB15" s="195">
        <f>IF(AA15="","",$B15*'AEO 2017_Table 13'!AC$16/'AEO 2017_Table 13'!$C$16)</f>
        <v>22.184752077960983</v>
      </c>
      <c r="AC15" s="195">
        <f>IF(AB15="","",$B15*'AEO 2017_Table 13'!AD$16/'AEO 2017_Table 13'!$C$16)</f>
        <v>22.2503125479376</v>
      </c>
      <c r="AD15" s="195">
        <f>IF(AC15="","",$B15*'AEO 2017_Table 13'!AE$16/'AEO 2017_Table 13'!$C$16)</f>
        <v>22.363743682301255</v>
      </c>
      <c r="AE15" s="195">
        <f>IF(AD15="","",$B15*'AEO 2017_Table 13'!AF$16/'AEO 2017_Table 13'!$C$16)</f>
        <v>22.526992062041383</v>
      </c>
      <c r="AF15" s="195">
        <f>IF(AE15="","",$B15*'AEO 2017_Table 13'!AG$16/'AEO 2017_Table 13'!$C$16)</f>
        <v>22.687187768380245</v>
      </c>
      <c r="AG15" s="195">
        <f>IF(AF15="","",$B15*'AEO 2017_Table 13'!AH$16/'AEO 2017_Table 13'!$C$16)</f>
        <v>22.826378933278487</v>
      </c>
      <c r="AH15" s="195">
        <f>IF(AG15="","",$B15*'AEO 2017_Table 13'!AI$16/'AEO 2017_Table 13'!$C$16)</f>
        <v>22.982814279555576</v>
      </c>
      <c r="AI15" s="195">
        <f>IF(AH15="","",$B15*'AEO 2017_Table 13'!AJ$16/'AEO 2017_Table 13'!$C$16)</f>
        <v>23.112348089041692</v>
      </c>
      <c r="AJ15" s="195">
        <f>IF(AI15="","",$B15*'AEO 2017_Table 13'!AK$16/'AEO 2017_Table 13'!$C$16)</f>
        <v>23.243600060219816</v>
      </c>
      <c r="AK15" s="195">
        <f>IF(AJ15="","",$B15*'AEO 2017_Table 13'!AL$16/'AEO 2017_Table 13'!$C$16)</f>
        <v>23.409048820168749</v>
      </c>
    </row>
    <row r="16" spans="1:37" x14ac:dyDescent="0.25">
      <c r="A16" s="196" t="s">
        <v>1397</v>
      </c>
      <c r="B16" s="197">
        <v>34.557503173637755</v>
      </c>
      <c r="C16" s="197">
        <f>IF(B16="","",$B16*'AEO 2017_Table 13'!D$16/'AEO 2017_Table 13'!$C$16)</f>
        <v>33.917553435670889</v>
      </c>
      <c r="D16" s="197">
        <f>IF(C16="","",$B16*'AEO 2017_Table 13'!E$16/'AEO 2017_Table 13'!$C$16)</f>
        <v>35.612525316195523</v>
      </c>
      <c r="E16" s="197">
        <f>IF(D16="","",$B16*'AEO 2017_Table 13'!F$16/'AEO 2017_Table 13'!$C$16)</f>
        <v>37.263973706210187</v>
      </c>
      <c r="F16" s="197">
        <f>IF(E16="","",$B16*'AEO 2017_Table 13'!G$16/'AEO 2017_Table 13'!$C$16)</f>
        <v>38.398811073169938</v>
      </c>
      <c r="G16" s="197">
        <f>IF(F16="","",$B16*'AEO 2017_Table 13'!H$16/'AEO 2017_Table 13'!$C$16)</f>
        <v>39.409308759081632</v>
      </c>
      <c r="H16" s="197">
        <f>IF(G16="","",$B16*'AEO 2017_Table 13'!I$16/'AEO 2017_Table 13'!$C$16)</f>
        <v>39.570861881025685</v>
      </c>
      <c r="I16" s="197">
        <f>IF(H16="","",$B16*'AEO 2017_Table 13'!J$16/'AEO 2017_Table 13'!$C$16)</f>
        <v>40.112099483449221</v>
      </c>
      <c r="J16" s="197">
        <f>IF(I16="","",$B16*'AEO 2017_Table 13'!K$16/'AEO 2017_Table 13'!$C$16)</f>
        <v>40.831948818442577</v>
      </c>
      <c r="K16" s="197">
        <f>IF(J16="","",$B16*'AEO 2017_Table 13'!L$16/'AEO 2017_Table 13'!$C$16)</f>
        <v>41.511014216475949</v>
      </c>
      <c r="L16" s="197">
        <f>IF(K16="","",$B16*'AEO 2017_Table 13'!M$16/'AEO 2017_Table 13'!$C$16)</f>
        <v>42.144334311554239</v>
      </c>
      <c r="M16" s="197">
        <f>IF(L16="","",$B16*'AEO 2017_Table 13'!N$16/'AEO 2017_Table 13'!$C$16)</f>
        <v>42.758714030805827</v>
      </c>
      <c r="N16" s="197">
        <f>IF(M16="","",$B16*'AEO 2017_Table 13'!O$16/'AEO 2017_Table 13'!$C$16)</f>
        <v>43.000100274375242</v>
      </c>
      <c r="O16" s="197">
        <f>IF(N16="","",$B16*'AEO 2017_Table 13'!P$16/'AEO 2017_Table 13'!$C$16)</f>
        <v>43.349806905695978</v>
      </c>
      <c r="P16" s="197">
        <f>IF(O16="","",$B16*'AEO 2017_Table 13'!Q$16/'AEO 2017_Table 13'!$C$16)</f>
        <v>43.611266163657319</v>
      </c>
      <c r="Q16" s="197">
        <f>IF(P16="","",$B16*'AEO 2017_Table 13'!R$16/'AEO 2017_Table 13'!$C$16)</f>
        <v>43.784488275244051</v>
      </c>
      <c r="R16" s="197">
        <f>IF(Q16="","",$B16*'AEO 2017_Table 13'!S$16/'AEO 2017_Table 13'!$C$16)</f>
        <v>44.004296859284665</v>
      </c>
      <c r="S16" s="197">
        <f>IF(R16="","",$B16*'AEO 2017_Table 13'!T$16/'AEO 2017_Table 13'!$C$16)</f>
        <v>44.328493555425744</v>
      </c>
      <c r="T16" s="197">
        <f>IF(S16="","",$B16*'AEO 2017_Table 13'!U$16/'AEO 2017_Table 13'!$C$16)</f>
        <v>44.675024707969918</v>
      </c>
      <c r="U16" s="197">
        <f>IF(T16="","",$B16*'AEO 2017_Table 13'!V$16/'AEO 2017_Table 13'!$C$16)</f>
        <v>45.146397942189836</v>
      </c>
      <c r="V16" s="197">
        <f>IF(U16="","",$B16*'AEO 2017_Table 13'!W$16/'AEO 2017_Table 13'!$C$16)</f>
        <v>45.804046755704796</v>
      </c>
      <c r="W16" s="197">
        <f>IF(V16="","",$B16*'AEO 2017_Table 13'!X$16/'AEO 2017_Table 13'!$C$16)</f>
        <v>46.328574743358431</v>
      </c>
      <c r="X16" s="197">
        <f>IF(W16="","",$B16*'AEO 2017_Table 13'!Y$16/'AEO 2017_Table 13'!$C$16)</f>
        <v>46.78512779824797</v>
      </c>
      <c r="Y16" s="197">
        <f>IF(X16="","",$B16*'AEO 2017_Table 13'!Z$16/'AEO 2017_Table 13'!$C$16)</f>
        <v>47.140085986257162</v>
      </c>
      <c r="Z16" s="197">
        <f>IF(Y16="","",$B16*'AEO 2017_Table 13'!AA$16/'AEO 2017_Table 13'!$C$16)</f>
        <v>47.578916954882821</v>
      </c>
      <c r="AA16" s="197">
        <f>IF(Z16="","",$B16*'AEO 2017_Table 13'!AB$16/'AEO 2017_Table 13'!$C$16)</f>
        <v>47.814730770116071</v>
      </c>
      <c r="AB16" s="197">
        <f>IF(AA16="","",$B16*'AEO 2017_Table 13'!AC$16/'AEO 2017_Table 13'!$C$16)</f>
        <v>48.049666343030694</v>
      </c>
      <c r="AC16" s="197">
        <f>IF(AB16="","",$B16*'AEO 2017_Table 13'!AD$16/'AEO 2017_Table 13'!$C$16)</f>
        <v>48.191662913314588</v>
      </c>
      <c r="AD16" s="197">
        <f>IF(AC16="","",$B16*'AEO 2017_Table 13'!AE$16/'AEO 2017_Table 13'!$C$16)</f>
        <v>48.437341933748613</v>
      </c>
      <c r="AE16" s="197">
        <f>IF(AD16="","",$B16*'AEO 2017_Table 13'!AF$16/'AEO 2017_Table 13'!$C$16)</f>
        <v>48.79091947881146</v>
      </c>
      <c r="AF16" s="197">
        <f>IF(AE16="","",$B16*'AEO 2017_Table 13'!AG$16/'AEO 2017_Table 13'!$C$16)</f>
        <v>49.137885278209112</v>
      </c>
      <c r="AG16" s="197">
        <f>IF(AF16="","",$B16*'AEO 2017_Table 13'!AH$16/'AEO 2017_Table 13'!$C$16)</f>
        <v>49.439357614152073</v>
      </c>
      <c r="AH16" s="197">
        <f>IF(AG16="","",$B16*'AEO 2017_Table 13'!AI$16/'AEO 2017_Table 13'!$C$16)</f>
        <v>49.778178898539466</v>
      </c>
      <c r="AI16" s="197">
        <f>IF(AH16="","",$B16*'AEO 2017_Table 13'!AJ$16/'AEO 2017_Table 13'!$C$16)</f>
        <v>50.058734493845513</v>
      </c>
      <c r="AJ16" s="197">
        <f>IF(AI16="","",$B16*'AEO 2017_Table 13'!AK$16/'AEO 2017_Table 13'!$C$16)</f>
        <v>50.343011433241166</v>
      </c>
      <c r="AK16" s="197">
        <f>IF(AJ16="","",$B16*'AEO 2017_Table 13'!AL$16/'AEO 2017_Table 13'!$C$16)</f>
        <v>50.701354753215057</v>
      </c>
    </row>
    <row r="17" spans="1:37" x14ac:dyDescent="0.25">
      <c r="A17" s="191" t="s">
        <v>1398</v>
      </c>
      <c r="B17" s="193"/>
      <c r="C17" s="193" t="str">
        <f>IF(B17="","",$B17*'AEO 2017_Table 13'!D$16/'AEO 2017_Table 13'!$C$16)</f>
        <v/>
      </c>
      <c r="D17" s="193" t="str">
        <f>IF(C17="","",$B17*'AEO 2017_Table 13'!E$16/'AEO 2017_Table 13'!$C$16)</f>
        <v/>
      </c>
      <c r="E17" s="193" t="str">
        <f>IF(D17="","",$B17*'AEO 2017_Table 13'!F$16/'AEO 2017_Table 13'!$C$16)</f>
        <v/>
      </c>
      <c r="F17" s="193" t="str">
        <f>IF(E17="","",$B17*'AEO 2017_Table 13'!G$16/'AEO 2017_Table 13'!$C$16)</f>
        <v/>
      </c>
      <c r="G17" s="193" t="str">
        <f>IF(F17="","",$B17*'AEO 2017_Table 13'!H$16/'AEO 2017_Table 13'!$C$16)</f>
        <v/>
      </c>
      <c r="H17" s="193" t="str">
        <f>IF(G17="","",$B17*'AEO 2017_Table 13'!I$16/'AEO 2017_Table 13'!$C$16)</f>
        <v/>
      </c>
      <c r="I17" s="193" t="str">
        <f>IF(H17="","",$B17*'AEO 2017_Table 13'!J$16/'AEO 2017_Table 13'!$C$16)</f>
        <v/>
      </c>
      <c r="J17" s="193" t="str">
        <f>IF(I17="","",$B17*'AEO 2017_Table 13'!K$16/'AEO 2017_Table 13'!$C$16)</f>
        <v/>
      </c>
      <c r="K17" s="193" t="str">
        <f>IF(J17="","",$B17*'AEO 2017_Table 13'!L$16/'AEO 2017_Table 13'!$C$16)</f>
        <v/>
      </c>
      <c r="L17" s="193" t="str">
        <f>IF(K17="","",$B17*'AEO 2017_Table 13'!M$16/'AEO 2017_Table 13'!$C$16)</f>
        <v/>
      </c>
      <c r="M17" s="193" t="str">
        <f>IF(L17="","",$B17*'AEO 2017_Table 13'!N$16/'AEO 2017_Table 13'!$C$16)</f>
        <v/>
      </c>
      <c r="N17" s="193" t="str">
        <f>IF(M17="","",$B17*'AEO 2017_Table 13'!O$16/'AEO 2017_Table 13'!$C$16)</f>
        <v/>
      </c>
      <c r="O17" s="193" t="str">
        <f>IF(N17="","",$B17*'AEO 2017_Table 13'!P$16/'AEO 2017_Table 13'!$C$16)</f>
        <v/>
      </c>
      <c r="P17" s="193" t="str">
        <f>IF(O17="","",$B17*'AEO 2017_Table 13'!Q$16/'AEO 2017_Table 13'!$C$16)</f>
        <v/>
      </c>
      <c r="Q17" s="193" t="str">
        <f>IF(P17="","",$B17*'AEO 2017_Table 13'!R$16/'AEO 2017_Table 13'!$C$16)</f>
        <v/>
      </c>
      <c r="R17" s="193" t="str">
        <f>IF(Q17="","",$B17*'AEO 2017_Table 13'!S$16/'AEO 2017_Table 13'!$C$16)</f>
        <v/>
      </c>
      <c r="S17" s="193" t="str">
        <f>IF(R17="","",$B17*'AEO 2017_Table 13'!T$16/'AEO 2017_Table 13'!$C$16)</f>
        <v/>
      </c>
      <c r="T17" s="193" t="str">
        <f>IF(S17="","",$B17*'AEO 2017_Table 13'!U$16/'AEO 2017_Table 13'!$C$16)</f>
        <v/>
      </c>
      <c r="U17" s="193" t="str">
        <f>IF(T17="","",$B17*'AEO 2017_Table 13'!V$16/'AEO 2017_Table 13'!$C$16)</f>
        <v/>
      </c>
      <c r="V17" s="193" t="str">
        <f>IF(U17="","",$B17*'AEO 2017_Table 13'!W$16/'AEO 2017_Table 13'!$C$16)</f>
        <v/>
      </c>
      <c r="W17" s="193" t="str">
        <f>IF(V17="","",$B17*'AEO 2017_Table 13'!X$16/'AEO 2017_Table 13'!$C$16)</f>
        <v/>
      </c>
      <c r="X17" s="193" t="str">
        <f>IF(W17="","",$B17*'AEO 2017_Table 13'!Y$16/'AEO 2017_Table 13'!$C$16)</f>
        <v/>
      </c>
      <c r="Y17" s="193" t="str">
        <f>IF(X17="","",$B17*'AEO 2017_Table 13'!Z$16/'AEO 2017_Table 13'!$C$16)</f>
        <v/>
      </c>
      <c r="Z17" s="193" t="str">
        <f>IF(Y17="","",$B17*'AEO 2017_Table 13'!AA$16/'AEO 2017_Table 13'!$C$16)</f>
        <v/>
      </c>
      <c r="AA17" s="193" t="str">
        <f>IF(Z17="","",$B17*'AEO 2017_Table 13'!AB$16/'AEO 2017_Table 13'!$C$16)</f>
        <v/>
      </c>
      <c r="AB17" s="193" t="str">
        <f>IF(AA17="","",$B17*'AEO 2017_Table 13'!AC$16/'AEO 2017_Table 13'!$C$16)</f>
        <v/>
      </c>
      <c r="AC17" s="193" t="str">
        <f>IF(AB17="","",$B17*'AEO 2017_Table 13'!AD$16/'AEO 2017_Table 13'!$C$16)</f>
        <v/>
      </c>
      <c r="AD17" s="193" t="str">
        <f>IF(AC17="","",$B17*'AEO 2017_Table 13'!AE$16/'AEO 2017_Table 13'!$C$16)</f>
        <v/>
      </c>
      <c r="AE17" s="193" t="str">
        <f>IF(AD17="","",$B17*'AEO 2017_Table 13'!AF$16/'AEO 2017_Table 13'!$C$16)</f>
        <v/>
      </c>
      <c r="AF17" s="193" t="str">
        <f>IF(AE17="","",$B17*'AEO 2017_Table 13'!AG$16/'AEO 2017_Table 13'!$C$16)</f>
        <v/>
      </c>
      <c r="AG17" s="193" t="str">
        <f>IF(AF17="","",$B17*'AEO 2017_Table 13'!AH$16/'AEO 2017_Table 13'!$C$16)</f>
        <v/>
      </c>
      <c r="AH17" s="193" t="str">
        <f>IF(AG17="","",$B17*'AEO 2017_Table 13'!AI$16/'AEO 2017_Table 13'!$C$16)</f>
        <v/>
      </c>
      <c r="AI17" s="193" t="str">
        <f>IF(AH17="","",$B17*'AEO 2017_Table 13'!AJ$16/'AEO 2017_Table 13'!$C$16)</f>
        <v/>
      </c>
      <c r="AJ17" s="193" t="str">
        <f>IF(AI17="","",$B17*'AEO 2017_Table 13'!AK$16/'AEO 2017_Table 13'!$C$16)</f>
        <v/>
      </c>
      <c r="AK17" s="193" t="str">
        <f>IF(AJ17="","",$B17*'AEO 2017_Table 13'!AL$16/'AEO 2017_Table 13'!$C$16)</f>
        <v/>
      </c>
    </row>
    <row r="18" spans="1:37" x14ac:dyDescent="0.25">
      <c r="A18" s="194" t="s">
        <v>1399</v>
      </c>
      <c r="B18" s="195">
        <v>21.707967538573133</v>
      </c>
      <c r="C18" s="195">
        <f>IF(B18="","",$B18*'AEO 2017_Table 13'!D$16/'AEO 2017_Table 13'!$C$16)</f>
        <v>21.305970667783559</v>
      </c>
      <c r="D18" s="195">
        <f>IF(C18="","",$B18*'AEO 2017_Table 13'!E$16/'AEO 2017_Table 13'!$C$16)</f>
        <v>22.370700210781667</v>
      </c>
      <c r="E18" s="195">
        <f>IF(D18="","",$B18*'AEO 2017_Table 13'!F$16/'AEO 2017_Table 13'!$C$16)</f>
        <v>23.408089626965385</v>
      </c>
      <c r="F18" s="195">
        <f>IF(E18="","",$B18*'AEO 2017_Table 13'!G$16/'AEO 2017_Table 13'!$C$16)</f>
        <v>24.120959784272209</v>
      </c>
      <c r="G18" s="195">
        <f>IF(F18="","",$B18*'AEO 2017_Table 13'!H$16/'AEO 2017_Table 13'!$C$16)</f>
        <v>24.755723553325652</v>
      </c>
      <c r="H18" s="195">
        <f>IF(G18="","",$B18*'AEO 2017_Table 13'!I$16/'AEO 2017_Table 13'!$C$16)</f>
        <v>24.857206288038721</v>
      </c>
      <c r="I18" s="195">
        <f>IF(H18="","",$B18*'AEO 2017_Table 13'!J$16/'AEO 2017_Table 13'!$C$16)</f>
        <v>25.197195211573803</v>
      </c>
      <c r="J18" s="195">
        <f>IF(I18="","",$B18*'AEO 2017_Table 13'!K$16/'AEO 2017_Table 13'!$C$16)</f>
        <v>25.649382567766246</v>
      </c>
      <c r="K18" s="195">
        <f>IF(J18="","",$B18*'AEO 2017_Table 13'!L$16/'AEO 2017_Table 13'!$C$16)</f>
        <v>26.075950700973337</v>
      </c>
      <c r="L18" s="195">
        <f>IF(K18="","",$B18*'AEO 2017_Table 13'!M$16/'AEO 2017_Table 13'!$C$16)</f>
        <v>26.473783032678746</v>
      </c>
      <c r="M18" s="195">
        <f>IF(L18="","",$B18*'AEO 2017_Table 13'!N$16/'AEO 2017_Table 13'!$C$16)</f>
        <v>26.859717599040746</v>
      </c>
      <c r="N18" s="195">
        <f>IF(M18="","",$B18*'AEO 2017_Table 13'!O$16/'AEO 2017_Table 13'!$C$16)</f>
        <v>27.011349061340958</v>
      </c>
      <c r="O18" s="195">
        <f>IF(N18="","",$B18*'AEO 2017_Table 13'!P$16/'AEO 2017_Table 13'!$C$16)</f>
        <v>27.231024081338507</v>
      </c>
      <c r="P18" s="195">
        <f>IF(O18="","",$B18*'AEO 2017_Table 13'!Q$16/'AEO 2017_Table 13'!$C$16)</f>
        <v>27.395264797919388</v>
      </c>
      <c r="Q18" s="195">
        <f>IF(P18="","",$B18*'AEO 2017_Table 13'!R$16/'AEO 2017_Table 13'!$C$16)</f>
        <v>27.504077635362936</v>
      </c>
      <c r="R18" s="195">
        <f>IF(Q18="","",$B18*'AEO 2017_Table 13'!S$16/'AEO 2017_Table 13'!$C$16)</f>
        <v>27.642154671284132</v>
      </c>
      <c r="S18" s="195">
        <f>IF(R18="","",$B18*'AEO 2017_Table 13'!T$16/'AEO 2017_Table 13'!$C$16)</f>
        <v>27.84580512949524</v>
      </c>
      <c r="T18" s="195">
        <f>IF(S18="","",$B18*'AEO 2017_Table 13'!U$16/'AEO 2017_Table 13'!$C$16)</f>
        <v>28.063485410756758</v>
      </c>
      <c r="U18" s="195">
        <f>IF(T18="","",$B18*'AEO 2017_Table 13'!V$16/'AEO 2017_Table 13'!$C$16)</f>
        <v>28.35958767299439</v>
      </c>
      <c r="V18" s="195">
        <f>IF(U18="","",$B18*'AEO 2017_Table 13'!W$16/'AEO 2017_Table 13'!$C$16)</f>
        <v>28.772702562222111</v>
      </c>
      <c r="W18" s="195">
        <f>IF(V18="","",$B18*'AEO 2017_Table 13'!X$16/'AEO 2017_Table 13'!$C$16)</f>
        <v>29.102195016345483</v>
      </c>
      <c r="X18" s="195">
        <f>IF(W18="","",$B18*'AEO 2017_Table 13'!Y$16/'AEO 2017_Table 13'!$C$16)</f>
        <v>29.388987694780049</v>
      </c>
      <c r="Y18" s="195">
        <f>IF(X18="","",$B18*'AEO 2017_Table 13'!Z$16/'AEO 2017_Table 13'!$C$16)</f>
        <v>29.611961582220278</v>
      </c>
      <c r="Z18" s="195">
        <f>IF(Y18="","",$B18*'AEO 2017_Table 13'!AA$16/'AEO 2017_Table 13'!$C$16)</f>
        <v>29.88762178758817</v>
      </c>
      <c r="AA18" s="195">
        <f>IF(Z18="","",$B18*'AEO 2017_Table 13'!AB$16/'AEO 2017_Table 13'!$C$16)</f>
        <v>30.03575282068131</v>
      </c>
      <c r="AB18" s="195">
        <f>IF(AA18="","",$B18*'AEO 2017_Table 13'!AC$16/'AEO 2017_Table 13'!$C$16)</f>
        <v>30.183332168785871</v>
      </c>
      <c r="AC18" s="195">
        <f>IF(AB18="","",$B18*'AEO 2017_Table 13'!AD$16/'AEO 2017_Table 13'!$C$16)</f>
        <v>30.272530075325108</v>
      </c>
      <c r="AD18" s="195">
        <f>IF(AC18="","",$B18*'AEO 2017_Table 13'!AE$16/'AEO 2017_Table 13'!$C$16)</f>
        <v>30.426858128879584</v>
      </c>
      <c r="AE18" s="195">
        <f>IF(AD18="","",$B18*'AEO 2017_Table 13'!AF$16/'AEO 2017_Table 13'!$C$16)</f>
        <v>30.648964738608495</v>
      </c>
      <c r="AF18" s="195">
        <f>IF(AE18="","",$B18*'AEO 2017_Table 13'!AG$16/'AEO 2017_Table 13'!$C$16)</f>
        <v>30.8669180517421</v>
      </c>
      <c r="AG18" s="195">
        <f>IF(AF18="","",$B18*'AEO 2017_Table 13'!AH$16/'AEO 2017_Table 13'!$C$16)</f>
        <v>31.056293761252846</v>
      </c>
      <c r="AH18" s="195">
        <f>IF(AG18="","",$B18*'AEO 2017_Table 13'!AI$16/'AEO 2017_Table 13'!$C$16)</f>
        <v>31.269130938924583</v>
      </c>
      <c r="AI18" s="195">
        <f>IF(AH18="","",$B18*'AEO 2017_Table 13'!AJ$16/'AEO 2017_Table 13'!$C$16)</f>
        <v>31.44536739110886</v>
      </c>
      <c r="AJ18" s="195">
        <f>IF(AI18="","",$B18*'AEO 2017_Table 13'!AK$16/'AEO 2017_Table 13'!$C$16)</f>
        <v>31.623941477939105</v>
      </c>
      <c r="AK18" s="195">
        <f>IF(AJ18="","",$B18*'AEO 2017_Table 13'!AL$16/'AEO 2017_Table 13'!$C$16)</f>
        <v>31.849041801841899</v>
      </c>
    </row>
    <row r="19" spans="1:37" x14ac:dyDescent="0.25">
      <c r="A19" s="183" t="s">
        <v>1400</v>
      </c>
      <c r="B19" s="198">
        <v>116.99562301997791</v>
      </c>
      <c r="C19" s="198">
        <f>IF(B19="","",$B19*'AEO 2017_Table 13'!D$16/'AEO 2017_Table 13'!$C$16)</f>
        <v>114.82905103360764</v>
      </c>
      <c r="D19" s="198">
        <f>IF(C19="","",$B19*'AEO 2017_Table 13'!E$16/'AEO 2017_Table 13'!$C$16)</f>
        <v>120.56743699763179</v>
      </c>
      <c r="E19" s="198">
        <f>IF(D19="","",$B19*'AEO 2017_Table 13'!F$16/'AEO 2017_Table 13'!$C$16)</f>
        <v>126.15847267819848</v>
      </c>
      <c r="F19" s="198">
        <f>IF(E19="","",$B19*'AEO 2017_Table 13'!G$16/'AEO 2017_Table 13'!$C$16)</f>
        <v>130.00050386044811</v>
      </c>
      <c r="G19" s="198">
        <f>IF(F19="","",$B19*'AEO 2017_Table 13'!H$16/'AEO 2017_Table 13'!$C$16)</f>
        <v>133.42157874914764</v>
      </c>
      <c r="H19" s="198">
        <f>IF(G19="","",$B19*'AEO 2017_Table 13'!I$16/'AEO 2017_Table 13'!$C$16)</f>
        <v>133.96852243479807</v>
      </c>
      <c r="I19" s="198">
        <f>IF(H19="","",$B19*'AEO 2017_Table 13'!J$16/'AEO 2017_Table 13'!$C$16)</f>
        <v>135.80090106988669</v>
      </c>
      <c r="J19" s="198">
        <f>IF(I19="","",$B19*'AEO 2017_Table 13'!K$16/'AEO 2017_Table 13'!$C$16)</f>
        <v>138.23797590729308</v>
      </c>
      <c r="K19" s="198">
        <f>IF(J19="","",$B19*'AEO 2017_Table 13'!L$16/'AEO 2017_Table 13'!$C$16)</f>
        <v>140.53697531460068</v>
      </c>
      <c r="L19" s="198">
        <f>IF(K19="","",$B19*'AEO 2017_Table 13'!M$16/'AEO 2017_Table 13'!$C$16)</f>
        <v>142.68110241552156</v>
      </c>
      <c r="M19" s="198">
        <f>IF(L19="","",$B19*'AEO 2017_Table 13'!N$16/'AEO 2017_Table 13'!$C$16)</f>
        <v>144.76110621855997</v>
      </c>
      <c r="N19" s="198">
        <f>IF(M19="","",$B19*'AEO 2017_Table 13'!O$16/'AEO 2017_Table 13'!$C$16)</f>
        <v>145.57832770047537</v>
      </c>
      <c r="O19" s="198">
        <f>IF(N19="","",$B19*'AEO 2017_Table 13'!P$16/'AEO 2017_Table 13'!$C$16)</f>
        <v>146.76227160406148</v>
      </c>
      <c r="P19" s="198">
        <f>IF(O19="","",$B19*'AEO 2017_Table 13'!Q$16/'AEO 2017_Table 13'!$C$16)</f>
        <v>147.64745097092222</v>
      </c>
      <c r="Q19" s="198">
        <f>IF(P19="","",$B19*'AEO 2017_Table 13'!R$16/'AEO 2017_Table 13'!$C$16)</f>
        <v>148.23390042486849</v>
      </c>
      <c r="R19" s="198">
        <f>IF(Q19="","",$B19*'AEO 2017_Table 13'!S$16/'AEO 2017_Table 13'!$C$16)</f>
        <v>148.9780699936523</v>
      </c>
      <c r="S19" s="198">
        <f>IF(R19="","",$B19*'AEO 2017_Table 13'!T$16/'AEO 2017_Table 13'!$C$16)</f>
        <v>150.0756491287959</v>
      </c>
      <c r="T19" s="198">
        <f>IF(S19="","",$B19*'AEO 2017_Table 13'!U$16/'AEO 2017_Table 13'!$C$16)</f>
        <v>151.24884233908156</v>
      </c>
      <c r="U19" s="198">
        <f>IF(T19="","",$B19*'AEO 2017_Table 13'!V$16/'AEO 2017_Table 13'!$C$16)</f>
        <v>152.84469273763037</v>
      </c>
      <c r="V19" s="198">
        <f>IF(U19="","",$B19*'AEO 2017_Table 13'!W$16/'AEO 2017_Table 13'!$C$16)</f>
        <v>155.07118555682882</v>
      </c>
      <c r="W19" s="198">
        <f>IF(V19="","",$B19*'AEO 2017_Table 13'!X$16/'AEO 2017_Table 13'!$C$16)</f>
        <v>156.84699321279876</v>
      </c>
      <c r="X19" s="198">
        <f>IF(W19="","",$B19*'AEO 2017_Table 13'!Y$16/'AEO 2017_Table 13'!$C$16)</f>
        <v>158.39266938130228</v>
      </c>
      <c r="Y19" s="198">
        <f>IF(X19="","",$B19*'AEO 2017_Table 13'!Z$16/'AEO 2017_Table 13'!$C$16)</f>
        <v>159.59439261181211</v>
      </c>
      <c r="Z19" s="198">
        <f>IF(Y19="","",$B19*'AEO 2017_Table 13'!AA$16/'AEO 2017_Table 13'!$C$16)</f>
        <v>161.08007004391271</v>
      </c>
      <c r="AA19" s="198">
        <f>IF(Z19="","",$B19*'AEO 2017_Table 13'!AB$16/'AEO 2017_Table 13'!$C$16)</f>
        <v>161.87842587683582</v>
      </c>
      <c r="AB19" s="198">
        <f>IF(AA19="","",$B19*'AEO 2017_Table 13'!AC$16/'AEO 2017_Table 13'!$C$16)</f>
        <v>162.67380838999347</v>
      </c>
      <c r="AC19" s="198">
        <f>IF(AB19="","",$B19*'AEO 2017_Table 13'!AD$16/'AEO 2017_Table 13'!$C$16)</f>
        <v>163.15454269315163</v>
      </c>
      <c r="AD19" s="198">
        <f>IF(AC19="","",$B19*'AEO 2017_Table 13'!AE$16/'AEO 2017_Table 13'!$C$16)</f>
        <v>163.98629751971396</v>
      </c>
      <c r="AE19" s="198">
        <f>IF(AD19="","",$B19*'AEO 2017_Table 13'!AF$16/'AEO 2017_Table 13'!$C$16)</f>
        <v>165.1833465357453</v>
      </c>
      <c r="AF19" s="198">
        <f>IF(AE19="","",$B19*'AEO 2017_Table 13'!AG$16/'AEO 2017_Table 13'!$C$16)</f>
        <v>166.35801125799642</v>
      </c>
      <c r="AG19" s="198">
        <f>IF(AF19="","",$B19*'AEO 2017_Table 13'!AH$16/'AEO 2017_Table 13'!$C$16)</f>
        <v>167.37865628520544</v>
      </c>
      <c r="AH19" s="198">
        <f>IF(AG19="","",$B19*'AEO 2017_Table 13'!AI$16/'AEO 2017_Table 13'!$C$16)</f>
        <v>168.52574747000992</v>
      </c>
      <c r="AI19" s="198">
        <f>IF(AH19="","",$B19*'AEO 2017_Table 13'!AJ$16/'AEO 2017_Table 13'!$C$16)</f>
        <v>169.47557814787012</v>
      </c>
      <c r="AJ19" s="198">
        <f>IF(AI19="","",$B19*'AEO 2017_Table 13'!AK$16/'AEO 2017_Table 13'!$C$16)</f>
        <v>170.43800756494031</v>
      </c>
      <c r="AK19" s="198">
        <f>IF(AJ19="","",$B19*'AEO 2017_Table 13'!AL$16/'AEO 2017_Table 13'!$C$16)</f>
        <v>171.65119127687515</v>
      </c>
    </row>
    <row r="20" spans="1:37" x14ac:dyDescent="0.25">
      <c r="A20" s="183" t="s">
        <v>1401</v>
      </c>
      <c r="B20" s="198">
        <v>5.4703150840907853</v>
      </c>
      <c r="C20" s="198">
        <f>IF(B20="","",$B20*'AEO 2017_Table 13'!D$16/'AEO 2017_Table 13'!$C$16)</f>
        <v>5.369013589967488</v>
      </c>
      <c r="D20" s="198">
        <f>IF(C20="","",$B20*'AEO 2017_Table 13'!E$16/'AEO 2017_Table 13'!$C$16)</f>
        <v>5.637320886318018</v>
      </c>
      <c r="E20" s="198">
        <f>IF(D20="","",$B20*'AEO 2017_Table 13'!F$16/'AEO 2017_Table 13'!$C$16)</f>
        <v>5.898738587507327</v>
      </c>
      <c r="F20" s="198">
        <f>IF(E20="","",$B20*'AEO 2017_Table 13'!G$16/'AEO 2017_Table 13'!$C$16)</f>
        <v>6.0783788217938577</v>
      </c>
      <c r="G20" s="198">
        <f>IF(F20="","",$B20*'AEO 2017_Table 13'!H$16/'AEO 2017_Table 13'!$C$16)</f>
        <v>6.238336579908121</v>
      </c>
      <c r="H20" s="198">
        <f>IF(G20="","",$B20*'AEO 2017_Table 13'!I$16/'AEO 2017_Table 13'!$C$16)</f>
        <v>6.2639097955253487</v>
      </c>
      <c r="I20" s="198">
        <f>IF(H20="","",$B20*'AEO 2017_Table 13'!J$16/'AEO 2017_Table 13'!$C$16)</f>
        <v>6.3495855518361584</v>
      </c>
      <c r="J20" s="198">
        <f>IF(I20="","",$B20*'AEO 2017_Table 13'!K$16/'AEO 2017_Table 13'!$C$16)</f>
        <v>6.4635348338690912</v>
      </c>
      <c r="K20" s="198">
        <f>IF(J20="","",$B20*'AEO 2017_Table 13'!L$16/'AEO 2017_Table 13'!$C$16)</f>
        <v>6.5710281811540856</v>
      </c>
      <c r="L20" s="198">
        <f>IF(K20="","",$B20*'AEO 2017_Table 13'!M$16/'AEO 2017_Table 13'!$C$16)</f>
        <v>6.6712802292189295</v>
      </c>
      <c r="M20" s="198">
        <f>IF(L20="","",$B20*'AEO 2017_Table 13'!N$16/'AEO 2017_Table 13'!$C$16)</f>
        <v>6.768534091244045</v>
      </c>
      <c r="N20" s="198">
        <f>IF(M20="","",$B20*'AEO 2017_Table 13'!O$16/'AEO 2017_Table 13'!$C$16)</f>
        <v>6.806744571979733</v>
      </c>
      <c r="O20" s="198">
        <f>IF(N20="","",$B20*'AEO 2017_Table 13'!P$16/'AEO 2017_Table 13'!$C$16)</f>
        <v>6.8621017385756025</v>
      </c>
      <c r="P20" s="198">
        <f>IF(O20="","",$B20*'AEO 2017_Table 13'!Q$16/'AEO 2017_Table 13'!$C$16)</f>
        <v>6.9034896975237547</v>
      </c>
      <c r="Q20" s="198">
        <f>IF(P20="","",$B20*'AEO 2017_Table 13'!R$16/'AEO 2017_Table 13'!$C$16)</f>
        <v>6.9309100677151356</v>
      </c>
      <c r="R20" s="198">
        <f>IF(Q20="","",$B20*'AEO 2017_Table 13'!S$16/'AEO 2017_Table 13'!$C$16)</f>
        <v>6.9657048909073174</v>
      </c>
      <c r="S20" s="198">
        <f>IF(R20="","",$B20*'AEO 2017_Table 13'!T$16/'AEO 2017_Table 13'!$C$16)</f>
        <v>7.0170239363893359</v>
      </c>
      <c r="T20" s="198">
        <f>IF(S20="","",$B20*'AEO 2017_Table 13'!U$16/'AEO 2017_Table 13'!$C$16)</f>
        <v>7.0718784373451768</v>
      </c>
      <c r="U20" s="198">
        <f>IF(T20="","",$B20*'AEO 2017_Table 13'!V$16/'AEO 2017_Table 13'!$C$16)</f>
        <v>7.1464949424912128</v>
      </c>
      <c r="V20" s="198">
        <f>IF(U20="","",$B20*'AEO 2017_Table 13'!W$16/'AEO 2017_Table 13'!$C$16)</f>
        <v>7.2505981297651614</v>
      </c>
      <c r="W20" s="198">
        <f>IF(V20="","",$B20*'AEO 2017_Table 13'!X$16/'AEO 2017_Table 13'!$C$16)</f>
        <v>7.3336288206247477</v>
      </c>
      <c r="X20" s="198">
        <f>IF(W20="","",$B20*'AEO 2017_Table 13'!Y$16/'AEO 2017_Table 13'!$C$16)</f>
        <v>7.4058993504226063</v>
      </c>
      <c r="Y20" s="198">
        <f>IF(X20="","",$B20*'AEO 2017_Table 13'!Z$16/'AEO 2017_Table 13'!$C$16)</f>
        <v>7.4620878175213932</v>
      </c>
      <c r="Z20" s="198">
        <f>IF(Y20="","",$B20*'AEO 2017_Table 13'!AA$16/'AEO 2017_Table 13'!$C$16)</f>
        <v>7.5315530116639602</v>
      </c>
      <c r="AA20" s="198">
        <f>IF(Z20="","",$B20*'AEO 2017_Table 13'!AB$16/'AEO 2017_Table 13'!$C$16)</f>
        <v>7.5688813991931694</v>
      </c>
      <c r="AB20" s="198">
        <f>IF(AA20="","",$B20*'AEO 2017_Table 13'!AC$16/'AEO 2017_Table 13'!$C$16)</f>
        <v>7.6060707644620349</v>
      </c>
      <c r="AC20" s="198">
        <f>IF(AB20="","",$B20*'AEO 2017_Table 13'!AD$16/'AEO 2017_Table 13'!$C$16)</f>
        <v>7.6285482558597844</v>
      </c>
      <c r="AD20" s="198">
        <f>IF(AC20="","",$B20*'AEO 2017_Table 13'!AE$16/'AEO 2017_Table 13'!$C$16)</f>
        <v>7.6674382660718097</v>
      </c>
      <c r="AE20" s="198">
        <f>IF(AD20="","",$B20*'AEO 2017_Table 13'!AF$16/'AEO 2017_Table 13'!$C$16)</f>
        <v>7.7234081828923227</v>
      </c>
      <c r="AF20" s="198">
        <f>IF(AE20="","",$B20*'AEO 2017_Table 13'!AG$16/'AEO 2017_Table 13'!$C$16)</f>
        <v>7.7783314867135465</v>
      </c>
      <c r="AG20" s="198">
        <f>IF(AF20="","",$B20*'AEO 2017_Table 13'!AH$16/'AEO 2017_Table 13'!$C$16)</f>
        <v>7.8260533565042687</v>
      </c>
      <c r="AH20" s="198">
        <f>IF(AG20="","",$B20*'AEO 2017_Table 13'!AI$16/'AEO 2017_Table 13'!$C$16)</f>
        <v>7.8796874160450434</v>
      </c>
      <c r="AI20" s="198">
        <f>IF(AH20="","",$B20*'AEO 2017_Table 13'!AJ$16/'AEO 2017_Table 13'!$C$16)</f>
        <v>7.9240982491199148</v>
      </c>
      <c r="AJ20" s="198">
        <f>IF(AI20="","",$B20*'AEO 2017_Table 13'!AK$16/'AEO 2017_Table 13'!$C$16)</f>
        <v>7.9690981561392809</v>
      </c>
      <c r="AK20" s="198">
        <f>IF(AJ20="","",$B20*'AEO 2017_Table 13'!AL$16/'AEO 2017_Table 13'!$C$16)</f>
        <v>8.0258224761425776</v>
      </c>
    </row>
    <row r="21" spans="1:37" x14ac:dyDescent="0.25">
      <c r="A21" s="183" t="s">
        <v>1402</v>
      </c>
      <c r="B21" s="198">
        <v>76.562884911775541</v>
      </c>
      <c r="C21" s="198">
        <f>IF(B21="","",$B21*'AEO 2017_Table 13'!D$16/'AEO 2017_Table 13'!$C$16)</f>
        <v>75.145062626088674</v>
      </c>
      <c r="D21" s="198">
        <f>IF(C21="","",$B21*'AEO 2017_Table 13'!E$16/'AEO 2017_Table 13'!$C$16)</f>
        <v>78.900308957551076</v>
      </c>
      <c r="E21" s="198">
        <f>IF(D21="","",$B21*'AEO 2017_Table 13'!F$16/'AEO 2017_Table 13'!$C$16)</f>
        <v>82.559128068038319</v>
      </c>
      <c r="F21" s="198">
        <f>IF(E21="","",$B21*'AEO 2017_Table 13'!G$16/'AEO 2017_Table 13'!$C$16)</f>
        <v>85.073384444824342</v>
      </c>
      <c r="G21" s="198">
        <f>IF(F21="","",$B21*'AEO 2017_Table 13'!H$16/'AEO 2017_Table 13'!$C$16)</f>
        <v>87.312163607813545</v>
      </c>
      <c r="H21" s="198">
        <f>IF(G21="","",$B21*'AEO 2017_Table 13'!I$16/'AEO 2017_Table 13'!$C$16)</f>
        <v>87.670087993160223</v>
      </c>
      <c r="I21" s="198">
        <f>IF(H21="","",$B21*'AEO 2017_Table 13'!J$16/'AEO 2017_Table 13'!$C$16)</f>
        <v>88.869211438394814</v>
      </c>
      <c r="J21" s="198">
        <f>IF(I21="","",$B21*'AEO 2017_Table 13'!K$16/'AEO 2017_Table 13'!$C$16)</f>
        <v>90.464052984440244</v>
      </c>
      <c r="K21" s="198">
        <f>IF(J21="","",$B21*'AEO 2017_Table 13'!L$16/'AEO 2017_Table 13'!$C$16)</f>
        <v>91.9685368487971</v>
      </c>
      <c r="L21" s="198">
        <f>IF(K21="","",$B21*'AEO 2017_Table 13'!M$16/'AEO 2017_Table 13'!$C$16)</f>
        <v>93.37167101934628</v>
      </c>
      <c r="M21" s="198">
        <f>IF(L21="","",$B21*'AEO 2017_Table 13'!N$16/'AEO 2017_Table 13'!$C$16)</f>
        <v>94.732842383516839</v>
      </c>
      <c r="N21" s="198">
        <f>IF(M21="","",$B21*'AEO 2017_Table 13'!O$16/'AEO 2017_Table 13'!$C$16)</f>
        <v>95.267638751553903</v>
      </c>
      <c r="O21" s="198">
        <f>IF(N21="","",$B21*'AEO 2017_Table 13'!P$16/'AEO 2017_Table 13'!$C$16)</f>
        <v>96.042421247620325</v>
      </c>
      <c r="P21" s="198">
        <f>IF(O21="","",$B21*'AEO 2017_Table 13'!Q$16/'AEO 2017_Table 13'!$C$16)</f>
        <v>96.621689806920728</v>
      </c>
      <c r="Q21" s="198">
        <f>IF(P21="","",$B21*'AEO 2017_Table 13'!R$16/'AEO 2017_Table 13'!$C$16)</f>
        <v>97.005467087557932</v>
      </c>
      <c r="R21" s="198">
        <f>IF(Q21="","",$B21*'AEO 2017_Table 13'!S$16/'AEO 2017_Table 13'!$C$16)</f>
        <v>97.492457690957764</v>
      </c>
      <c r="S21" s="198">
        <f>IF(R21="","",$B21*'AEO 2017_Table 13'!T$16/'AEO 2017_Table 13'!$C$16)</f>
        <v>98.210722381861771</v>
      </c>
      <c r="T21" s="198">
        <f>IF(S21="","",$B21*'AEO 2017_Table 13'!U$16/'AEO 2017_Table 13'!$C$16)</f>
        <v>98.978469537009957</v>
      </c>
      <c r="U21" s="198">
        <f>IF(T21="","",$B21*'AEO 2017_Table 13'!V$16/'AEO 2017_Table 13'!$C$16)</f>
        <v>100.02280698525483</v>
      </c>
      <c r="V21" s="198">
        <f>IF(U21="","",$B21*'AEO 2017_Table 13'!W$16/'AEO 2017_Table 13'!$C$16)</f>
        <v>101.47984195009344</v>
      </c>
      <c r="W21" s="198">
        <f>IF(V21="","",$B21*'AEO 2017_Table 13'!X$16/'AEO 2017_Table 13'!$C$16)</f>
        <v>102.64194488762182</v>
      </c>
      <c r="X21" s="198">
        <f>IF(W21="","",$B21*'AEO 2017_Table 13'!Y$16/'AEO 2017_Table 13'!$C$16)</f>
        <v>103.65344791265208</v>
      </c>
      <c r="Y21" s="198">
        <f>IF(X21="","",$B21*'AEO 2017_Table 13'!Z$16/'AEO 2017_Table 13'!$C$16)</f>
        <v>104.43986534450437</v>
      </c>
      <c r="Z21" s="198">
        <f>IF(Y21="","",$B21*'AEO 2017_Table 13'!AA$16/'AEO 2017_Table 13'!$C$16)</f>
        <v>105.41210470965156</v>
      </c>
      <c r="AA21" s="198">
        <f>IF(Z21="","",$B21*'AEO 2017_Table 13'!AB$16/'AEO 2017_Table 13'!$C$16)</f>
        <v>105.93455524392752</v>
      </c>
      <c r="AB21" s="198">
        <f>IF(AA21="","",$B21*'AEO 2017_Table 13'!AC$16/'AEO 2017_Table 13'!$C$16)</f>
        <v>106.45506001362587</v>
      </c>
      <c r="AC21" s="198">
        <f>IF(AB21="","",$B21*'AEO 2017_Table 13'!AD$16/'AEO 2017_Table 13'!$C$16)</f>
        <v>106.76965644190039</v>
      </c>
      <c r="AD21" s="198">
        <f>IF(AC21="","",$B21*'AEO 2017_Table 13'!AE$16/'AEO 2017_Table 13'!$C$16)</f>
        <v>107.31396354858619</v>
      </c>
      <c r="AE21" s="198">
        <f>IF(AD21="","",$B21*'AEO 2017_Table 13'!AF$16/'AEO 2017_Table 13'!$C$16)</f>
        <v>108.097322136561</v>
      </c>
      <c r="AF21" s="198">
        <f>IF(AE21="","",$B21*'AEO 2017_Table 13'!AG$16/'AEO 2017_Table 13'!$C$16)</f>
        <v>108.86603226107802</v>
      </c>
      <c r="AG21" s="198">
        <f>IF(AF21="","",$B21*'AEO 2017_Table 13'!AH$16/'AEO 2017_Table 13'!$C$16)</f>
        <v>109.53395064756877</v>
      </c>
      <c r="AH21" s="198">
        <f>IF(AG21="","",$B21*'AEO 2017_Table 13'!AI$16/'AEO 2017_Table 13'!$C$16)</f>
        <v>110.28461642547141</v>
      </c>
      <c r="AI21" s="198">
        <f>IF(AH21="","",$B21*'AEO 2017_Table 13'!AJ$16/'AEO 2017_Table 13'!$C$16)</f>
        <v>110.90619332721813</v>
      </c>
      <c r="AJ21" s="198">
        <f>IF(AI21="","",$B21*'AEO 2017_Table 13'!AK$16/'AEO 2017_Table 13'!$C$16)</f>
        <v>111.53601494611981</v>
      </c>
      <c r="AK21" s="198">
        <f>IF(AJ21="","",$B21*'AEO 2017_Table 13'!AL$16/'AEO 2017_Table 13'!$C$16)</f>
        <v>112.32993220999766</v>
      </c>
    </row>
    <row r="22" spans="1:37" x14ac:dyDescent="0.25">
      <c r="A22" s="196" t="s">
        <v>1403</v>
      </c>
      <c r="B22" s="197">
        <v>66.135075868709905</v>
      </c>
      <c r="C22" s="197">
        <f>IF(B22="","",$B22*'AEO 2017_Table 13'!D$16/'AEO 2017_Table 13'!$C$16)</f>
        <v>64.910359943489752</v>
      </c>
      <c r="D22" s="197">
        <f>IF(C22="","",$B22*'AEO 2017_Table 13'!E$16/'AEO 2017_Table 13'!$C$16)</f>
        <v>68.154144465495961</v>
      </c>
      <c r="E22" s="197">
        <f>IF(D22="","",$B22*'AEO 2017_Table 13'!F$16/'AEO 2017_Table 13'!$C$16)</f>
        <v>71.314635083643296</v>
      </c>
      <c r="F22" s="197">
        <f>IF(E22="","",$B22*'AEO 2017_Table 13'!G$16/'AEO 2017_Table 13'!$C$16)</f>
        <v>73.486451577023061</v>
      </c>
      <c r="G22" s="197">
        <f>IF(F22="","",$B22*'AEO 2017_Table 13'!H$16/'AEO 2017_Table 13'!$C$16)</f>
        <v>75.420310652059101</v>
      </c>
      <c r="H22" s="197">
        <f>IF(G22="","",$B22*'AEO 2017_Table 13'!I$16/'AEO 2017_Table 13'!$C$16)</f>
        <v>75.72948599736435</v>
      </c>
      <c r="I22" s="197">
        <f>IF(H22="","",$B22*'AEO 2017_Table 13'!J$16/'AEO 2017_Table 13'!$C$16)</f>
        <v>76.765289704577356</v>
      </c>
      <c r="J22" s="197">
        <f>IF(I22="","",$B22*'AEO 2017_Table 13'!K$16/'AEO 2017_Table 13'!$C$16)</f>
        <v>78.142914996098497</v>
      </c>
      <c r="K22" s="197">
        <f>IF(J22="","",$B22*'AEO 2017_Table 13'!L$16/'AEO 2017_Table 13'!$C$16)</f>
        <v>79.442489256226551</v>
      </c>
      <c r="L22" s="197">
        <f>IF(K22="","",$B22*'AEO 2017_Table 13'!M$16/'AEO 2017_Table 13'!$C$16)</f>
        <v>80.654517576870177</v>
      </c>
      <c r="M22" s="197">
        <f>IF(L22="","",$B22*'AEO 2017_Table 13'!N$16/'AEO 2017_Table 13'!$C$16)</f>
        <v>81.830298394736005</v>
      </c>
      <c r="N22" s="197">
        <f>IF(M22="","",$B22*'AEO 2017_Table 13'!O$16/'AEO 2017_Table 13'!$C$16)</f>
        <v>82.292255887784989</v>
      </c>
      <c r="O22" s="197">
        <f>IF(N22="","",$B22*'AEO 2017_Table 13'!P$16/'AEO 2017_Table 13'!$C$16)</f>
        <v>82.961513573387421</v>
      </c>
      <c r="P22" s="197">
        <f>IF(O22="","",$B22*'AEO 2017_Table 13'!Q$16/'AEO 2017_Table 13'!$C$16)</f>
        <v>83.461886177709175</v>
      </c>
      <c r="Q22" s="197">
        <f>IF(P22="","",$B22*'AEO 2017_Table 13'!R$16/'AEO 2017_Table 13'!$C$16)</f>
        <v>83.793393272835942</v>
      </c>
      <c r="R22" s="197">
        <f>IF(Q22="","",$B22*'AEO 2017_Table 13'!S$16/'AEO 2017_Table 13'!$C$16)</f>
        <v>84.214056111498707</v>
      </c>
      <c r="S22" s="197">
        <f>IF(R22="","",$B22*'AEO 2017_Table 13'!T$16/'AEO 2017_Table 13'!$C$16)</f>
        <v>84.83449367575048</v>
      </c>
      <c r="T22" s="197">
        <f>IF(S22="","",$B22*'AEO 2017_Table 13'!U$16/'AEO 2017_Table 13'!$C$16)</f>
        <v>85.497674228732777</v>
      </c>
      <c r="U22" s="197">
        <f>IF(T22="","",$B22*'AEO 2017_Table 13'!V$16/'AEO 2017_Table 13'!$C$16)</f>
        <v>86.399773678770444</v>
      </c>
      <c r="V22" s="197">
        <f>IF(U22="","",$B22*'AEO 2017_Table 13'!W$16/'AEO 2017_Table 13'!$C$16)</f>
        <v>87.65836154486253</v>
      </c>
      <c r="W22" s="197">
        <f>IF(V22="","",$B22*'AEO 2017_Table 13'!X$16/'AEO 2017_Table 13'!$C$16)</f>
        <v>88.662186910498264</v>
      </c>
      <c r="X22" s="197">
        <f>IF(W22="","",$B22*'AEO 2017_Table 13'!Y$16/'AEO 2017_Table 13'!$C$16)</f>
        <v>89.535923961797863</v>
      </c>
      <c r="Y22" s="197">
        <f>IF(X22="","",$B22*'AEO 2017_Table 13'!Z$16/'AEO 2017_Table 13'!$C$16)</f>
        <v>90.215231913424276</v>
      </c>
      <c r="Z22" s="197">
        <f>IF(Y22="","",$B22*'AEO 2017_Table 13'!AA$16/'AEO 2017_Table 13'!$C$16)</f>
        <v>91.055052986659021</v>
      </c>
      <c r="AA22" s="197">
        <f>IF(Z22="","",$B22*'AEO 2017_Table 13'!AB$16/'AEO 2017_Table 13'!$C$16)</f>
        <v>91.506346139494156</v>
      </c>
      <c r="AB22" s="197">
        <f>IF(AA22="","",$B22*'AEO 2017_Table 13'!AC$16/'AEO 2017_Table 13'!$C$16)</f>
        <v>91.955958539466977</v>
      </c>
      <c r="AC22" s="197">
        <f>IF(AB22="","",$B22*'AEO 2017_Table 13'!AD$16/'AEO 2017_Table 13'!$C$16)</f>
        <v>92.227707163828981</v>
      </c>
      <c r="AD22" s="197">
        <f>IF(AC22="","",$B22*'AEO 2017_Table 13'!AE$16/'AEO 2017_Table 13'!$C$16)</f>
        <v>92.697880039864458</v>
      </c>
      <c r="AE22" s="197">
        <f>IF(AD22="","",$B22*'AEO 2017_Table 13'!AF$16/'AEO 2017_Table 13'!$C$16)</f>
        <v>93.374545759916884</v>
      </c>
      <c r="AF22" s="197">
        <f>IF(AE22="","",$B22*'AEO 2017_Table 13'!AG$16/'AEO 2017_Table 13'!$C$16)</f>
        <v>94.038558126542853</v>
      </c>
      <c r="AG22" s="197">
        <f>IF(AF22="","",$B22*'AEO 2017_Table 13'!AH$16/'AEO 2017_Table 13'!$C$16)</f>
        <v>94.615506516295568</v>
      </c>
      <c r="AH22" s="197">
        <f>IF(AG22="","",$B22*'AEO 2017_Table 13'!AI$16/'AEO 2017_Table 13'!$C$16)</f>
        <v>95.263932163145768</v>
      </c>
      <c r="AI22" s="197">
        <f>IF(AH22="","",$B22*'AEO 2017_Table 13'!AJ$16/'AEO 2017_Table 13'!$C$16)</f>
        <v>95.800850744552761</v>
      </c>
      <c r="AJ22" s="197">
        <f>IF(AI22="","",$B22*'AEO 2017_Table 13'!AK$16/'AEO 2017_Table 13'!$C$16)</f>
        <v>96.34489111865588</v>
      </c>
      <c r="AK22" s="197">
        <f>IF(AJ22="","",$B22*'AEO 2017_Table 13'!AL$16/'AEO 2017_Table 13'!$C$16)</f>
        <v>97.030677430659978</v>
      </c>
    </row>
    <row r="23" spans="1:37" x14ac:dyDescent="0.25">
      <c r="A23" s="191" t="s">
        <v>1404</v>
      </c>
      <c r="B23" s="193"/>
      <c r="C23" s="193" t="str">
        <f>IF(B23="","",$B23*'AEO 2017_Table 13'!D$16/'AEO 2017_Table 13'!$C$16)</f>
        <v/>
      </c>
      <c r="D23" s="193" t="str">
        <f>IF(C23="","",$B23*'AEO 2017_Table 13'!E$16/'AEO 2017_Table 13'!$C$16)</f>
        <v/>
      </c>
      <c r="E23" s="193" t="str">
        <f>IF(D23="","",$B23*'AEO 2017_Table 13'!F$16/'AEO 2017_Table 13'!$C$16)</f>
        <v/>
      </c>
      <c r="F23" s="193" t="str">
        <f>IF(E23="","",$B23*'AEO 2017_Table 13'!G$16/'AEO 2017_Table 13'!$C$16)</f>
        <v/>
      </c>
      <c r="G23" s="193" t="str">
        <f>IF(F23="","",$B23*'AEO 2017_Table 13'!H$16/'AEO 2017_Table 13'!$C$16)</f>
        <v/>
      </c>
      <c r="H23" s="193" t="str">
        <f>IF(G23="","",$B23*'AEO 2017_Table 13'!I$16/'AEO 2017_Table 13'!$C$16)</f>
        <v/>
      </c>
      <c r="I23" s="193" t="str">
        <f>IF(H23="","",$B23*'AEO 2017_Table 13'!J$16/'AEO 2017_Table 13'!$C$16)</f>
        <v/>
      </c>
      <c r="J23" s="193" t="str">
        <f>IF(I23="","",$B23*'AEO 2017_Table 13'!K$16/'AEO 2017_Table 13'!$C$16)</f>
        <v/>
      </c>
      <c r="K23" s="193" t="str">
        <f>IF(J23="","",$B23*'AEO 2017_Table 13'!L$16/'AEO 2017_Table 13'!$C$16)</f>
        <v/>
      </c>
      <c r="L23" s="193" t="str">
        <f>IF(K23="","",$B23*'AEO 2017_Table 13'!M$16/'AEO 2017_Table 13'!$C$16)</f>
        <v/>
      </c>
      <c r="M23" s="193" t="str">
        <f>IF(L23="","",$B23*'AEO 2017_Table 13'!N$16/'AEO 2017_Table 13'!$C$16)</f>
        <v/>
      </c>
      <c r="N23" s="193" t="str">
        <f>IF(M23="","",$B23*'AEO 2017_Table 13'!O$16/'AEO 2017_Table 13'!$C$16)</f>
        <v/>
      </c>
      <c r="O23" s="193" t="str">
        <f>IF(N23="","",$B23*'AEO 2017_Table 13'!P$16/'AEO 2017_Table 13'!$C$16)</f>
        <v/>
      </c>
      <c r="P23" s="193" t="str">
        <f>IF(O23="","",$B23*'AEO 2017_Table 13'!Q$16/'AEO 2017_Table 13'!$C$16)</f>
        <v/>
      </c>
      <c r="Q23" s="193" t="str">
        <f>IF(P23="","",$B23*'AEO 2017_Table 13'!R$16/'AEO 2017_Table 13'!$C$16)</f>
        <v/>
      </c>
      <c r="R23" s="193" t="str">
        <f>IF(Q23="","",$B23*'AEO 2017_Table 13'!S$16/'AEO 2017_Table 13'!$C$16)</f>
        <v/>
      </c>
      <c r="S23" s="193" t="str">
        <f>IF(R23="","",$B23*'AEO 2017_Table 13'!T$16/'AEO 2017_Table 13'!$C$16)</f>
        <v/>
      </c>
      <c r="T23" s="193" t="str">
        <f>IF(S23="","",$B23*'AEO 2017_Table 13'!U$16/'AEO 2017_Table 13'!$C$16)</f>
        <v/>
      </c>
      <c r="U23" s="193" t="str">
        <f>IF(T23="","",$B23*'AEO 2017_Table 13'!V$16/'AEO 2017_Table 13'!$C$16)</f>
        <v/>
      </c>
      <c r="V23" s="193" t="str">
        <f>IF(U23="","",$B23*'AEO 2017_Table 13'!W$16/'AEO 2017_Table 13'!$C$16)</f>
        <v/>
      </c>
      <c r="W23" s="193" t="str">
        <f>IF(V23="","",$B23*'AEO 2017_Table 13'!X$16/'AEO 2017_Table 13'!$C$16)</f>
        <v/>
      </c>
      <c r="X23" s="193" t="str">
        <f>IF(W23="","",$B23*'AEO 2017_Table 13'!Y$16/'AEO 2017_Table 13'!$C$16)</f>
        <v/>
      </c>
      <c r="Y23" s="193" t="str">
        <f>IF(X23="","",$B23*'AEO 2017_Table 13'!Z$16/'AEO 2017_Table 13'!$C$16)</f>
        <v/>
      </c>
      <c r="Z23" s="193" t="str">
        <f>IF(Y23="","",$B23*'AEO 2017_Table 13'!AA$16/'AEO 2017_Table 13'!$C$16)</f>
        <v/>
      </c>
      <c r="AA23" s="193" t="str">
        <f>IF(Z23="","",$B23*'AEO 2017_Table 13'!AB$16/'AEO 2017_Table 13'!$C$16)</f>
        <v/>
      </c>
      <c r="AB23" s="193" t="str">
        <f>IF(AA23="","",$B23*'AEO 2017_Table 13'!AC$16/'AEO 2017_Table 13'!$C$16)</f>
        <v/>
      </c>
      <c r="AC23" s="193" t="str">
        <f>IF(AB23="","",$B23*'AEO 2017_Table 13'!AD$16/'AEO 2017_Table 13'!$C$16)</f>
        <v/>
      </c>
      <c r="AD23" s="193" t="str">
        <f>IF(AC23="","",$B23*'AEO 2017_Table 13'!AE$16/'AEO 2017_Table 13'!$C$16)</f>
        <v/>
      </c>
      <c r="AE23" s="193" t="str">
        <f>IF(AD23="","",$B23*'AEO 2017_Table 13'!AF$16/'AEO 2017_Table 13'!$C$16)</f>
        <v/>
      </c>
      <c r="AF23" s="193" t="str">
        <f>IF(AE23="","",$B23*'AEO 2017_Table 13'!AG$16/'AEO 2017_Table 13'!$C$16)</f>
        <v/>
      </c>
      <c r="AG23" s="193" t="str">
        <f>IF(AF23="","",$B23*'AEO 2017_Table 13'!AH$16/'AEO 2017_Table 13'!$C$16)</f>
        <v/>
      </c>
      <c r="AH23" s="193" t="str">
        <f>IF(AG23="","",$B23*'AEO 2017_Table 13'!AI$16/'AEO 2017_Table 13'!$C$16)</f>
        <v/>
      </c>
      <c r="AI23" s="193" t="str">
        <f>IF(AH23="","",$B23*'AEO 2017_Table 13'!AJ$16/'AEO 2017_Table 13'!$C$16)</f>
        <v/>
      </c>
      <c r="AJ23" s="193" t="str">
        <f>IF(AI23="","",$B23*'AEO 2017_Table 13'!AK$16/'AEO 2017_Table 13'!$C$16)</f>
        <v/>
      </c>
      <c r="AK23" s="193" t="str">
        <f>IF(AJ23="","",$B23*'AEO 2017_Table 13'!AL$16/'AEO 2017_Table 13'!$C$16)</f>
        <v/>
      </c>
    </row>
    <row r="24" spans="1:37" x14ac:dyDescent="0.25">
      <c r="A24" s="194" t="s">
        <v>1405</v>
      </c>
      <c r="B24" s="195">
        <v>1968.2048008584004</v>
      </c>
      <c r="C24" s="195">
        <f>IF(B24="","",$B24*'AEO 2017_Table 13'!D$16/'AEO 2017_Table 13'!$C$16)</f>
        <v>1931.7567930192427</v>
      </c>
      <c r="D24" s="195">
        <f>IF(C24="","",$B24*'AEO 2017_Table 13'!E$16/'AEO 2017_Table 13'!$C$16)</f>
        <v>2028.2930437954124</v>
      </c>
      <c r="E24" s="195">
        <f>IF(D24="","",$B24*'AEO 2017_Table 13'!F$16/'AEO 2017_Table 13'!$C$16)</f>
        <v>2122.3504365782424</v>
      </c>
      <c r="F24" s="195">
        <f>IF(E24="","",$B24*'AEO 2017_Table 13'!G$16/'AEO 2017_Table 13'!$C$16)</f>
        <v>2186.9845145271256</v>
      </c>
      <c r="G24" s="195">
        <f>IF(F24="","",$B24*'AEO 2017_Table 13'!H$16/'AEO 2017_Table 13'!$C$16)</f>
        <v>2244.536889959878</v>
      </c>
      <c r="H24" s="195">
        <f>IF(G24="","",$B24*'AEO 2017_Table 13'!I$16/'AEO 2017_Table 13'!$C$16)</f>
        <v>2253.7380648423991</v>
      </c>
      <c r="I24" s="195">
        <f>IF(H24="","",$B24*'AEO 2017_Table 13'!J$16/'AEO 2017_Table 13'!$C$16)</f>
        <v>2284.5639738249592</v>
      </c>
      <c r="J24" s="195">
        <f>IF(I24="","",$B24*'AEO 2017_Table 13'!K$16/'AEO 2017_Table 13'!$C$16)</f>
        <v>2325.5626220753766</v>
      </c>
      <c r="K24" s="195">
        <f>IF(J24="","",$B24*'AEO 2017_Table 13'!L$16/'AEO 2017_Table 13'!$C$16)</f>
        <v>2364.2384421943975</v>
      </c>
      <c r="L24" s="195">
        <f>IF(K24="","",$B24*'AEO 2017_Table 13'!M$16/'AEO 2017_Table 13'!$C$16)</f>
        <v>2400.3088621361967</v>
      </c>
      <c r="M24" s="195">
        <f>IF(L24="","",$B24*'AEO 2017_Table 13'!N$16/'AEO 2017_Table 13'!$C$16)</f>
        <v>2435.3005427244943</v>
      </c>
      <c r="N24" s="195">
        <f>IF(M24="","",$B24*'AEO 2017_Table 13'!O$16/'AEO 2017_Table 13'!$C$16)</f>
        <v>2449.0485719460307</v>
      </c>
      <c r="O24" s="195">
        <f>IF(N24="","",$B24*'AEO 2017_Table 13'!P$16/'AEO 2017_Table 13'!$C$16)</f>
        <v>2468.9659330817317</v>
      </c>
      <c r="P24" s="195">
        <f>IF(O24="","",$B24*'AEO 2017_Table 13'!Q$16/'AEO 2017_Table 13'!$C$16)</f>
        <v>2483.8572105030985</v>
      </c>
      <c r="Q24" s="195">
        <f>IF(P24="","",$B24*'AEO 2017_Table 13'!R$16/'AEO 2017_Table 13'!$C$16)</f>
        <v>2493.7229866827829</v>
      </c>
      <c r="R24" s="195">
        <f>IF(Q24="","",$B24*'AEO 2017_Table 13'!S$16/'AEO 2017_Table 13'!$C$16)</f>
        <v>2506.2420714154046</v>
      </c>
      <c r="S24" s="195">
        <f>IF(R24="","",$B24*'AEO 2017_Table 13'!T$16/'AEO 2017_Table 13'!$C$16)</f>
        <v>2524.7065273270823</v>
      </c>
      <c r="T24" s="195">
        <f>IF(S24="","",$B24*'AEO 2017_Table 13'!U$16/'AEO 2017_Table 13'!$C$16)</f>
        <v>2544.4430307040029</v>
      </c>
      <c r="U24" s="195">
        <f>IF(T24="","",$B24*'AEO 2017_Table 13'!V$16/'AEO 2017_Table 13'!$C$16)</f>
        <v>2571.2898505661374</v>
      </c>
      <c r="V24" s="195">
        <f>IF(U24="","",$B24*'AEO 2017_Table 13'!W$16/'AEO 2017_Table 13'!$C$16)</f>
        <v>2608.7459001405291</v>
      </c>
      <c r="W24" s="195">
        <f>IF(V24="","",$B24*'AEO 2017_Table 13'!X$16/'AEO 2017_Table 13'!$C$16)</f>
        <v>2638.6201216170398</v>
      </c>
      <c r="X24" s="195">
        <f>IF(W24="","",$B24*'AEO 2017_Table 13'!Y$16/'AEO 2017_Table 13'!$C$16)</f>
        <v>2664.6228657957818</v>
      </c>
      <c r="Y24" s="195">
        <f>IF(X24="","",$B24*'AEO 2017_Table 13'!Z$16/'AEO 2017_Table 13'!$C$16)</f>
        <v>2684.8393266388393</v>
      </c>
      <c r="Z24" s="195">
        <f>IF(Y24="","",$B24*'AEO 2017_Table 13'!AA$16/'AEO 2017_Table 13'!$C$16)</f>
        <v>2709.8327185188768</v>
      </c>
      <c r="AA24" s="195">
        <f>IF(Z24="","",$B24*'AEO 2017_Table 13'!AB$16/'AEO 2017_Table 13'!$C$16)</f>
        <v>2723.2633729535664</v>
      </c>
      <c r="AB24" s="195">
        <f>IF(AA24="","",$B24*'AEO 2017_Table 13'!AC$16/'AEO 2017_Table 13'!$C$16)</f>
        <v>2736.6440075491732</v>
      </c>
      <c r="AC24" s="195">
        <f>IF(AB24="","",$B24*'AEO 2017_Table 13'!AD$16/'AEO 2017_Table 13'!$C$16)</f>
        <v>2744.7313491008454</v>
      </c>
      <c r="AD24" s="195">
        <f>IF(AC24="","",$B24*'AEO 2017_Table 13'!AE$16/'AEO 2017_Table 13'!$C$16)</f>
        <v>2758.7238712185108</v>
      </c>
      <c r="AE24" s="195">
        <f>IF(AD24="","",$B24*'AEO 2017_Table 13'!AF$16/'AEO 2017_Table 13'!$C$16)</f>
        <v>2778.8616982534027</v>
      </c>
      <c r="AF24" s="195">
        <f>IF(AE24="","",$B24*'AEO 2017_Table 13'!AG$16/'AEO 2017_Table 13'!$C$16)</f>
        <v>2798.622956718079</v>
      </c>
      <c r="AG24" s="195">
        <f>IF(AF24="","",$B24*'AEO 2017_Table 13'!AH$16/'AEO 2017_Table 13'!$C$16)</f>
        <v>2815.7931583946161</v>
      </c>
      <c r="AH24" s="195">
        <f>IF(AG24="","",$B24*'AEO 2017_Table 13'!AI$16/'AEO 2017_Table 13'!$C$16)</f>
        <v>2835.0905502001965</v>
      </c>
      <c r="AI24" s="195">
        <f>IF(AH24="","",$B24*'AEO 2017_Table 13'!AJ$16/'AEO 2017_Table 13'!$C$16)</f>
        <v>2851.0694496830242</v>
      </c>
      <c r="AJ24" s="195">
        <f>IF(AI24="","",$B24*'AEO 2017_Table 13'!AK$16/'AEO 2017_Table 13'!$C$16)</f>
        <v>2867.2602964024904</v>
      </c>
      <c r="AK24" s="195">
        <f>IF(AJ24="","",$B24*'AEO 2017_Table 13'!AL$16/'AEO 2017_Table 13'!$C$16)</f>
        <v>2887.669555693717</v>
      </c>
    </row>
    <row r="25" spans="1:37" x14ac:dyDescent="0.25">
      <c r="A25" s="196" t="s">
        <v>1406</v>
      </c>
      <c r="B25" s="197">
        <v>161.55940802179492</v>
      </c>
      <c r="C25" s="197">
        <f>IF(B25="","",$B25*'AEO 2017_Table 13'!D$16/'AEO 2017_Table 13'!$C$16)</f>
        <v>158.56758594743565</v>
      </c>
      <c r="D25" s="197">
        <f>IF(C25="","",$B25*'AEO 2017_Table 13'!E$16/'AEO 2017_Table 13'!$C$16)</f>
        <v>166.4917305899238</v>
      </c>
      <c r="E25" s="197">
        <f>IF(D25="","",$B25*'AEO 2017_Table 13'!F$16/'AEO 2017_Table 13'!$C$16)</f>
        <v>174.21239903430521</v>
      </c>
      <c r="F25" s="197">
        <f>IF(E25="","",$B25*'AEO 2017_Table 13'!G$16/'AEO 2017_Table 13'!$C$16)</f>
        <v>179.51786489177181</v>
      </c>
      <c r="G25" s="197">
        <f>IF(F25="","",$B25*'AEO 2017_Table 13'!H$16/'AEO 2017_Table 13'!$C$16)</f>
        <v>184.24203165587497</v>
      </c>
      <c r="H25" s="197">
        <f>IF(G25="","",$B25*'AEO 2017_Table 13'!I$16/'AEO 2017_Table 13'!$C$16)</f>
        <v>184.99730690288018</v>
      </c>
      <c r="I25" s="197">
        <f>IF(H25="","",$B25*'AEO 2017_Table 13'!J$16/'AEO 2017_Table 13'!$C$16)</f>
        <v>187.52764094371992</v>
      </c>
      <c r="J25" s="197">
        <f>IF(I25="","",$B25*'AEO 2017_Table 13'!K$16/'AEO 2017_Table 13'!$C$16)</f>
        <v>190.893000756958</v>
      </c>
      <c r="K25" s="197">
        <f>IF(J25="","",$B25*'AEO 2017_Table 13'!L$16/'AEO 2017_Table 13'!$C$16)</f>
        <v>194.06769202915757</v>
      </c>
      <c r="L25" s="197">
        <f>IF(K25="","",$B25*'AEO 2017_Table 13'!M$16/'AEO 2017_Table 13'!$C$16)</f>
        <v>197.02851993200238</v>
      </c>
      <c r="M25" s="197">
        <f>IF(L25="","",$B25*'AEO 2017_Table 13'!N$16/'AEO 2017_Table 13'!$C$16)</f>
        <v>199.90079988938666</v>
      </c>
      <c r="N25" s="197">
        <f>IF(M25="","",$B25*'AEO 2017_Table 13'!O$16/'AEO 2017_Table 13'!$C$16)</f>
        <v>201.02930209684445</v>
      </c>
      <c r="O25" s="197">
        <f>IF(N25="","",$B25*'AEO 2017_Table 13'!P$16/'AEO 2017_Table 13'!$C$16)</f>
        <v>202.66421177343744</v>
      </c>
      <c r="P25" s="197">
        <f>IF(O25="","",$B25*'AEO 2017_Table 13'!Q$16/'AEO 2017_Table 13'!$C$16)</f>
        <v>203.88655711261916</v>
      </c>
      <c r="Q25" s="197">
        <f>IF(P25="","",$B25*'AEO 2017_Table 13'!R$16/'AEO 2017_Table 13'!$C$16)</f>
        <v>204.69638592645506</v>
      </c>
      <c r="R25" s="197">
        <f>IF(Q25="","",$B25*'AEO 2017_Table 13'!S$16/'AEO 2017_Table 13'!$C$16)</f>
        <v>205.72401065204002</v>
      </c>
      <c r="S25" s="197">
        <f>IF(R25="","",$B25*'AEO 2017_Table 13'!T$16/'AEO 2017_Table 13'!$C$16)</f>
        <v>207.23965910754328</v>
      </c>
      <c r="T25" s="197">
        <f>IF(S25="","",$B25*'AEO 2017_Table 13'!U$16/'AEO 2017_Table 13'!$C$16)</f>
        <v>208.85972313777268</v>
      </c>
      <c r="U25" s="197">
        <f>IF(T25="","",$B25*'AEO 2017_Table 13'!V$16/'AEO 2017_Table 13'!$C$16)</f>
        <v>211.06343502908729</v>
      </c>
      <c r="V25" s="197">
        <f>IF(U25="","",$B25*'AEO 2017_Table 13'!W$16/'AEO 2017_Table 13'!$C$16)</f>
        <v>214.13800185944689</v>
      </c>
      <c r="W25" s="197">
        <f>IF(V25="","",$B25*'AEO 2017_Table 13'!X$16/'AEO 2017_Table 13'!$C$16)</f>
        <v>216.59021696163143</v>
      </c>
      <c r="X25" s="197">
        <f>IF(W25="","",$B25*'AEO 2017_Table 13'!Y$16/'AEO 2017_Table 13'!$C$16)</f>
        <v>218.72464319340747</v>
      </c>
      <c r="Y25" s="197">
        <f>IF(X25="","",$B25*'AEO 2017_Table 13'!Z$16/'AEO 2017_Table 13'!$C$16)</f>
        <v>220.38410436567759</v>
      </c>
      <c r="Z25" s="197">
        <f>IF(Y25="","",$B25*'AEO 2017_Table 13'!AA$16/'AEO 2017_Table 13'!$C$16)</f>
        <v>222.43567826430566</v>
      </c>
      <c r="AA25" s="197">
        <f>IF(Z25="","",$B25*'AEO 2017_Table 13'!AB$16/'AEO 2017_Table 13'!$C$16)</f>
        <v>223.53812887252866</v>
      </c>
      <c r="AB25" s="197">
        <f>IF(AA25="","",$B25*'AEO 2017_Table 13'!AC$16/'AEO 2017_Table 13'!$C$16)</f>
        <v>224.63647361961972</v>
      </c>
      <c r="AC25" s="197">
        <f>IF(AB25="","",$B25*'AEO 2017_Table 13'!AD$16/'AEO 2017_Table 13'!$C$16)</f>
        <v>225.300320244213</v>
      </c>
      <c r="AD25" s="197">
        <f>IF(AC25="","",$B25*'AEO 2017_Table 13'!AE$16/'AEO 2017_Table 13'!$C$16)</f>
        <v>226.44889156619942</v>
      </c>
      <c r="AE25" s="197">
        <f>IF(AD25="","",$B25*'AEO 2017_Table 13'!AF$16/'AEO 2017_Table 13'!$C$16)</f>
        <v>228.10189810961575</v>
      </c>
      <c r="AF25" s="197">
        <f>IF(AE25="","",$B25*'AEO 2017_Table 13'!AG$16/'AEO 2017_Table 13'!$C$16)</f>
        <v>229.72399415263243</v>
      </c>
      <c r="AG25" s="197">
        <f>IF(AF25="","",$B25*'AEO 2017_Table 13'!AH$16/'AEO 2017_Table 13'!$C$16)</f>
        <v>231.13340419840929</v>
      </c>
      <c r="AH25" s="197">
        <f>IF(AG25="","",$B25*'AEO 2017_Table 13'!AI$16/'AEO 2017_Table 13'!$C$16)</f>
        <v>232.71742390769694</v>
      </c>
      <c r="AI25" s="197">
        <f>IF(AH25="","",$B25*'AEO 2017_Table 13'!AJ$16/'AEO 2017_Table 13'!$C$16)</f>
        <v>234.02904632633931</v>
      </c>
      <c r="AJ25" s="197">
        <f>IF(AI25="","",$B25*'AEO 2017_Table 13'!AK$16/'AEO 2017_Table 13'!$C$16)</f>
        <v>235.35806636034582</v>
      </c>
      <c r="AK25" s="197">
        <f>IF(AJ25="","",$B25*'AEO 2017_Table 13'!AL$16/'AEO 2017_Table 13'!$C$16)</f>
        <v>237.03335332632406</v>
      </c>
    </row>
    <row r="26" spans="1:37" x14ac:dyDescent="0.25">
      <c r="A26" s="188" t="s">
        <v>1407</v>
      </c>
      <c r="B26" s="190"/>
      <c r="C26" s="190" t="str">
        <f>IF(B26="","",$B26*'AEO 2017_Table 13'!D$16/'AEO 2017_Table 13'!$C$16)</f>
        <v/>
      </c>
      <c r="D26" s="190" t="str">
        <f>IF(C26="","",$B26*'AEO 2017_Table 13'!E$16/'AEO 2017_Table 13'!$C$16)</f>
        <v/>
      </c>
      <c r="E26" s="190" t="str">
        <f>IF(D26="","",$B26*'AEO 2017_Table 13'!F$16/'AEO 2017_Table 13'!$C$16)</f>
        <v/>
      </c>
      <c r="F26" s="190" t="str">
        <f>IF(E26="","",$B26*'AEO 2017_Table 13'!G$16/'AEO 2017_Table 13'!$C$16)</f>
        <v/>
      </c>
      <c r="G26" s="190" t="str">
        <f>IF(F26="","",$B26*'AEO 2017_Table 13'!H$16/'AEO 2017_Table 13'!$C$16)</f>
        <v/>
      </c>
      <c r="H26" s="190" t="str">
        <f>IF(G26="","",$B26*'AEO 2017_Table 13'!I$16/'AEO 2017_Table 13'!$C$16)</f>
        <v/>
      </c>
      <c r="I26" s="190" t="str">
        <f>IF(H26="","",$B26*'AEO 2017_Table 13'!J$16/'AEO 2017_Table 13'!$C$16)</f>
        <v/>
      </c>
      <c r="J26" s="190" t="str">
        <f>IF(I26="","",$B26*'AEO 2017_Table 13'!K$16/'AEO 2017_Table 13'!$C$16)</f>
        <v/>
      </c>
      <c r="K26" s="190" t="str">
        <f>IF(J26="","",$B26*'AEO 2017_Table 13'!L$16/'AEO 2017_Table 13'!$C$16)</f>
        <v/>
      </c>
      <c r="L26" s="190" t="str">
        <f>IF(K26="","",$B26*'AEO 2017_Table 13'!M$16/'AEO 2017_Table 13'!$C$16)</f>
        <v/>
      </c>
      <c r="M26" s="190" t="str">
        <f>IF(L26="","",$B26*'AEO 2017_Table 13'!N$16/'AEO 2017_Table 13'!$C$16)</f>
        <v/>
      </c>
      <c r="N26" s="190" t="str">
        <f>IF(M26="","",$B26*'AEO 2017_Table 13'!O$16/'AEO 2017_Table 13'!$C$16)</f>
        <v/>
      </c>
      <c r="O26" s="190" t="str">
        <f>IF(N26="","",$B26*'AEO 2017_Table 13'!P$16/'AEO 2017_Table 13'!$C$16)</f>
        <v/>
      </c>
      <c r="P26" s="190" t="str">
        <f>IF(O26="","",$B26*'AEO 2017_Table 13'!Q$16/'AEO 2017_Table 13'!$C$16)</f>
        <v/>
      </c>
      <c r="Q26" s="190" t="str">
        <f>IF(P26="","",$B26*'AEO 2017_Table 13'!R$16/'AEO 2017_Table 13'!$C$16)</f>
        <v/>
      </c>
      <c r="R26" s="190" t="str">
        <f>IF(Q26="","",$B26*'AEO 2017_Table 13'!S$16/'AEO 2017_Table 13'!$C$16)</f>
        <v/>
      </c>
      <c r="S26" s="190" t="str">
        <f>IF(R26="","",$B26*'AEO 2017_Table 13'!T$16/'AEO 2017_Table 13'!$C$16)</f>
        <v/>
      </c>
      <c r="T26" s="190" t="str">
        <f>IF(S26="","",$B26*'AEO 2017_Table 13'!U$16/'AEO 2017_Table 13'!$C$16)</f>
        <v/>
      </c>
      <c r="U26" s="190" t="str">
        <f>IF(T26="","",$B26*'AEO 2017_Table 13'!V$16/'AEO 2017_Table 13'!$C$16)</f>
        <v/>
      </c>
      <c r="V26" s="190" t="str">
        <f>IF(U26="","",$B26*'AEO 2017_Table 13'!W$16/'AEO 2017_Table 13'!$C$16)</f>
        <v/>
      </c>
      <c r="W26" s="190" t="str">
        <f>IF(V26="","",$B26*'AEO 2017_Table 13'!X$16/'AEO 2017_Table 13'!$C$16)</f>
        <v/>
      </c>
      <c r="X26" s="190" t="str">
        <f>IF(W26="","",$B26*'AEO 2017_Table 13'!Y$16/'AEO 2017_Table 13'!$C$16)</f>
        <v/>
      </c>
      <c r="Y26" s="190" t="str">
        <f>IF(X26="","",$B26*'AEO 2017_Table 13'!Z$16/'AEO 2017_Table 13'!$C$16)</f>
        <v/>
      </c>
      <c r="Z26" s="190" t="str">
        <f>IF(Y26="","",$B26*'AEO 2017_Table 13'!AA$16/'AEO 2017_Table 13'!$C$16)</f>
        <v/>
      </c>
      <c r="AA26" s="190" t="str">
        <f>IF(Z26="","",$B26*'AEO 2017_Table 13'!AB$16/'AEO 2017_Table 13'!$C$16)</f>
        <v/>
      </c>
      <c r="AB26" s="190" t="str">
        <f>IF(AA26="","",$B26*'AEO 2017_Table 13'!AC$16/'AEO 2017_Table 13'!$C$16)</f>
        <v/>
      </c>
      <c r="AC26" s="190" t="str">
        <f>IF(AB26="","",$B26*'AEO 2017_Table 13'!AD$16/'AEO 2017_Table 13'!$C$16)</f>
        <v/>
      </c>
      <c r="AD26" s="190" t="str">
        <f>IF(AC26="","",$B26*'AEO 2017_Table 13'!AE$16/'AEO 2017_Table 13'!$C$16)</f>
        <v/>
      </c>
      <c r="AE26" s="190" t="str">
        <f>IF(AD26="","",$B26*'AEO 2017_Table 13'!AF$16/'AEO 2017_Table 13'!$C$16)</f>
        <v/>
      </c>
      <c r="AF26" s="190" t="str">
        <f>IF(AE26="","",$B26*'AEO 2017_Table 13'!AG$16/'AEO 2017_Table 13'!$C$16)</f>
        <v/>
      </c>
      <c r="AG26" s="190" t="str">
        <f>IF(AF26="","",$B26*'AEO 2017_Table 13'!AH$16/'AEO 2017_Table 13'!$C$16)</f>
        <v/>
      </c>
      <c r="AH26" s="190" t="str">
        <f>IF(AG26="","",$B26*'AEO 2017_Table 13'!AI$16/'AEO 2017_Table 13'!$C$16)</f>
        <v/>
      </c>
      <c r="AI26" s="190" t="str">
        <f>IF(AH26="","",$B26*'AEO 2017_Table 13'!AJ$16/'AEO 2017_Table 13'!$C$16)</f>
        <v/>
      </c>
      <c r="AJ26" s="190" t="str">
        <f>IF(AI26="","",$B26*'AEO 2017_Table 13'!AK$16/'AEO 2017_Table 13'!$C$16)</f>
        <v/>
      </c>
      <c r="AK26" s="190" t="str">
        <f>IF(AJ26="","",$B26*'AEO 2017_Table 13'!AL$16/'AEO 2017_Table 13'!$C$16)</f>
        <v/>
      </c>
    </row>
    <row r="27" spans="1:37" x14ac:dyDescent="0.25">
      <c r="A27" s="199" t="s">
        <v>1408</v>
      </c>
      <c r="B27" s="193"/>
      <c r="C27" s="193" t="str">
        <f>IF(B27="","",$B27*'AEO 2017_Table 13'!D$16/'AEO 2017_Table 13'!$C$16)</f>
        <v/>
      </c>
      <c r="D27" s="193" t="str">
        <f>IF(C27="","",$B27*'AEO 2017_Table 13'!E$16/'AEO 2017_Table 13'!$C$16)</f>
        <v/>
      </c>
      <c r="E27" s="193" t="str">
        <f>IF(D27="","",$B27*'AEO 2017_Table 13'!F$16/'AEO 2017_Table 13'!$C$16)</f>
        <v/>
      </c>
      <c r="F27" s="193" t="str">
        <f>IF(E27="","",$B27*'AEO 2017_Table 13'!G$16/'AEO 2017_Table 13'!$C$16)</f>
        <v/>
      </c>
      <c r="G27" s="193" t="str">
        <f>IF(F27="","",$B27*'AEO 2017_Table 13'!H$16/'AEO 2017_Table 13'!$C$16)</f>
        <v/>
      </c>
      <c r="H27" s="193" t="str">
        <f>IF(G27="","",$B27*'AEO 2017_Table 13'!I$16/'AEO 2017_Table 13'!$C$16)</f>
        <v/>
      </c>
      <c r="I27" s="193" t="str">
        <f>IF(H27="","",$B27*'AEO 2017_Table 13'!J$16/'AEO 2017_Table 13'!$C$16)</f>
        <v/>
      </c>
      <c r="J27" s="193" t="str">
        <f>IF(I27="","",$B27*'AEO 2017_Table 13'!K$16/'AEO 2017_Table 13'!$C$16)</f>
        <v/>
      </c>
      <c r="K27" s="193" t="str">
        <f>IF(J27="","",$B27*'AEO 2017_Table 13'!L$16/'AEO 2017_Table 13'!$C$16)</f>
        <v/>
      </c>
      <c r="L27" s="193" t="str">
        <f>IF(K27="","",$B27*'AEO 2017_Table 13'!M$16/'AEO 2017_Table 13'!$C$16)</f>
        <v/>
      </c>
      <c r="M27" s="193" t="str">
        <f>IF(L27="","",$B27*'AEO 2017_Table 13'!N$16/'AEO 2017_Table 13'!$C$16)</f>
        <v/>
      </c>
      <c r="N27" s="193" t="str">
        <f>IF(M27="","",$B27*'AEO 2017_Table 13'!O$16/'AEO 2017_Table 13'!$C$16)</f>
        <v/>
      </c>
      <c r="O27" s="193" t="str">
        <f>IF(N27="","",$B27*'AEO 2017_Table 13'!P$16/'AEO 2017_Table 13'!$C$16)</f>
        <v/>
      </c>
      <c r="P27" s="193" t="str">
        <f>IF(O27="","",$B27*'AEO 2017_Table 13'!Q$16/'AEO 2017_Table 13'!$C$16)</f>
        <v/>
      </c>
      <c r="Q27" s="193" t="str">
        <f>IF(P27="","",$B27*'AEO 2017_Table 13'!R$16/'AEO 2017_Table 13'!$C$16)</f>
        <v/>
      </c>
      <c r="R27" s="193" t="str">
        <f>IF(Q27="","",$B27*'AEO 2017_Table 13'!S$16/'AEO 2017_Table 13'!$C$16)</f>
        <v/>
      </c>
      <c r="S27" s="193" t="str">
        <f>IF(R27="","",$B27*'AEO 2017_Table 13'!T$16/'AEO 2017_Table 13'!$C$16)</f>
        <v/>
      </c>
      <c r="T27" s="193" t="str">
        <f>IF(S27="","",$B27*'AEO 2017_Table 13'!U$16/'AEO 2017_Table 13'!$C$16)</f>
        <v/>
      </c>
      <c r="U27" s="193" t="str">
        <f>IF(T27="","",$B27*'AEO 2017_Table 13'!V$16/'AEO 2017_Table 13'!$C$16)</f>
        <v/>
      </c>
      <c r="V27" s="193" t="str">
        <f>IF(U27="","",$B27*'AEO 2017_Table 13'!W$16/'AEO 2017_Table 13'!$C$16)</f>
        <v/>
      </c>
      <c r="W27" s="193" t="str">
        <f>IF(V27="","",$B27*'AEO 2017_Table 13'!X$16/'AEO 2017_Table 13'!$C$16)</f>
        <v/>
      </c>
      <c r="X27" s="193" t="str">
        <f>IF(W27="","",$B27*'AEO 2017_Table 13'!Y$16/'AEO 2017_Table 13'!$C$16)</f>
        <v/>
      </c>
      <c r="Y27" s="193" t="str">
        <f>IF(X27="","",$B27*'AEO 2017_Table 13'!Z$16/'AEO 2017_Table 13'!$C$16)</f>
        <v/>
      </c>
      <c r="Z27" s="193" t="str">
        <f>IF(Y27="","",$B27*'AEO 2017_Table 13'!AA$16/'AEO 2017_Table 13'!$C$16)</f>
        <v/>
      </c>
      <c r="AA27" s="193" t="str">
        <f>IF(Z27="","",$B27*'AEO 2017_Table 13'!AB$16/'AEO 2017_Table 13'!$C$16)</f>
        <v/>
      </c>
      <c r="AB27" s="193" t="str">
        <f>IF(AA27="","",$B27*'AEO 2017_Table 13'!AC$16/'AEO 2017_Table 13'!$C$16)</f>
        <v/>
      </c>
      <c r="AC27" s="193" t="str">
        <f>IF(AB27="","",$B27*'AEO 2017_Table 13'!AD$16/'AEO 2017_Table 13'!$C$16)</f>
        <v/>
      </c>
      <c r="AD27" s="193" t="str">
        <f>IF(AC27="","",$B27*'AEO 2017_Table 13'!AE$16/'AEO 2017_Table 13'!$C$16)</f>
        <v/>
      </c>
      <c r="AE27" s="193" t="str">
        <f>IF(AD27="","",$B27*'AEO 2017_Table 13'!AF$16/'AEO 2017_Table 13'!$C$16)</f>
        <v/>
      </c>
      <c r="AF27" s="193" t="str">
        <f>IF(AE27="","",$B27*'AEO 2017_Table 13'!AG$16/'AEO 2017_Table 13'!$C$16)</f>
        <v/>
      </c>
      <c r="AG27" s="193" t="str">
        <f>IF(AF27="","",$B27*'AEO 2017_Table 13'!AH$16/'AEO 2017_Table 13'!$C$16)</f>
        <v/>
      </c>
      <c r="AH27" s="193" t="str">
        <f>IF(AG27="","",$B27*'AEO 2017_Table 13'!AI$16/'AEO 2017_Table 13'!$C$16)</f>
        <v/>
      </c>
      <c r="AI27" s="193" t="str">
        <f>IF(AH27="","",$B27*'AEO 2017_Table 13'!AJ$16/'AEO 2017_Table 13'!$C$16)</f>
        <v/>
      </c>
      <c r="AJ27" s="193" t="str">
        <f>IF(AI27="","",$B27*'AEO 2017_Table 13'!AK$16/'AEO 2017_Table 13'!$C$16)</f>
        <v/>
      </c>
      <c r="AK27" s="193" t="str">
        <f>IF(AJ27="","",$B27*'AEO 2017_Table 13'!AL$16/'AEO 2017_Table 13'!$C$16)</f>
        <v/>
      </c>
    </row>
    <row r="28" spans="1:37" ht="24" x14ac:dyDescent="0.25">
      <c r="A28" s="200" t="s">
        <v>1409</v>
      </c>
      <c r="B28" s="201">
        <v>1.1389996211173908E-2</v>
      </c>
      <c r="C28" s="201">
        <f>IF(B28="","",$B28*'AEO 2017_Table 13'!D$16/'AEO 2017_Table 13'!$C$16)</f>
        <v>1.1179071681870968E-2</v>
      </c>
      <c r="D28" s="201">
        <f>IF(C28="","",$B28*'AEO 2017_Table 13'!E$16/'AEO 2017_Table 13'!$C$16)</f>
        <v>1.1737726721276398E-2</v>
      </c>
      <c r="E28" s="201">
        <f>IF(D28="","",$B28*'AEO 2017_Table 13'!F$16/'AEO 2017_Table 13'!$C$16)</f>
        <v>1.2282036615735599E-2</v>
      </c>
      <c r="F28" s="201">
        <f>IF(E28="","",$B28*'AEO 2017_Table 13'!G$16/'AEO 2017_Table 13'!$C$16)</f>
        <v>1.2656073861569684E-2</v>
      </c>
      <c r="G28" s="201">
        <f>IF(F28="","",$B28*'AEO 2017_Table 13'!H$16/'AEO 2017_Table 13'!$C$16)</f>
        <v>1.2989129312830248E-2</v>
      </c>
      <c r="H28" s="201">
        <f>IF(G28="","",$B28*'AEO 2017_Table 13'!I$16/'AEO 2017_Table 13'!$C$16)</f>
        <v>1.3042376488634599E-2</v>
      </c>
      <c r="I28" s="201">
        <f>IF(H28="","",$B28*'AEO 2017_Table 13'!J$16/'AEO 2017_Table 13'!$C$16)</f>
        <v>1.3220765946054995E-2</v>
      </c>
      <c r="J28" s="201">
        <f>IF(I28="","",$B28*'AEO 2017_Table 13'!K$16/'AEO 2017_Table 13'!$C$16)</f>
        <v>1.345802501992365E-2</v>
      </c>
      <c r="K28" s="201">
        <f>IF(J28="","",$B28*'AEO 2017_Table 13'!L$16/'AEO 2017_Table 13'!$C$16)</f>
        <v>1.3681841893263035E-2</v>
      </c>
      <c r="L28" s="201">
        <f>IF(K28="","",$B28*'AEO 2017_Table 13'!M$16/'AEO 2017_Table 13'!$C$16)</f>
        <v>1.3890581322357692E-2</v>
      </c>
      <c r="M28" s="201">
        <f>IF(L28="","",$B28*'AEO 2017_Table 13'!N$16/'AEO 2017_Table 13'!$C$16)</f>
        <v>1.409307808953837E-2</v>
      </c>
      <c r="N28" s="201">
        <f>IF(M28="","",$B28*'AEO 2017_Table 13'!O$16/'AEO 2017_Table 13'!$C$16)</f>
        <v>1.4172637899917916E-2</v>
      </c>
      <c r="O28" s="201">
        <f>IF(N28="","",$B28*'AEO 2017_Table 13'!P$16/'AEO 2017_Table 13'!$C$16)</f>
        <v>1.4287899618501916E-2</v>
      </c>
      <c r="P28" s="201">
        <f>IF(O28="","",$B28*'AEO 2017_Table 13'!Q$16/'AEO 2017_Table 13'!$C$16)</f>
        <v>1.4374075403326204E-2</v>
      </c>
      <c r="Q28" s="201">
        <f>IF(P28="","",$B28*'AEO 2017_Table 13'!R$16/'AEO 2017_Table 13'!$C$16)</f>
        <v>1.4431168625158548E-2</v>
      </c>
      <c r="R28" s="201">
        <f>IF(Q28="","",$B28*'AEO 2017_Table 13'!S$16/'AEO 2017_Table 13'!$C$16)</f>
        <v>1.4503616536884877E-2</v>
      </c>
      <c r="S28" s="201">
        <f>IF(R28="","",$B28*'AEO 2017_Table 13'!T$16/'AEO 2017_Table 13'!$C$16)</f>
        <v>1.4610470296607277E-2</v>
      </c>
      <c r="T28" s="201">
        <f>IF(S28="","",$B28*'AEO 2017_Table 13'!U$16/'AEO 2017_Table 13'!$C$16)</f>
        <v>1.4724685391798034E-2</v>
      </c>
      <c r="U28" s="201">
        <f>IF(T28="","",$B28*'AEO 2017_Table 13'!V$16/'AEO 2017_Table 13'!$C$16)</f>
        <v>1.4880047870529118E-2</v>
      </c>
      <c r="V28" s="201">
        <f>IF(U28="","",$B28*'AEO 2017_Table 13'!W$16/'AEO 2017_Table 13'!$C$16)</f>
        <v>1.5096805934807694E-2</v>
      </c>
      <c r="W28" s="201">
        <f>IF(V28="","",$B28*'AEO 2017_Table 13'!X$16/'AEO 2017_Table 13'!$C$16)</f>
        <v>1.5269687979034404E-2</v>
      </c>
      <c r="X28" s="201">
        <f>IF(W28="","",$B28*'AEO 2017_Table 13'!Y$16/'AEO 2017_Table 13'!$C$16)</f>
        <v>1.5420165793917707E-2</v>
      </c>
      <c r="Y28" s="201">
        <f>IF(X28="","",$B28*'AEO 2017_Table 13'!Z$16/'AEO 2017_Table 13'!$C$16)</f>
        <v>1.5537158401752694E-2</v>
      </c>
      <c r="Z28" s="201">
        <f>IF(Y28="","",$B28*'AEO 2017_Table 13'!AA$16/'AEO 2017_Table 13'!$C$16)</f>
        <v>1.5681795097432866E-2</v>
      </c>
      <c r="AA28" s="201">
        <f>IF(Z28="","",$B28*'AEO 2017_Table 13'!AB$16/'AEO 2017_Table 13'!$C$16)</f>
        <v>1.5759518260722572E-2</v>
      </c>
      <c r="AB28" s="201">
        <f>IF(AA28="","",$B28*'AEO 2017_Table 13'!AC$16/'AEO 2017_Table 13'!$C$16)</f>
        <v>1.5836951959329854E-2</v>
      </c>
      <c r="AC28" s="201">
        <f>IF(AB28="","",$B28*'AEO 2017_Table 13'!AD$16/'AEO 2017_Table 13'!$C$16)</f>
        <v>1.5883753384461949E-2</v>
      </c>
      <c r="AD28" s="201">
        <f>IF(AC28="","",$B28*'AEO 2017_Table 13'!AE$16/'AEO 2017_Table 13'!$C$16)</f>
        <v>1.5964728074613844E-2</v>
      </c>
      <c r="AE28" s="201">
        <f>IF(AD28="","",$B28*'AEO 2017_Table 13'!AF$16/'AEO 2017_Table 13'!$C$16)</f>
        <v>1.6081265628799597E-2</v>
      </c>
      <c r="AF28" s="201">
        <f>IF(AE28="","",$B28*'AEO 2017_Table 13'!AG$16/'AEO 2017_Table 13'!$C$16)</f>
        <v>1.6195623981620666E-2</v>
      </c>
      <c r="AG28" s="201">
        <f>IF(AF28="","",$B28*'AEO 2017_Table 13'!AH$16/'AEO 2017_Table 13'!$C$16)</f>
        <v>1.6294987895353399E-2</v>
      </c>
      <c r="AH28" s="201">
        <f>IF(AG28="","",$B28*'AEO 2017_Table 13'!AI$16/'AEO 2017_Table 13'!$C$16)</f>
        <v>1.6406661852989942E-2</v>
      </c>
      <c r="AI28" s="201">
        <f>IF(AH28="","",$B28*'AEO 2017_Table 13'!AJ$16/'AEO 2017_Table 13'!$C$16)</f>
        <v>1.6499131703936736E-2</v>
      </c>
      <c r="AJ28" s="201">
        <f>IF(AI28="","",$B28*'AEO 2017_Table 13'!AK$16/'AEO 2017_Table 13'!$C$16)</f>
        <v>1.659282809300661E-2</v>
      </c>
      <c r="AK28" s="201">
        <f>IF(AJ28="","",$B28*'AEO 2017_Table 13'!AL$16/'AEO 2017_Table 13'!$C$16)</f>
        <v>1.671093642497417E-2</v>
      </c>
    </row>
    <row r="29" spans="1:37" x14ac:dyDescent="0.25">
      <c r="A29" s="203" t="s">
        <v>1410</v>
      </c>
      <c r="B29" s="204">
        <v>0.39510677409267625</v>
      </c>
      <c r="C29" s="204">
        <f>IF(B29="","",$B29*'AEO 2017_Table 13'!D$16/'AEO 2017_Table 13'!$C$16)</f>
        <v>0.38779002799331025</v>
      </c>
      <c r="D29" s="204">
        <f>IF(C29="","",$B29*'AEO 2017_Table 13'!E$16/'AEO 2017_Table 13'!$C$16)</f>
        <v>0.40716917319737583</v>
      </c>
      <c r="E29" s="204">
        <f>IF(D29="","",$B29*'AEO 2017_Table 13'!F$16/'AEO 2017_Table 13'!$C$16)</f>
        <v>0.42605070068160095</v>
      </c>
      <c r="F29" s="204">
        <f>IF(E29="","",$B29*'AEO 2017_Table 13'!G$16/'AEO 2017_Table 13'!$C$16)</f>
        <v>0.43902565228404611</v>
      </c>
      <c r="G29" s="204">
        <f>IF(F29="","",$B29*'AEO 2017_Table 13'!H$16/'AEO 2017_Table 13'!$C$16)</f>
        <v>0.45057898930907919</v>
      </c>
      <c r="H29" s="204">
        <f>IF(G29="","",$B29*'AEO 2017_Table 13'!I$16/'AEO 2017_Table 13'!$C$16)</f>
        <v>0.45242607682970215</v>
      </c>
      <c r="I29" s="204">
        <f>IF(H29="","",$B29*'AEO 2017_Table 13'!J$16/'AEO 2017_Table 13'!$C$16)</f>
        <v>0.45861421611849051</v>
      </c>
      <c r="J29" s="204">
        <f>IF(I29="","",$B29*'AEO 2017_Table 13'!K$16/'AEO 2017_Table 13'!$C$16)</f>
        <v>0.46684447937428469</v>
      </c>
      <c r="K29" s="204">
        <f>IF(J29="","",$B29*'AEO 2017_Table 13'!L$16/'AEO 2017_Table 13'!$C$16)</f>
        <v>0.47460844708534322</v>
      </c>
      <c r="L29" s="204">
        <f>IF(K29="","",$B29*'AEO 2017_Table 13'!M$16/'AEO 2017_Table 13'!$C$16)</f>
        <v>0.48184939439791802</v>
      </c>
      <c r="M29" s="204">
        <f>IF(L29="","",$B29*'AEO 2017_Table 13'!N$16/'AEO 2017_Table 13'!$C$16)</f>
        <v>0.48887379045227874</v>
      </c>
      <c r="N29" s="204">
        <f>IF(M29="","",$B29*'AEO 2017_Table 13'!O$16/'AEO 2017_Table 13'!$C$16)</f>
        <v>0.49163363509521629</v>
      </c>
      <c r="O29" s="204">
        <f>IF(N29="","",$B29*'AEO 2017_Table 13'!P$16/'AEO 2017_Table 13'!$C$16)</f>
        <v>0.49563194071022831</v>
      </c>
      <c r="P29" s="204">
        <f>IF(O29="","",$B29*'AEO 2017_Table 13'!Q$16/'AEO 2017_Table 13'!$C$16)</f>
        <v>0.49862128642339254</v>
      </c>
      <c r="Q29" s="204">
        <f>IF(P29="","",$B29*'AEO 2017_Table 13'!R$16/'AEO 2017_Table 13'!$C$16)</f>
        <v>0.50060178916303388</v>
      </c>
      <c r="R29" s="204">
        <f>IF(Q29="","",$B29*'AEO 2017_Table 13'!S$16/'AEO 2017_Table 13'!$C$16)</f>
        <v>0.50311492965590432</v>
      </c>
      <c r="S29" s="204">
        <f>IF(R29="","",$B29*'AEO 2017_Table 13'!T$16/'AEO 2017_Table 13'!$C$16)</f>
        <v>0.50682157217982127</v>
      </c>
      <c r="T29" s="204">
        <f>IF(S29="","",$B29*'AEO 2017_Table 13'!U$16/'AEO 2017_Table 13'!$C$16)</f>
        <v>0.51078357154986831</v>
      </c>
      <c r="U29" s="204">
        <f>IF(T29="","",$B29*'AEO 2017_Table 13'!V$16/'AEO 2017_Table 13'!$C$16)</f>
        <v>0.51617292960130112</v>
      </c>
      <c r="V29" s="204">
        <f>IF(U29="","",$B29*'AEO 2017_Table 13'!W$16/'AEO 2017_Table 13'!$C$16)</f>
        <v>0.52369203478341375</v>
      </c>
      <c r="W29" s="204">
        <f>IF(V29="","",$B29*'AEO 2017_Table 13'!X$16/'AEO 2017_Table 13'!$C$16)</f>
        <v>0.52968912780491562</v>
      </c>
      <c r="X29" s="204">
        <f>IF(W29="","",$B29*'AEO 2017_Table 13'!Y$16/'AEO 2017_Table 13'!$C$16)</f>
        <v>0.53490904209713719</v>
      </c>
      <c r="Y29" s="204">
        <f>IF(X29="","",$B29*'AEO 2017_Table 13'!Z$16/'AEO 2017_Table 13'!$C$16)</f>
        <v>0.53896739040712383</v>
      </c>
      <c r="Z29" s="204">
        <f>IF(Y29="","",$B29*'AEO 2017_Table 13'!AA$16/'AEO 2017_Table 13'!$C$16)</f>
        <v>0.54398468252786691</v>
      </c>
      <c r="AA29" s="204">
        <f>IF(Z29="","",$B29*'AEO 2017_Table 13'!AB$16/'AEO 2017_Table 13'!$C$16)</f>
        <v>0.54668081584962769</v>
      </c>
      <c r="AB29" s="204">
        <f>IF(AA29="","",$B29*'AEO 2017_Table 13'!AC$16/'AEO 2017_Table 13'!$C$16)</f>
        <v>0.54936690795146459</v>
      </c>
      <c r="AC29" s="204">
        <f>IF(AB29="","",$B29*'AEO 2017_Table 13'!AD$16/'AEO 2017_Table 13'!$C$16)</f>
        <v>0.55099039928228188</v>
      </c>
      <c r="AD29" s="204">
        <f>IF(AC29="","",$B29*'AEO 2017_Table 13'!AE$16/'AEO 2017_Table 13'!$C$16)</f>
        <v>0.55379932458970926</v>
      </c>
      <c r="AE29" s="204">
        <f>IF(AD29="","",$B29*'AEO 2017_Table 13'!AF$16/'AEO 2017_Table 13'!$C$16)</f>
        <v>0.557841887575798</v>
      </c>
      <c r="AF29" s="204">
        <f>IF(AE29="","",$B29*'AEO 2017_Table 13'!AG$16/'AEO 2017_Table 13'!$C$16)</f>
        <v>0.56180885639966471</v>
      </c>
      <c r="AG29" s="204">
        <f>IF(AF29="","",$B29*'AEO 2017_Table 13'!AH$16/'AEO 2017_Table 13'!$C$16)</f>
        <v>0.5652556841850549</v>
      </c>
      <c r="AH29" s="204">
        <f>IF(AG29="","",$B29*'AEO 2017_Table 13'!AI$16/'AEO 2017_Table 13'!$C$16)</f>
        <v>0.56912953421396451</v>
      </c>
      <c r="AI29" s="204">
        <f>IF(AH29="","",$B29*'AEO 2017_Table 13'!AJ$16/'AEO 2017_Table 13'!$C$16)</f>
        <v>0.57233721434230167</v>
      </c>
      <c r="AJ29" s="204">
        <f>IF(AI29="","",$B29*'AEO 2017_Table 13'!AK$16/'AEO 2017_Table 13'!$C$16)</f>
        <v>0.5755874417649598</v>
      </c>
      <c r="AK29" s="204">
        <f>IF(AJ29="","",$B29*'AEO 2017_Table 13'!AL$16/'AEO 2017_Table 13'!$C$16)</f>
        <v>0.57968449335057759</v>
      </c>
    </row>
    <row r="30" spans="1:37" ht="24" x14ac:dyDescent="0.25">
      <c r="A30" s="203" t="s">
        <v>1411</v>
      </c>
      <c r="B30" s="204">
        <v>5.1252956250253341</v>
      </c>
      <c r="C30" s="204">
        <f>IF(B30="","",$B30*'AEO 2017_Table 13'!D$16/'AEO 2017_Table 13'!$C$16)</f>
        <v>5.0303833399636115</v>
      </c>
      <c r="D30" s="204">
        <f>IF(C30="","",$B30*'AEO 2017_Table 13'!E$16/'AEO 2017_Table 13'!$C$16)</f>
        <v>5.2817681671643495</v>
      </c>
      <c r="E30" s="204">
        <f>IF(D30="","",$B30*'AEO 2017_Table 13'!F$16/'AEO 2017_Table 13'!$C$16)</f>
        <v>5.5266979343922715</v>
      </c>
      <c r="F30" s="204">
        <f>IF(E30="","",$B30*'AEO 2017_Table 13'!G$16/'AEO 2017_Table 13'!$C$16)</f>
        <v>5.695008039516738</v>
      </c>
      <c r="G30" s="204">
        <f>IF(F30="","",$B30*'AEO 2017_Table 13'!H$16/'AEO 2017_Table 13'!$C$16)</f>
        <v>5.8448770663002589</v>
      </c>
      <c r="H30" s="204">
        <f>IF(G30="","",$B30*'AEO 2017_Table 13'!I$16/'AEO 2017_Table 13'!$C$16)</f>
        <v>5.868837347948749</v>
      </c>
      <c r="I30" s="204">
        <f>IF(H30="","",$B30*'AEO 2017_Table 13'!J$16/'AEO 2017_Table 13'!$C$16)</f>
        <v>5.9491094295821449</v>
      </c>
      <c r="J30" s="204">
        <f>IF(I30="","",$B30*'AEO 2017_Table 13'!K$16/'AEO 2017_Table 13'!$C$16)</f>
        <v>6.055871791109853</v>
      </c>
      <c r="K30" s="204">
        <f>IF(J30="","",$B30*'AEO 2017_Table 13'!L$16/'AEO 2017_Table 13'!$C$16)</f>
        <v>6.1565854015856694</v>
      </c>
      <c r="L30" s="204">
        <f>IF(K30="","",$B30*'AEO 2017_Table 13'!M$16/'AEO 2017_Table 13'!$C$16)</f>
        <v>6.2505144304346496</v>
      </c>
      <c r="M30" s="204">
        <f>IF(L30="","",$B30*'AEO 2017_Table 13'!N$16/'AEO 2017_Table 13'!$C$16)</f>
        <v>6.3416343725022992</v>
      </c>
      <c r="N30" s="204">
        <f>IF(M30="","",$B30*'AEO 2017_Table 13'!O$16/'AEO 2017_Table 13'!$C$16)</f>
        <v>6.3774348715109017</v>
      </c>
      <c r="O30" s="204">
        <f>IF(N30="","",$B30*'AEO 2017_Table 13'!P$16/'AEO 2017_Table 13'!$C$16)</f>
        <v>6.4293005939430072</v>
      </c>
      <c r="P30" s="204">
        <f>IF(O30="","",$B30*'AEO 2017_Table 13'!Q$16/'AEO 2017_Table 13'!$C$16)</f>
        <v>6.4680781637291815</v>
      </c>
      <c r="Q30" s="204">
        <f>IF(P30="","",$B30*'AEO 2017_Table 13'!R$16/'AEO 2017_Table 13'!$C$16)</f>
        <v>6.4937690976549405</v>
      </c>
      <c r="R30" s="204">
        <f>IF(Q30="","",$B30*'AEO 2017_Table 13'!S$16/'AEO 2017_Table 13'!$C$16)</f>
        <v>6.5263693688164803</v>
      </c>
      <c r="S30" s="204">
        <f>IF(R30="","",$B30*'AEO 2017_Table 13'!T$16/'AEO 2017_Table 13'!$C$16)</f>
        <v>6.5744516593694344</v>
      </c>
      <c r="T30" s="204">
        <f>IF(S30="","",$B30*'AEO 2017_Table 13'!U$16/'AEO 2017_Table 13'!$C$16)</f>
        <v>6.6258464198978677</v>
      </c>
      <c r="U30" s="204">
        <f>IF(T30="","",$B30*'AEO 2017_Table 13'!V$16/'AEO 2017_Table 13'!$C$16)</f>
        <v>6.6957567708558727</v>
      </c>
      <c r="V30" s="204">
        <f>IF(U30="","",$B30*'AEO 2017_Table 13'!W$16/'AEO 2017_Table 13'!$C$16)</f>
        <v>6.7932940428565489</v>
      </c>
      <c r="W30" s="204">
        <f>IF(V30="","",$B30*'AEO 2017_Table 13'!X$16/'AEO 2017_Table 13'!$C$16)</f>
        <v>6.8710878865499598</v>
      </c>
      <c r="X30" s="204">
        <f>IF(W30="","",$B30*'AEO 2017_Table 13'!Y$16/'AEO 2017_Table 13'!$C$16)</f>
        <v>6.9388002256926313</v>
      </c>
      <c r="Y30" s="204">
        <f>IF(X30="","",$B30*'AEO 2017_Table 13'!Z$16/'AEO 2017_Table 13'!$C$16)</f>
        <v>6.9914448174887829</v>
      </c>
      <c r="Z30" s="204">
        <f>IF(Y30="","",$B30*'AEO 2017_Table 13'!AA$16/'AEO 2017_Table 13'!$C$16)</f>
        <v>7.0565287569250819</v>
      </c>
      <c r="AA30" s="204">
        <f>IF(Z30="","",$B30*'AEO 2017_Table 13'!AB$16/'AEO 2017_Table 13'!$C$16)</f>
        <v>7.0915027974239768</v>
      </c>
      <c r="AB30" s="204">
        <f>IF(AA30="","",$B30*'AEO 2017_Table 13'!AC$16/'AEO 2017_Table 13'!$C$16)</f>
        <v>7.1263465839664235</v>
      </c>
      <c r="AC30" s="204">
        <f>IF(AB30="","",$B30*'AEO 2017_Table 13'!AD$16/'AEO 2017_Table 13'!$C$16)</f>
        <v>7.147406392506058</v>
      </c>
      <c r="AD30" s="204">
        <f>IF(AC30="","",$B30*'AEO 2017_Table 13'!AE$16/'AEO 2017_Table 13'!$C$16)</f>
        <v>7.1838435622362944</v>
      </c>
      <c r="AE30" s="204">
        <f>IF(AD30="","",$B30*'AEO 2017_Table 13'!AF$16/'AEO 2017_Table 13'!$C$16)</f>
        <v>7.2362833879873705</v>
      </c>
      <c r="AF30" s="204">
        <f>IF(AE30="","",$B30*'AEO 2017_Table 13'!AG$16/'AEO 2017_Table 13'!$C$16)</f>
        <v>7.2877426119003639</v>
      </c>
      <c r="AG30" s="204">
        <f>IF(AF30="","",$B30*'AEO 2017_Table 13'!AH$16/'AEO 2017_Table 13'!$C$16)</f>
        <v>7.3324546050299286</v>
      </c>
      <c r="AH30" s="204">
        <f>IF(AG30="","",$B30*'AEO 2017_Table 13'!AI$16/'AEO 2017_Table 13'!$C$16)</f>
        <v>7.382705898875165</v>
      </c>
      <c r="AI30" s="204">
        <f>IF(AH30="","",$B30*'AEO 2017_Table 13'!AJ$16/'AEO 2017_Table 13'!$C$16)</f>
        <v>7.4243156864218385</v>
      </c>
      <c r="AJ30" s="204">
        <f>IF(AI30="","",$B30*'AEO 2017_Table 13'!AK$16/'AEO 2017_Table 13'!$C$16)</f>
        <v>7.4664773942992628</v>
      </c>
      <c r="AK30" s="204">
        <f>IF(AJ30="","",$B30*'AEO 2017_Table 13'!AL$16/'AEO 2017_Table 13'!$C$16)</f>
        <v>7.5196240421022296</v>
      </c>
    </row>
    <row r="31" spans="1:37" ht="24" x14ac:dyDescent="0.25">
      <c r="A31" s="203" t="s">
        <v>1412</v>
      </c>
      <c r="B31" s="204">
        <v>1.673219520319122</v>
      </c>
      <c r="C31" s="204">
        <f>IF(B31="","",$B31*'AEO 2017_Table 13'!D$16/'AEO 2017_Table 13'!$C$16)</f>
        <v>1.6422341685068385</v>
      </c>
      <c r="D31" s="204">
        <f>IF(C31="","",$B31*'AEO 2017_Table 13'!E$16/'AEO 2017_Table 13'!$C$16)</f>
        <v>1.7243020199553576</v>
      </c>
      <c r="E31" s="204">
        <f>IF(D31="","",$B31*'AEO 2017_Table 13'!F$16/'AEO 2017_Table 13'!$C$16)</f>
        <v>1.8042625329903403</v>
      </c>
      <c r="F31" s="204">
        <f>IF(E31="","",$B31*'AEO 2017_Table 13'!G$16/'AEO 2017_Table 13'!$C$16)</f>
        <v>1.8592095592625721</v>
      </c>
      <c r="G31" s="204">
        <f>IF(F31="","",$B31*'AEO 2017_Table 13'!H$16/'AEO 2017_Table 13'!$C$16)</f>
        <v>1.9081362552917742</v>
      </c>
      <c r="H31" s="204">
        <f>IF(G31="","",$B31*'AEO 2017_Table 13'!I$16/'AEO 2017_Table 13'!$C$16)</f>
        <v>1.9159584013492326</v>
      </c>
      <c r="I31" s="204">
        <f>IF(H31="","",$B31*'AEO 2017_Table 13'!J$16/'AEO 2017_Table 13'!$C$16)</f>
        <v>1.9421642680449673</v>
      </c>
      <c r="J31" s="204">
        <f>IF(I31="","",$B31*'AEO 2017_Table 13'!K$16/'AEO 2017_Table 13'!$C$16)</f>
        <v>1.9770182316819713</v>
      </c>
      <c r="K31" s="204">
        <f>IF(J31="","",$B31*'AEO 2017_Table 13'!L$16/'AEO 2017_Table 13'!$C$16)</f>
        <v>2.009897501745368</v>
      </c>
      <c r="L31" s="204">
        <f>IF(K31="","",$B31*'AEO 2017_Table 13'!M$16/'AEO 2017_Table 13'!$C$16)</f>
        <v>2.0405618567588322</v>
      </c>
      <c r="M31" s="204">
        <f>IF(L31="","",$B31*'AEO 2017_Table 13'!N$16/'AEO 2017_Table 13'!$C$16)</f>
        <v>2.0703091488005834</v>
      </c>
      <c r="N31" s="204">
        <f>IF(M31="","",$B31*'AEO 2017_Table 13'!O$16/'AEO 2017_Table 13'!$C$16)</f>
        <v>2.0819966880492218</v>
      </c>
      <c r="O31" s="204">
        <f>IF(N31="","",$B31*'AEO 2017_Table 13'!P$16/'AEO 2017_Table 13'!$C$16)</f>
        <v>2.0989289287545416</v>
      </c>
      <c r="P31" s="204">
        <f>IF(O31="","",$B31*'AEO 2017_Table 13'!Q$16/'AEO 2017_Table 13'!$C$16)</f>
        <v>2.1115883715386725</v>
      </c>
      <c r="Q31" s="204">
        <f>IF(P31="","",$B31*'AEO 2017_Table 13'!R$16/'AEO 2017_Table 13'!$C$16)</f>
        <v>2.1199755115760039</v>
      </c>
      <c r="R31" s="204">
        <f>IF(Q31="","",$B31*'AEO 2017_Table 13'!S$16/'AEO 2017_Table 13'!$C$16)</f>
        <v>2.1306182947569088</v>
      </c>
      <c r="S31" s="204">
        <f>IF(R31="","",$B31*'AEO 2017_Table 13'!T$16/'AEO 2017_Table 13'!$C$16)</f>
        <v>2.1463153848412415</v>
      </c>
      <c r="T31" s="204">
        <f>IF(S31="","",$B31*'AEO 2017_Table 13'!U$16/'AEO 2017_Table 13'!$C$16)</f>
        <v>2.1630938738982266</v>
      </c>
      <c r="U31" s="204">
        <f>IF(T31="","",$B31*'AEO 2017_Table 13'!V$16/'AEO 2017_Table 13'!$C$16)</f>
        <v>2.1859170186401879</v>
      </c>
      <c r="V31" s="204">
        <f>IF(U31="","",$B31*'AEO 2017_Table 13'!W$16/'AEO 2017_Table 13'!$C$16)</f>
        <v>2.2177593316325046</v>
      </c>
      <c r="W31" s="204">
        <f>IF(V31="","",$B31*'AEO 2017_Table 13'!X$16/'AEO 2017_Table 13'!$C$16)</f>
        <v>2.2431561452705129</v>
      </c>
      <c r="X31" s="204">
        <f>IF(W31="","",$B31*'AEO 2017_Table 13'!Y$16/'AEO 2017_Table 13'!$C$16)</f>
        <v>2.2652617204234442</v>
      </c>
      <c r="Y31" s="204">
        <f>IF(X31="","",$B31*'AEO 2017_Table 13'!Z$16/'AEO 2017_Table 13'!$C$16)</f>
        <v>2.2824482331784268</v>
      </c>
      <c r="Z31" s="204">
        <f>IF(Y31="","",$B31*'AEO 2017_Table 13'!AA$16/'AEO 2017_Table 13'!$C$16)</f>
        <v>2.3036957330089449</v>
      </c>
      <c r="AA31" s="204">
        <f>IF(Z31="","",$B31*'AEO 2017_Table 13'!AB$16/'AEO 2017_Table 13'!$C$16)</f>
        <v>2.3151134641114108</v>
      </c>
      <c r="AB31" s="204">
        <f>IF(AA31="","",$B31*'AEO 2017_Table 13'!AC$16/'AEO 2017_Table 13'!$C$16)</f>
        <v>2.3264886721130691</v>
      </c>
      <c r="AC31" s="204">
        <f>IF(AB31="","",$B31*'AEO 2017_Table 13'!AD$16/'AEO 2017_Table 13'!$C$16)</f>
        <v>2.3333639209417698</v>
      </c>
      <c r="AD31" s="204">
        <f>IF(AC31="","",$B31*'AEO 2017_Table 13'!AE$16/'AEO 2017_Table 13'!$C$16)</f>
        <v>2.345259309640936</v>
      </c>
      <c r="AE31" s="204">
        <f>IF(AD31="","",$B31*'AEO 2017_Table 13'!AF$16/'AEO 2017_Table 13'!$C$16)</f>
        <v>2.362378973853164</v>
      </c>
      <c r="AF31" s="204">
        <f>IF(AE31="","",$B31*'AEO 2017_Table 13'!AG$16/'AEO 2017_Table 13'!$C$16)</f>
        <v>2.3791785078217571</v>
      </c>
      <c r="AG31" s="204">
        <f>IF(AF31="","",$B31*'AEO 2017_Table 13'!AH$16/'AEO 2017_Table 13'!$C$16)</f>
        <v>2.39377532040979</v>
      </c>
      <c r="AH31" s="204">
        <f>IF(AG31="","",$B31*'AEO 2017_Table 13'!AI$16/'AEO 2017_Table 13'!$C$16)</f>
        <v>2.4101805098729301</v>
      </c>
      <c r="AI31" s="204">
        <f>IF(AH31="","",$B31*'AEO 2017_Table 13'!AJ$16/'AEO 2017_Table 13'!$C$16)</f>
        <v>2.4237645670382331</v>
      </c>
      <c r="AJ31" s="204">
        <f>IF(AI31="","",$B31*'AEO 2017_Table 13'!AK$16/'AEO 2017_Table 13'!$C$16)</f>
        <v>2.4375288057849787</v>
      </c>
      <c r="AK31" s="204">
        <f>IF(AJ31="","",$B31*'AEO 2017_Table 13'!AL$16/'AEO 2017_Table 13'!$C$16)</f>
        <v>2.4548792212633073</v>
      </c>
    </row>
    <row r="32" spans="1:37" ht="24" x14ac:dyDescent="0.25">
      <c r="A32" s="203" t="s">
        <v>1413</v>
      </c>
      <c r="B32" s="204">
        <v>10.770826257676665</v>
      </c>
      <c r="C32" s="204">
        <f>IF(B32="","",$B32*'AEO 2017_Table 13'!D$16/'AEO 2017_Table 13'!$C$16)</f>
        <v>10.571367766516197</v>
      </c>
      <c r="D32" s="204">
        <f>IF(C32="","",$B32*'AEO 2017_Table 13'!E$16/'AEO 2017_Table 13'!$C$16)</f>
        <v>11.099653839298943</v>
      </c>
      <c r="E32" s="204">
        <f>IF(D32="","",$B32*'AEO 2017_Table 13'!F$16/'AEO 2017_Table 13'!$C$16)</f>
        <v>11.614374581506295</v>
      </c>
      <c r="F32" s="204">
        <f>IF(E32="","",$B32*'AEO 2017_Table 13'!G$16/'AEO 2017_Table 13'!$C$16)</f>
        <v>11.96807884216501</v>
      </c>
      <c r="G32" s="204">
        <f>IF(F32="","",$B32*'AEO 2017_Table 13'!H$16/'AEO 2017_Table 13'!$C$16)</f>
        <v>12.283029113718253</v>
      </c>
      <c r="H32" s="204">
        <f>IF(G32="","",$B32*'AEO 2017_Table 13'!I$16/'AEO 2017_Table 13'!$C$16)</f>
        <v>12.333381727421317</v>
      </c>
      <c r="I32" s="204">
        <f>IF(H32="","",$B32*'AEO 2017_Table 13'!J$16/'AEO 2017_Table 13'!$C$16)</f>
        <v>12.502073781084283</v>
      </c>
      <c r="J32" s="204">
        <f>IF(I32="","",$B32*'AEO 2017_Table 13'!K$16/'AEO 2017_Table 13'!$C$16)</f>
        <v>12.726435248403257</v>
      </c>
      <c r="K32" s="204">
        <f>IF(J32="","",$B32*'AEO 2017_Table 13'!L$16/'AEO 2017_Table 13'!$C$16)</f>
        <v>12.938085244731614</v>
      </c>
      <c r="L32" s="204">
        <f>IF(K32="","",$B32*'AEO 2017_Table 13'!M$16/'AEO 2017_Table 13'!$C$16)</f>
        <v>13.135477419603411</v>
      </c>
      <c r="M32" s="204">
        <f>IF(L32="","",$B32*'AEO 2017_Table 13'!N$16/'AEO 2017_Table 13'!$C$16)</f>
        <v>13.326966289011867</v>
      </c>
      <c r="N32" s="204">
        <f>IF(M32="","",$B32*'AEO 2017_Table 13'!O$16/'AEO 2017_Table 13'!$C$16)</f>
        <v>13.402201159928779</v>
      </c>
      <c r="O32" s="204">
        <f>IF(N32="","",$B32*'AEO 2017_Table 13'!P$16/'AEO 2017_Table 13'!$C$16)</f>
        <v>13.511197152729162</v>
      </c>
      <c r="P32" s="204">
        <f>IF(O32="","",$B32*'AEO 2017_Table 13'!Q$16/'AEO 2017_Table 13'!$C$16)</f>
        <v>13.592688348051139</v>
      </c>
      <c r="Q32" s="204">
        <f>IF(P32="","",$B32*'AEO 2017_Table 13'!R$16/'AEO 2017_Table 13'!$C$16)</f>
        <v>13.646677933424652</v>
      </c>
      <c r="R32" s="204">
        <f>IF(Q32="","",$B32*'AEO 2017_Table 13'!S$16/'AEO 2017_Table 13'!$C$16)</f>
        <v>13.715187514592929</v>
      </c>
      <c r="S32" s="204">
        <f>IF(R32="","",$B32*'AEO 2017_Table 13'!T$16/'AEO 2017_Table 13'!$C$16)</f>
        <v>13.816232612379743</v>
      </c>
      <c r="T32" s="204">
        <f>IF(S32="","",$B32*'AEO 2017_Table 13'!U$16/'AEO 2017_Table 13'!$C$16)</f>
        <v>13.92423887713133</v>
      </c>
      <c r="U32" s="204">
        <f>IF(T32="","",$B32*'AEO 2017_Table 13'!V$16/'AEO 2017_Table 13'!$C$16)</f>
        <v>14.071155718397076</v>
      </c>
      <c r="V32" s="204">
        <f>IF(U32="","",$B32*'AEO 2017_Table 13'!W$16/'AEO 2017_Table 13'!$C$16)</f>
        <v>14.276130628573471</v>
      </c>
      <c r="W32" s="204">
        <f>IF(V32="","",$B32*'AEO 2017_Table 13'!X$16/'AEO 2017_Table 13'!$C$16)</f>
        <v>14.439614656742958</v>
      </c>
      <c r="X32" s="204">
        <f>IF(W32="","",$B32*'AEO 2017_Table 13'!Y$16/'AEO 2017_Table 13'!$C$16)</f>
        <v>14.581912368673084</v>
      </c>
      <c r="Y32" s="204">
        <f>IF(X32="","",$B32*'AEO 2017_Table 13'!Z$16/'AEO 2017_Table 13'!$C$16)</f>
        <v>14.692545158101668</v>
      </c>
      <c r="Z32" s="204">
        <f>IF(Y32="","",$B32*'AEO 2017_Table 13'!AA$16/'AEO 2017_Table 13'!$C$16)</f>
        <v>14.829319279073481</v>
      </c>
      <c r="AA32" s="204">
        <f>IF(Z32="","",$B32*'AEO 2017_Table 13'!AB$16/'AEO 2017_Table 13'!$C$16)</f>
        <v>14.902817344610076</v>
      </c>
      <c r="AB32" s="204">
        <f>IF(AA32="","",$B32*'AEO 2017_Table 13'!AC$16/'AEO 2017_Table 13'!$C$16)</f>
        <v>14.97604168101241</v>
      </c>
      <c r="AC32" s="204">
        <f>IF(AB32="","",$B32*'AEO 2017_Table 13'!AD$16/'AEO 2017_Table 13'!$C$16)</f>
        <v>15.020298940572776</v>
      </c>
      <c r="AD32" s="204">
        <f>IF(AC32="","",$B32*'AEO 2017_Table 13'!AE$16/'AEO 2017_Table 13'!$C$16)</f>
        <v>15.096871777185278</v>
      </c>
      <c r="AE32" s="204">
        <f>IF(AD32="","",$B32*'AEO 2017_Table 13'!AF$16/'AEO 2017_Table 13'!$C$16)</f>
        <v>15.207074250070907</v>
      </c>
      <c r="AF32" s="204">
        <f>IF(AE32="","",$B32*'AEO 2017_Table 13'!AG$16/'AEO 2017_Table 13'!$C$16)</f>
        <v>15.315215984845278</v>
      </c>
      <c r="AG32" s="204">
        <f>IF(AF32="","",$B32*'AEO 2017_Table 13'!AH$16/'AEO 2017_Table 13'!$C$16)</f>
        <v>15.409178391088057</v>
      </c>
      <c r="AH32" s="204">
        <f>IF(AG32="","",$B32*'AEO 2017_Table 13'!AI$16/'AEO 2017_Table 13'!$C$16)</f>
        <v>15.514781656700238</v>
      </c>
      <c r="AI32" s="204">
        <f>IF(AH32="","",$B32*'AEO 2017_Table 13'!AJ$16/'AEO 2017_Table 13'!$C$16)</f>
        <v>15.602224767317264</v>
      </c>
      <c r="AJ32" s="204">
        <f>IF(AI32="","",$B32*'AEO 2017_Table 13'!AK$16/'AEO 2017_Table 13'!$C$16)</f>
        <v>15.690827740394045</v>
      </c>
      <c r="AK32" s="204">
        <f>IF(AJ32="","",$B32*'AEO 2017_Table 13'!AL$16/'AEO 2017_Table 13'!$C$16)</f>
        <v>15.802515602235353</v>
      </c>
    </row>
    <row r="33" spans="1:37" ht="24" x14ac:dyDescent="0.25">
      <c r="A33" s="203" t="s">
        <v>1414</v>
      </c>
      <c r="B33" s="204">
        <v>9.0077069019788123</v>
      </c>
      <c r="C33" s="204">
        <f>IF(B33="","",$B33*'AEO 2017_Table 13'!D$16/'AEO 2017_Table 13'!$C$16)</f>
        <v>8.8408985639273183</v>
      </c>
      <c r="D33" s="204">
        <f>IF(C33="","",$B33*'AEO 2017_Table 13'!E$16/'AEO 2017_Table 13'!$C$16)</f>
        <v>9.2827073899338473</v>
      </c>
      <c r="E33" s="204">
        <f>IF(D33="","",$B33*'AEO 2017_Table 13'!F$16/'AEO 2017_Table 13'!$C$16)</f>
        <v>9.7131714482384091</v>
      </c>
      <c r="F33" s="204">
        <f>IF(E33="","",$B33*'AEO 2017_Table 13'!G$16/'AEO 2017_Table 13'!$C$16)</f>
        <v>10.008976452773139</v>
      </c>
      <c r="G33" s="204">
        <f>IF(F33="","",$B33*'AEO 2017_Table 13'!H$16/'AEO 2017_Table 13'!$C$16)</f>
        <v>10.272371262695753</v>
      </c>
      <c r="H33" s="204">
        <f>IF(G33="","",$B33*'AEO 2017_Table 13'!I$16/'AEO 2017_Table 13'!$C$16)</f>
        <v>10.314481456949652</v>
      </c>
      <c r="I33" s="204">
        <f>IF(H33="","",$B33*'AEO 2017_Table 13'!J$16/'AEO 2017_Table 13'!$C$16)</f>
        <v>10.455559637930044</v>
      </c>
      <c r="J33" s="204">
        <f>IF(I33="","",$B33*'AEO 2017_Table 13'!K$16/'AEO 2017_Table 13'!$C$16)</f>
        <v>10.643194485002878</v>
      </c>
      <c r="K33" s="204">
        <f>IF(J33="","",$B33*'AEO 2017_Table 13'!L$16/'AEO 2017_Table 13'!$C$16)</f>
        <v>10.820198652289664</v>
      </c>
      <c r="L33" s="204">
        <f>IF(K33="","",$B33*'AEO 2017_Table 13'!M$16/'AEO 2017_Table 13'!$C$16)</f>
        <v>10.985278917577766</v>
      </c>
      <c r="M33" s="204">
        <f>IF(L33="","",$B33*'AEO 2017_Table 13'!N$16/'AEO 2017_Table 13'!$C$16)</f>
        <v>11.145422212934825</v>
      </c>
      <c r="N33" s="204">
        <f>IF(M33="","",$B33*'AEO 2017_Table 13'!O$16/'AEO 2017_Table 13'!$C$16)</f>
        <v>11.208341588831797</v>
      </c>
      <c r="O33" s="204">
        <f>IF(N33="","",$B33*'AEO 2017_Table 13'!P$16/'AEO 2017_Table 13'!$C$16)</f>
        <v>11.299495594397181</v>
      </c>
      <c r="P33" s="204">
        <f>IF(O33="","",$B33*'AEO 2017_Table 13'!Q$16/'AEO 2017_Table 13'!$C$16)</f>
        <v>11.367647172093374</v>
      </c>
      <c r="Q33" s="204">
        <f>IF(P33="","",$B33*'AEO 2017_Table 13'!R$16/'AEO 2017_Table 13'!$C$16)</f>
        <v>11.412798987670881</v>
      </c>
      <c r="R33" s="204">
        <f>IF(Q33="","",$B33*'AEO 2017_Table 13'!S$16/'AEO 2017_Table 13'!$C$16)</f>
        <v>11.470093963225921</v>
      </c>
      <c r="S33" s="204">
        <f>IF(R33="","",$B33*'AEO 2017_Table 13'!T$16/'AEO 2017_Table 13'!$C$16)</f>
        <v>11.554598587381072</v>
      </c>
      <c r="T33" s="204">
        <f>IF(S33="","",$B33*'AEO 2017_Table 13'!U$16/'AEO 2017_Table 13'!$C$16)</f>
        <v>11.644924877415361</v>
      </c>
      <c r="U33" s="204">
        <f>IF(T33="","",$B33*'AEO 2017_Table 13'!V$16/'AEO 2017_Table 13'!$C$16)</f>
        <v>11.767792317055211</v>
      </c>
      <c r="V33" s="204">
        <f>IF(U33="","",$B33*'AEO 2017_Table 13'!W$16/'AEO 2017_Table 13'!$C$16)</f>
        <v>11.939214069570477</v>
      </c>
      <c r="W33" s="204">
        <f>IF(V33="","",$B33*'AEO 2017_Table 13'!X$16/'AEO 2017_Table 13'!$C$16)</f>
        <v>12.075936747448232</v>
      </c>
      <c r="X33" s="204">
        <f>IF(W33="","",$B33*'AEO 2017_Table 13'!Y$16/'AEO 2017_Table 13'!$C$16)</f>
        <v>12.194941181390821</v>
      </c>
      <c r="Y33" s="204">
        <f>IF(X33="","",$B33*'AEO 2017_Table 13'!Z$16/'AEO 2017_Table 13'!$C$16)</f>
        <v>12.287464049839354</v>
      </c>
      <c r="Z33" s="204">
        <f>IF(Y33="","",$B33*'AEO 2017_Table 13'!AA$16/'AEO 2017_Table 13'!$C$16)</f>
        <v>12.401849071379534</v>
      </c>
      <c r="AA33" s="204">
        <f>IF(Z33="","",$B33*'AEO 2017_Table 13'!AB$16/'AEO 2017_Table 13'!$C$16)</f>
        <v>12.463315946471335</v>
      </c>
      <c r="AB33" s="204">
        <f>IF(AA33="","",$B33*'AEO 2017_Table 13'!AC$16/'AEO 2017_Table 13'!$C$16)</f>
        <v>12.524553900238717</v>
      </c>
      <c r="AC33" s="204">
        <f>IF(AB33="","",$B33*'AEO 2017_Table 13'!AD$16/'AEO 2017_Table 13'!$C$16)</f>
        <v>12.561566513093782</v>
      </c>
      <c r="AD33" s="204">
        <f>IF(AC33="","",$B33*'AEO 2017_Table 13'!AE$16/'AEO 2017_Table 13'!$C$16)</f>
        <v>12.625604837764273</v>
      </c>
      <c r="AE33" s="204">
        <f>IF(AD33="","",$B33*'AEO 2017_Table 13'!AF$16/'AEO 2017_Table 13'!$C$16)</f>
        <v>12.717767829894939</v>
      </c>
      <c r="AF33" s="204">
        <f>IF(AE33="","",$B33*'AEO 2017_Table 13'!AG$16/'AEO 2017_Table 13'!$C$16)</f>
        <v>12.808207414325594</v>
      </c>
      <c r="AG33" s="204">
        <f>IF(AF33="","",$B33*'AEO 2017_Table 13'!AH$16/'AEO 2017_Table 13'!$C$16)</f>
        <v>12.886788740863693</v>
      </c>
      <c r="AH33" s="204">
        <f>IF(AG33="","",$B33*'AEO 2017_Table 13'!AI$16/'AEO 2017_Table 13'!$C$16)</f>
        <v>12.975105388237738</v>
      </c>
      <c r="AI33" s="204">
        <f>IF(AH33="","",$B33*'AEO 2017_Table 13'!AJ$16/'AEO 2017_Table 13'!$C$16)</f>
        <v>13.048234588560145</v>
      </c>
      <c r="AJ33" s="204">
        <f>IF(AI33="","",$B33*'AEO 2017_Table 13'!AK$16/'AEO 2017_Table 13'!$C$16)</f>
        <v>13.122333788846726</v>
      </c>
      <c r="AK33" s="204">
        <f>IF(AJ33="","",$B33*'AEO 2017_Table 13'!AL$16/'AEO 2017_Table 13'!$C$16)</f>
        <v>13.215739020711661</v>
      </c>
    </row>
    <row r="34" spans="1:37" x14ac:dyDescent="0.25">
      <c r="A34" s="205" t="s">
        <v>1415</v>
      </c>
      <c r="B34" s="206">
        <v>0.98156274720045289</v>
      </c>
      <c r="C34" s="206">
        <f>IF(B34="","",$B34*'AEO 2017_Table 13'!D$16/'AEO 2017_Table 13'!$C$16)</f>
        <v>0.96338577360045752</v>
      </c>
      <c r="D34" s="206">
        <f>IF(C34="","",$B34*'AEO 2017_Table 13'!E$16/'AEO 2017_Table 13'!$C$16)</f>
        <v>1.0115293344102689</v>
      </c>
      <c r="E34" s="206">
        <f>IF(D34="","",$B34*'AEO 2017_Table 13'!F$16/'AEO 2017_Table 13'!$C$16)</f>
        <v>1.0584366647928394</v>
      </c>
      <c r="F34" s="206">
        <f>IF(E34="","",$B34*'AEO 2017_Table 13'!G$16/'AEO 2017_Table 13'!$C$16)</f>
        <v>1.0906703038361973</v>
      </c>
      <c r="G34" s="206">
        <f>IF(F34="","",$B34*'AEO 2017_Table 13'!H$16/'AEO 2017_Table 13'!$C$16)</f>
        <v>1.1193722294249606</v>
      </c>
      <c r="H34" s="206">
        <f>IF(G34="","",$B34*'AEO 2017_Table 13'!I$16/'AEO 2017_Table 13'!$C$16)</f>
        <v>1.1239609442229435</v>
      </c>
      <c r="I34" s="206">
        <f>IF(H34="","",$B34*'AEO 2017_Table 13'!J$16/'AEO 2017_Table 13'!$C$16)</f>
        <v>1.1393341228132388</v>
      </c>
      <c r="J34" s="206">
        <f>IF(I34="","",$B34*'AEO 2017_Table 13'!K$16/'AEO 2017_Table 13'!$C$16)</f>
        <v>1.1597805447458713</v>
      </c>
      <c r="K34" s="206">
        <f>IF(J34="","",$B34*'AEO 2017_Table 13'!L$16/'AEO 2017_Table 13'!$C$16)</f>
        <v>1.1790685498506757</v>
      </c>
      <c r="L34" s="206">
        <f>IF(K34="","",$B34*'AEO 2017_Table 13'!M$16/'AEO 2017_Table 13'!$C$16)</f>
        <v>1.1970572167187297</v>
      </c>
      <c r="M34" s="206">
        <f>IF(L34="","",$B34*'AEO 2017_Table 13'!N$16/'AEO 2017_Table 13'!$C$16)</f>
        <v>1.214507905850486</v>
      </c>
      <c r="N34" s="206">
        <f>IF(M34="","",$B34*'AEO 2017_Table 13'!O$16/'AEO 2017_Table 13'!$C$16)</f>
        <v>1.221364180830304</v>
      </c>
      <c r="O34" s="206">
        <f>IF(N34="","",$B34*'AEO 2017_Table 13'!P$16/'AEO 2017_Table 13'!$C$16)</f>
        <v>1.231297161231945</v>
      </c>
      <c r="P34" s="206">
        <f>IF(O34="","",$B34*'AEO 2017_Table 13'!Q$16/'AEO 2017_Table 13'!$C$16)</f>
        <v>1.2387235851328855</v>
      </c>
      <c r="Q34" s="206">
        <f>IF(P34="","",$B34*'AEO 2017_Table 13'!R$16/'AEO 2017_Table 13'!$C$16)</f>
        <v>1.243643743017864</v>
      </c>
      <c r="R34" s="206">
        <f>IF(Q34="","",$B34*'AEO 2017_Table 13'!S$16/'AEO 2017_Table 13'!$C$16)</f>
        <v>1.2498871315093603</v>
      </c>
      <c r="S34" s="206">
        <f>IF(R34="","",$B34*'AEO 2017_Table 13'!T$16/'AEO 2017_Table 13'!$C$16)</f>
        <v>1.2590955340406027</v>
      </c>
      <c r="T34" s="206">
        <f>IF(S34="","",$B34*'AEO 2017_Table 13'!U$16/'AEO 2017_Table 13'!$C$16)</f>
        <v>1.2689383189308401</v>
      </c>
      <c r="U34" s="206">
        <f>IF(T34="","",$B34*'AEO 2017_Table 13'!V$16/'AEO 2017_Table 13'!$C$16)</f>
        <v>1.2823270873384669</v>
      </c>
      <c r="V34" s="206">
        <f>IF(U34="","",$B34*'AEO 2017_Table 13'!W$16/'AEO 2017_Table 13'!$C$16)</f>
        <v>1.3010067810895856</v>
      </c>
      <c r="W34" s="206">
        <f>IF(V34="","",$B34*'AEO 2017_Table 13'!X$16/'AEO 2017_Table 13'!$C$16)</f>
        <v>1.3159053439272383</v>
      </c>
      <c r="X34" s="206">
        <f>IF(W34="","",$B34*'AEO 2017_Table 13'!Y$16/'AEO 2017_Table 13'!$C$16)</f>
        <v>1.3288731636377202</v>
      </c>
      <c r="Y34" s="206">
        <f>IF(X34="","",$B34*'AEO 2017_Table 13'!Z$16/'AEO 2017_Table 13'!$C$16)</f>
        <v>1.3389553079527461</v>
      </c>
      <c r="Z34" s="206">
        <f>IF(Y34="","",$B34*'AEO 2017_Table 13'!AA$16/'AEO 2017_Table 13'!$C$16)</f>
        <v>1.3514197539214421</v>
      </c>
      <c r="AA34" s="206">
        <f>IF(Z34="","",$B34*'AEO 2017_Table 13'!AB$16/'AEO 2017_Table 13'!$C$16)</f>
        <v>1.3581177510291942</v>
      </c>
      <c r="AB34" s="206">
        <f>IF(AA34="","",$B34*'AEO 2017_Table 13'!AC$16/'AEO 2017_Table 13'!$C$16)</f>
        <v>1.3647908027600006</v>
      </c>
      <c r="AC34" s="206">
        <f>IF(AB34="","",$B34*'AEO 2017_Table 13'!AD$16/'AEO 2017_Table 13'!$C$16)</f>
        <v>1.3688240381161716</v>
      </c>
      <c r="AD34" s="206">
        <f>IF(AC34="","",$B34*'AEO 2017_Table 13'!AE$16/'AEO 2017_Table 13'!$C$16)</f>
        <v>1.3758022440651099</v>
      </c>
      <c r="AE34" s="206">
        <f>IF(AD34="","",$B34*'AEO 2017_Table 13'!AF$16/'AEO 2017_Table 13'!$C$16)</f>
        <v>1.3858451729403949</v>
      </c>
      <c r="AF34" s="206">
        <f>IF(AE34="","",$B34*'AEO 2017_Table 13'!AG$16/'AEO 2017_Table 13'!$C$16)</f>
        <v>1.3957003034320321</v>
      </c>
      <c r="AG34" s="206">
        <f>IF(AF34="","",$B34*'AEO 2017_Table 13'!AH$16/'AEO 2017_Table 13'!$C$16)</f>
        <v>1.4042632488736126</v>
      </c>
      <c r="AH34" s="206">
        <f>IF(AG34="","",$B34*'AEO 2017_Table 13'!AI$16/'AEO 2017_Table 13'!$C$16)</f>
        <v>1.4138870445813703</v>
      </c>
      <c r="AI34" s="206">
        <f>IF(AH34="","",$B34*'AEO 2017_Table 13'!AJ$16/'AEO 2017_Table 13'!$C$16)</f>
        <v>1.4218558761108759</v>
      </c>
      <c r="AJ34" s="206">
        <f>IF(AI34="","",$B34*'AEO 2017_Table 13'!AK$16/'AEO 2017_Table 13'!$C$16)</f>
        <v>1.4299304077747197</v>
      </c>
      <c r="AK34" s="206">
        <f>IF(AJ34="","",$B34*'AEO 2017_Table 13'!AL$16/'AEO 2017_Table 13'!$C$16)</f>
        <v>1.4401087025382959</v>
      </c>
    </row>
    <row r="35" spans="1:37" x14ac:dyDescent="0.25">
      <c r="A35" s="199" t="s">
        <v>1416</v>
      </c>
      <c r="B35" s="193"/>
      <c r="C35" s="193" t="str">
        <f>IF(B35="","",$B35*'AEO 2017_Table 13'!D$16/'AEO 2017_Table 13'!$C$16)</f>
        <v/>
      </c>
      <c r="D35" s="193" t="str">
        <f>IF(C35="","",$B35*'AEO 2017_Table 13'!E$16/'AEO 2017_Table 13'!$C$16)</f>
        <v/>
      </c>
      <c r="E35" s="193" t="str">
        <f>IF(D35="","",$B35*'AEO 2017_Table 13'!F$16/'AEO 2017_Table 13'!$C$16)</f>
        <v/>
      </c>
      <c r="F35" s="193" t="str">
        <f>IF(E35="","",$B35*'AEO 2017_Table 13'!G$16/'AEO 2017_Table 13'!$C$16)</f>
        <v/>
      </c>
      <c r="G35" s="193" t="str">
        <f>IF(F35="","",$B35*'AEO 2017_Table 13'!H$16/'AEO 2017_Table 13'!$C$16)</f>
        <v/>
      </c>
      <c r="H35" s="193" t="str">
        <f>IF(G35="","",$B35*'AEO 2017_Table 13'!I$16/'AEO 2017_Table 13'!$C$16)</f>
        <v/>
      </c>
      <c r="I35" s="193" t="str">
        <f>IF(H35="","",$B35*'AEO 2017_Table 13'!J$16/'AEO 2017_Table 13'!$C$16)</f>
        <v/>
      </c>
      <c r="J35" s="193" t="str">
        <f>IF(I35="","",$B35*'AEO 2017_Table 13'!K$16/'AEO 2017_Table 13'!$C$16)</f>
        <v/>
      </c>
      <c r="K35" s="193" t="str">
        <f>IF(J35="","",$B35*'AEO 2017_Table 13'!L$16/'AEO 2017_Table 13'!$C$16)</f>
        <v/>
      </c>
      <c r="L35" s="193" t="str">
        <f>IF(K35="","",$B35*'AEO 2017_Table 13'!M$16/'AEO 2017_Table 13'!$C$16)</f>
        <v/>
      </c>
      <c r="M35" s="193" t="str">
        <f>IF(L35="","",$B35*'AEO 2017_Table 13'!N$16/'AEO 2017_Table 13'!$C$16)</f>
        <v/>
      </c>
      <c r="N35" s="193" t="str">
        <f>IF(M35="","",$B35*'AEO 2017_Table 13'!O$16/'AEO 2017_Table 13'!$C$16)</f>
        <v/>
      </c>
      <c r="O35" s="193" t="str">
        <f>IF(N35="","",$B35*'AEO 2017_Table 13'!P$16/'AEO 2017_Table 13'!$C$16)</f>
        <v/>
      </c>
      <c r="P35" s="193" t="str">
        <f>IF(O35="","",$B35*'AEO 2017_Table 13'!Q$16/'AEO 2017_Table 13'!$C$16)</f>
        <v/>
      </c>
      <c r="Q35" s="193" t="str">
        <f>IF(P35="","",$B35*'AEO 2017_Table 13'!R$16/'AEO 2017_Table 13'!$C$16)</f>
        <v/>
      </c>
      <c r="R35" s="193" t="str">
        <f>IF(Q35="","",$B35*'AEO 2017_Table 13'!S$16/'AEO 2017_Table 13'!$C$16)</f>
        <v/>
      </c>
      <c r="S35" s="193" t="str">
        <f>IF(R35="","",$B35*'AEO 2017_Table 13'!T$16/'AEO 2017_Table 13'!$C$16)</f>
        <v/>
      </c>
      <c r="T35" s="193" t="str">
        <f>IF(S35="","",$B35*'AEO 2017_Table 13'!U$16/'AEO 2017_Table 13'!$C$16)</f>
        <v/>
      </c>
      <c r="U35" s="193" t="str">
        <f>IF(T35="","",$B35*'AEO 2017_Table 13'!V$16/'AEO 2017_Table 13'!$C$16)</f>
        <v/>
      </c>
      <c r="V35" s="193" t="str">
        <f>IF(U35="","",$B35*'AEO 2017_Table 13'!W$16/'AEO 2017_Table 13'!$C$16)</f>
        <v/>
      </c>
      <c r="W35" s="193" t="str">
        <f>IF(V35="","",$B35*'AEO 2017_Table 13'!X$16/'AEO 2017_Table 13'!$C$16)</f>
        <v/>
      </c>
      <c r="X35" s="193" t="str">
        <f>IF(W35="","",$B35*'AEO 2017_Table 13'!Y$16/'AEO 2017_Table 13'!$C$16)</f>
        <v/>
      </c>
      <c r="Y35" s="193" t="str">
        <f>IF(X35="","",$B35*'AEO 2017_Table 13'!Z$16/'AEO 2017_Table 13'!$C$16)</f>
        <v/>
      </c>
      <c r="Z35" s="193" t="str">
        <f>IF(Y35="","",$B35*'AEO 2017_Table 13'!AA$16/'AEO 2017_Table 13'!$C$16)</f>
        <v/>
      </c>
      <c r="AA35" s="193" t="str">
        <f>IF(Z35="","",$B35*'AEO 2017_Table 13'!AB$16/'AEO 2017_Table 13'!$C$16)</f>
        <v/>
      </c>
      <c r="AB35" s="193" t="str">
        <f>IF(AA35="","",$B35*'AEO 2017_Table 13'!AC$16/'AEO 2017_Table 13'!$C$16)</f>
        <v/>
      </c>
      <c r="AC35" s="193" t="str">
        <f>IF(AB35="","",$B35*'AEO 2017_Table 13'!AD$16/'AEO 2017_Table 13'!$C$16)</f>
        <v/>
      </c>
      <c r="AD35" s="193" t="str">
        <f>IF(AC35="","",$B35*'AEO 2017_Table 13'!AE$16/'AEO 2017_Table 13'!$C$16)</f>
        <v/>
      </c>
      <c r="AE35" s="193" t="str">
        <f>IF(AD35="","",$B35*'AEO 2017_Table 13'!AF$16/'AEO 2017_Table 13'!$C$16)</f>
        <v/>
      </c>
      <c r="AF35" s="193" t="str">
        <f>IF(AE35="","",$B35*'AEO 2017_Table 13'!AG$16/'AEO 2017_Table 13'!$C$16)</f>
        <v/>
      </c>
      <c r="AG35" s="193" t="str">
        <f>IF(AF35="","",$B35*'AEO 2017_Table 13'!AH$16/'AEO 2017_Table 13'!$C$16)</f>
        <v/>
      </c>
      <c r="AH35" s="193" t="str">
        <f>IF(AG35="","",$B35*'AEO 2017_Table 13'!AI$16/'AEO 2017_Table 13'!$C$16)</f>
        <v/>
      </c>
      <c r="AI35" s="193" t="str">
        <f>IF(AH35="","",$B35*'AEO 2017_Table 13'!AJ$16/'AEO 2017_Table 13'!$C$16)</f>
        <v/>
      </c>
      <c r="AJ35" s="193" t="str">
        <f>IF(AI35="","",$B35*'AEO 2017_Table 13'!AK$16/'AEO 2017_Table 13'!$C$16)</f>
        <v/>
      </c>
      <c r="AK35" s="193" t="str">
        <f>IF(AJ35="","",$B35*'AEO 2017_Table 13'!AL$16/'AEO 2017_Table 13'!$C$16)</f>
        <v/>
      </c>
    </row>
    <row r="36" spans="1:37" x14ac:dyDescent="0.25">
      <c r="A36" s="200" t="s">
        <v>1417</v>
      </c>
      <c r="B36" s="207">
        <v>48.074173067448015</v>
      </c>
      <c r="C36" s="207">
        <f>IF(B36="","",$B36*'AEO 2017_Table 13'!D$16/'AEO 2017_Table 13'!$C$16)</f>
        <v>47.18391620187225</v>
      </c>
      <c r="D36" s="207">
        <f>IF(C36="","",$B36*'AEO 2017_Table 13'!E$16/'AEO 2017_Table 13'!$C$16)</f>
        <v>49.541851933495352</v>
      </c>
      <c r="E36" s="207">
        <f>IF(D36="","",$B36*'AEO 2017_Table 13'!F$16/'AEO 2017_Table 13'!$C$16)</f>
        <v>51.839240587837935</v>
      </c>
      <c r="F36" s="207">
        <f>IF(E36="","",$B36*'AEO 2017_Table 13'!G$16/'AEO 2017_Table 13'!$C$16)</f>
        <v>53.417953254331977</v>
      </c>
      <c r="G36" s="207">
        <f>IF(F36="","",$B36*'AEO 2017_Table 13'!H$16/'AEO 2017_Table 13'!$C$16)</f>
        <v>54.823692563467986</v>
      </c>
      <c r="H36" s="207">
        <f>IF(G36="","",$B36*'AEO 2017_Table 13'!I$16/'AEO 2017_Table 13'!$C$16)</f>
        <v>55.048434863422386</v>
      </c>
      <c r="I36" s="207">
        <f>IF(H36="","",$B36*'AEO 2017_Table 13'!J$16/'AEO 2017_Table 13'!$C$16)</f>
        <v>55.801369762647646</v>
      </c>
      <c r="J36" s="207">
        <f>IF(I36="","",$B36*'AEO 2017_Table 13'!K$16/'AEO 2017_Table 13'!$C$16)</f>
        <v>56.802777802432104</v>
      </c>
      <c r="K36" s="207">
        <f>IF(J36="","",$B36*'AEO 2017_Table 13'!L$16/'AEO 2017_Table 13'!$C$16)</f>
        <v>57.74744985541988</v>
      </c>
      <c r="L36" s="207">
        <f>IF(K36="","",$B36*'AEO 2017_Table 13'!M$16/'AEO 2017_Table 13'!$C$16)</f>
        <v>58.62848398872822</v>
      </c>
      <c r="M36" s="207">
        <f>IF(L36="","",$B36*'AEO 2017_Table 13'!N$16/'AEO 2017_Table 13'!$C$16)</f>
        <v>59.483169490861442</v>
      </c>
      <c r="N36" s="207">
        <f>IF(M36="","",$B36*'AEO 2017_Table 13'!O$16/'AEO 2017_Table 13'!$C$16)</f>
        <v>59.818970488727217</v>
      </c>
      <c r="O36" s="207">
        <f>IF(N36="","",$B36*'AEO 2017_Table 13'!P$16/'AEO 2017_Table 13'!$C$16)</f>
        <v>60.305459834687028</v>
      </c>
      <c r="P36" s="207">
        <f>IF(O36="","",$B36*'AEO 2017_Table 13'!Q$16/'AEO 2017_Table 13'!$C$16)</f>
        <v>60.669185117563046</v>
      </c>
      <c r="Q36" s="207">
        <f>IF(P36="","",$B36*'AEO 2017_Table 13'!R$16/'AEO 2017_Table 13'!$C$16)</f>
        <v>60.910160564477927</v>
      </c>
      <c r="R36" s="207">
        <f>IF(Q36="","",$B36*'AEO 2017_Table 13'!S$16/'AEO 2017_Table 13'!$C$16)</f>
        <v>61.215944111911412</v>
      </c>
      <c r="S36" s="207">
        <f>IF(R36="","",$B36*'AEO 2017_Table 13'!T$16/'AEO 2017_Table 13'!$C$16)</f>
        <v>61.666945678774333</v>
      </c>
      <c r="T36" s="207">
        <f>IF(S36="","",$B36*'AEO 2017_Table 13'!U$16/'AEO 2017_Table 13'!$C$16)</f>
        <v>62.149017503146737</v>
      </c>
      <c r="U36" s="207">
        <f>IF(T36="","",$B36*'AEO 2017_Table 13'!V$16/'AEO 2017_Table 13'!$C$16)</f>
        <v>62.804761592278098</v>
      </c>
      <c r="V36" s="207">
        <f>IF(U36="","",$B36*'AEO 2017_Table 13'!W$16/'AEO 2017_Table 13'!$C$16)</f>
        <v>63.719640272015539</v>
      </c>
      <c r="W36" s="207">
        <f>IF(V36="","",$B36*'AEO 2017_Table 13'!X$16/'AEO 2017_Table 13'!$C$16)</f>
        <v>64.449329831196934</v>
      </c>
      <c r="X36" s="207">
        <f>IF(W36="","",$B36*'AEO 2017_Table 13'!Y$16/'AEO 2017_Table 13'!$C$16)</f>
        <v>65.084457041196728</v>
      </c>
      <c r="Y36" s="207">
        <f>IF(X36="","",$B36*'AEO 2017_Table 13'!Z$16/'AEO 2017_Table 13'!$C$16)</f>
        <v>65.578252014644889</v>
      </c>
      <c r="Z36" s="207">
        <f>IF(Y36="","",$B36*'AEO 2017_Table 13'!AA$16/'AEO 2017_Table 13'!$C$16)</f>
        <v>66.188725399456999</v>
      </c>
      <c r="AA36" s="207">
        <f>IF(Z36="","",$B36*'AEO 2017_Table 13'!AB$16/'AEO 2017_Table 13'!$C$16)</f>
        <v>66.516774393860814</v>
      </c>
      <c r="AB36" s="207">
        <f>IF(AA36="","",$B36*'AEO 2017_Table 13'!AC$16/'AEO 2017_Table 13'!$C$16)</f>
        <v>66.843601634105809</v>
      </c>
      <c r="AC36" s="207">
        <f>IF(AB36="","",$B36*'AEO 2017_Table 13'!AD$16/'AEO 2017_Table 13'!$C$16)</f>
        <v>67.041138118744527</v>
      </c>
      <c r="AD36" s="207">
        <f>IF(AC36="","",$B36*'AEO 2017_Table 13'!AE$16/'AEO 2017_Table 13'!$C$16)</f>
        <v>67.382910951348833</v>
      </c>
      <c r="AE36" s="207">
        <f>IF(AD36="","",$B36*'AEO 2017_Table 13'!AF$16/'AEO 2017_Table 13'!$C$16)</f>
        <v>67.874785263237257</v>
      </c>
      <c r="AF36" s="207">
        <f>IF(AE36="","",$B36*'AEO 2017_Table 13'!AG$16/'AEO 2017_Table 13'!$C$16)</f>
        <v>68.357461740322918</v>
      </c>
      <c r="AG36" s="207">
        <f>IF(AF36="","",$B36*'AEO 2017_Table 13'!AH$16/'AEO 2017_Table 13'!$C$16)</f>
        <v>68.776850640624772</v>
      </c>
      <c r="AH36" s="207">
        <f>IF(AG36="","",$B36*'AEO 2017_Table 13'!AI$16/'AEO 2017_Table 13'!$C$16)</f>
        <v>69.248196992898286</v>
      </c>
      <c r="AI36" s="207">
        <f>IF(AH36="","",$B36*'AEO 2017_Table 13'!AJ$16/'AEO 2017_Table 13'!$C$16)</f>
        <v>69.63848787057006</v>
      </c>
      <c r="AJ36" s="207">
        <f>IF(AI36="","",$B36*'AEO 2017_Table 13'!AK$16/'AEO 2017_Table 13'!$C$16)</f>
        <v>70.033955642501454</v>
      </c>
      <c r="AK36" s="207">
        <f>IF(AJ36="","",$B36*'AEO 2017_Table 13'!AL$16/'AEO 2017_Table 13'!$C$16)</f>
        <v>70.532459793551652</v>
      </c>
    </row>
    <row r="37" spans="1:37" x14ac:dyDescent="0.25">
      <c r="A37" s="208" t="s">
        <v>1418</v>
      </c>
      <c r="B37" s="197">
        <v>12.785334576728092</v>
      </c>
      <c r="C37" s="197">
        <f>IF(B37="","",$B37*'AEO 2017_Table 13'!D$16/'AEO 2017_Table 13'!$C$16)</f>
        <v>12.548570610561764</v>
      </c>
      <c r="D37" s="197">
        <f>IF(C37="","",$B37*'AEO 2017_Table 13'!E$16/'AEO 2017_Table 13'!$C$16)</f>
        <v>13.175664023004392</v>
      </c>
      <c r="E37" s="197">
        <f>IF(D37="","",$B37*'AEO 2017_Table 13'!F$16/'AEO 2017_Table 13'!$C$16)</f>
        <v>13.7866549298545</v>
      </c>
      <c r="F37" s="197">
        <f>IF(E37="","",$B37*'AEO 2017_Table 13'!G$16/'AEO 2017_Table 13'!$C$16)</f>
        <v>14.206513834412801</v>
      </c>
      <c r="G37" s="197">
        <f>IF(F37="","",$B37*'AEO 2017_Table 13'!H$16/'AEO 2017_Table 13'!$C$16)</f>
        <v>14.580370444899822</v>
      </c>
      <c r="H37" s="197">
        <f>IF(G37="","",$B37*'AEO 2017_Table 13'!I$16/'AEO 2017_Table 13'!$C$16)</f>
        <v>14.640140698138062</v>
      </c>
      <c r="I37" s="197">
        <f>IF(H37="","",$B37*'AEO 2017_Table 13'!J$16/'AEO 2017_Table 13'!$C$16)</f>
        <v>14.840383863789272</v>
      </c>
      <c r="J37" s="197">
        <f>IF(I37="","",$B37*'AEO 2017_Table 13'!K$16/'AEO 2017_Table 13'!$C$16)</f>
        <v>15.106708503809742</v>
      </c>
      <c r="K37" s="197">
        <f>IF(J37="","",$B37*'AEO 2017_Table 13'!L$16/'AEO 2017_Table 13'!$C$16)</f>
        <v>15.357944198405839</v>
      </c>
      <c r="L37" s="197">
        <f>IF(K37="","",$B37*'AEO 2017_Table 13'!M$16/'AEO 2017_Table 13'!$C$16)</f>
        <v>15.59225537734304</v>
      </c>
      <c r="M37" s="197">
        <f>IF(L37="","",$B37*'AEO 2017_Table 13'!N$16/'AEO 2017_Table 13'!$C$16)</f>
        <v>15.819559133297842</v>
      </c>
      <c r="N37" s="197">
        <f>IF(M37="","",$B37*'AEO 2017_Table 13'!O$16/'AEO 2017_Table 13'!$C$16)</f>
        <v>15.908865466303084</v>
      </c>
      <c r="O37" s="197">
        <f>IF(N37="","",$B37*'AEO 2017_Table 13'!P$16/'AEO 2017_Table 13'!$C$16)</f>
        <v>16.038247391341777</v>
      </c>
      <c r="P37" s="197">
        <f>IF(O37="","",$B37*'AEO 2017_Table 13'!Q$16/'AEO 2017_Table 13'!$C$16)</f>
        <v>16.134980192737249</v>
      </c>
      <c r="Q37" s="197">
        <f>IF(P37="","",$B37*'AEO 2017_Table 13'!R$16/'AEO 2017_Table 13'!$C$16)</f>
        <v>16.199067654195204</v>
      </c>
      <c r="R37" s="197">
        <f>IF(Q37="","",$B37*'AEO 2017_Table 13'!S$16/'AEO 2017_Table 13'!$C$16)</f>
        <v>16.280390841107039</v>
      </c>
      <c r="S37" s="197">
        <f>IF(R37="","",$B37*'AEO 2017_Table 13'!T$16/'AEO 2017_Table 13'!$C$16)</f>
        <v>16.400334785205278</v>
      </c>
      <c r="T37" s="197">
        <f>IF(S37="","",$B37*'AEO 2017_Table 13'!U$16/'AEO 2017_Table 13'!$C$16)</f>
        <v>16.528541869619769</v>
      </c>
      <c r="U37" s="197">
        <f>IF(T37="","",$B37*'AEO 2017_Table 13'!V$16/'AEO 2017_Table 13'!$C$16)</f>
        <v>16.702937122648738</v>
      </c>
      <c r="V37" s="197">
        <f>IF(U37="","",$B37*'AEO 2017_Table 13'!W$16/'AEO 2017_Table 13'!$C$16)</f>
        <v>16.946249264516421</v>
      </c>
      <c r="W37" s="197">
        <f>IF(V37="","",$B37*'AEO 2017_Table 13'!X$16/'AEO 2017_Table 13'!$C$16)</f>
        <v>17.140310327994108</v>
      </c>
      <c r="X37" s="197">
        <f>IF(W37="","",$B37*'AEO 2017_Table 13'!Y$16/'AEO 2017_Table 13'!$C$16)</f>
        <v>17.309222518480222</v>
      </c>
      <c r="Y37" s="197">
        <f>IF(X37="","",$B37*'AEO 2017_Table 13'!Z$16/'AEO 2017_Table 13'!$C$16)</f>
        <v>17.440547376403078</v>
      </c>
      <c r="Z37" s="197">
        <f>IF(Y37="","",$B37*'AEO 2017_Table 13'!AA$16/'AEO 2017_Table 13'!$C$16)</f>
        <v>17.602902877849978</v>
      </c>
      <c r="AA37" s="197">
        <f>IF(Z37="","",$B37*'AEO 2017_Table 13'!AB$16/'AEO 2017_Table 13'!$C$16)</f>
        <v>17.690147564204281</v>
      </c>
      <c r="AB37" s="197">
        <f>IF(AA37="","",$B37*'AEO 2017_Table 13'!AC$16/'AEO 2017_Table 13'!$C$16)</f>
        <v>17.777067324830394</v>
      </c>
      <c r="AC37" s="197">
        <f>IF(AB37="","",$B37*'AEO 2017_Table 13'!AD$16/'AEO 2017_Table 13'!$C$16)</f>
        <v>17.829602186816963</v>
      </c>
      <c r="AD37" s="197">
        <f>IF(AC37="","",$B37*'AEO 2017_Table 13'!AE$16/'AEO 2017_Table 13'!$C$16)</f>
        <v>17.920496730295667</v>
      </c>
      <c r="AE37" s="197">
        <f>IF(AD37="","",$B37*'AEO 2017_Table 13'!AF$16/'AEO 2017_Table 13'!$C$16)</f>
        <v>18.051310787947127</v>
      </c>
      <c r="AF37" s="197">
        <f>IF(AE37="","",$B37*'AEO 2017_Table 13'!AG$16/'AEO 2017_Table 13'!$C$16)</f>
        <v>18.179678679854465</v>
      </c>
      <c r="AG37" s="197">
        <f>IF(AF37="","",$B37*'AEO 2017_Table 13'!AH$16/'AEO 2017_Table 13'!$C$16)</f>
        <v>18.29121522985611</v>
      </c>
      <c r="AH37" s="197">
        <f>IF(AG37="","",$B37*'AEO 2017_Table 13'!AI$16/'AEO 2017_Table 13'!$C$16)</f>
        <v>18.416569873125422</v>
      </c>
      <c r="AI37" s="197">
        <f>IF(AH37="","",$B37*'AEO 2017_Table 13'!AJ$16/'AEO 2017_Table 13'!$C$16)</f>
        <v>18.520367799015432</v>
      </c>
      <c r="AJ37" s="197">
        <f>IF(AI37="","",$B37*'AEO 2017_Table 13'!AK$16/'AEO 2017_Table 13'!$C$16)</f>
        <v>18.625542520822133</v>
      </c>
      <c r="AK37" s="197">
        <f>IF(AJ37="","",$B37*'AEO 2017_Table 13'!AL$16/'AEO 2017_Table 13'!$C$16)</f>
        <v>18.758119785336337</v>
      </c>
    </row>
    <row r="38" spans="1:37" x14ac:dyDescent="0.25">
      <c r="A38" s="209" t="s">
        <v>1419</v>
      </c>
      <c r="B38" s="193"/>
      <c r="C38" s="193" t="str">
        <f>IF(B38="","",$B38*'AEO 2017_Table 13'!D$16/'AEO 2017_Table 13'!$C$16)</f>
        <v/>
      </c>
      <c r="D38" s="193" t="str">
        <f>IF(C38="","",$B38*'AEO 2017_Table 13'!E$16/'AEO 2017_Table 13'!$C$16)</f>
        <v/>
      </c>
      <c r="E38" s="193" t="str">
        <f>IF(D38="","",$B38*'AEO 2017_Table 13'!F$16/'AEO 2017_Table 13'!$C$16)</f>
        <v/>
      </c>
      <c r="F38" s="193" t="str">
        <f>IF(E38="","",$B38*'AEO 2017_Table 13'!G$16/'AEO 2017_Table 13'!$C$16)</f>
        <v/>
      </c>
      <c r="G38" s="193" t="str">
        <f>IF(F38="","",$B38*'AEO 2017_Table 13'!H$16/'AEO 2017_Table 13'!$C$16)</f>
        <v/>
      </c>
      <c r="H38" s="193" t="str">
        <f>IF(G38="","",$B38*'AEO 2017_Table 13'!I$16/'AEO 2017_Table 13'!$C$16)</f>
        <v/>
      </c>
      <c r="I38" s="193" t="str">
        <f>IF(H38="","",$B38*'AEO 2017_Table 13'!J$16/'AEO 2017_Table 13'!$C$16)</f>
        <v/>
      </c>
      <c r="J38" s="193" t="str">
        <f>IF(I38="","",$B38*'AEO 2017_Table 13'!K$16/'AEO 2017_Table 13'!$C$16)</f>
        <v/>
      </c>
      <c r="K38" s="193" t="str">
        <f>IF(J38="","",$B38*'AEO 2017_Table 13'!L$16/'AEO 2017_Table 13'!$C$16)</f>
        <v/>
      </c>
      <c r="L38" s="193" t="str">
        <f>IF(K38="","",$B38*'AEO 2017_Table 13'!M$16/'AEO 2017_Table 13'!$C$16)</f>
        <v/>
      </c>
      <c r="M38" s="193" t="str">
        <f>IF(L38="","",$B38*'AEO 2017_Table 13'!N$16/'AEO 2017_Table 13'!$C$16)</f>
        <v/>
      </c>
      <c r="N38" s="193" t="str">
        <f>IF(M38="","",$B38*'AEO 2017_Table 13'!O$16/'AEO 2017_Table 13'!$C$16)</f>
        <v/>
      </c>
      <c r="O38" s="193" t="str">
        <f>IF(N38="","",$B38*'AEO 2017_Table 13'!P$16/'AEO 2017_Table 13'!$C$16)</f>
        <v/>
      </c>
      <c r="P38" s="193" t="str">
        <f>IF(O38="","",$B38*'AEO 2017_Table 13'!Q$16/'AEO 2017_Table 13'!$C$16)</f>
        <v/>
      </c>
      <c r="Q38" s="193" t="str">
        <f>IF(P38="","",$B38*'AEO 2017_Table 13'!R$16/'AEO 2017_Table 13'!$C$16)</f>
        <v/>
      </c>
      <c r="R38" s="193" t="str">
        <f>IF(Q38="","",$B38*'AEO 2017_Table 13'!S$16/'AEO 2017_Table 13'!$C$16)</f>
        <v/>
      </c>
      <c r="S38" s="193" t="str">
        <f>IF(R38="","",$B38*'AEO 2017_Table 13'!T$16/'AEO 2017_Table 13'!$C$16)</f>
        <v/>
      </c>
      <c r="T38" s="193" t="str">
        <f>IF(S38="","",$B38*'AEO 2017_Table 13'!U$16/'AEO 2017_Table 13'!$C$16)</f>
        <v/>
      </c>
      <c r="U38" s="193" t="str">
        <f>IF(T38="","",$B38*'AEO 2017_Table 13'!V$16/'AEO 2017_Table 13'!$C$16)</f>
        <v/>
      </c>
      <c r="V38" s="193" t="str">
        <f>IF(U38="","",$B38*'AEO 2017_Table 13'!W$16/'AEO 2017_Table 13'!$C$16)</f>
        <v/>
      </c>
      <c r="W38" s="193" t="str">
        <f>IF(V38="","",$B38*'AEO 2017_Table 13'!X$16/'AEO 2017_Table 13'!$C$16)</f>
        <v/>
      </c>
      <c r="X38" s="193" t="str">
        <f>IF(W38="","",$B38*'AEO 2017_Table 13'!Y$16/'AEO 2017_Table 13'!$C$16)</f>
        <v/>
      </c>
      <c r="Y38" s="193" t="str">
        <f>IF(X38="","",$B38*'AEO 2017_Table 13'!Z$16/'AEO 2017_Table 13'!$C$16)</f>
        <v/>
      </c>
      <c r="Z38" s="193" t="str">
        <f>IF(Y38="","",$B38*'AEO 2017_Table 13'!AA$16/'AEO 2017_Table 13'!$C$16)</f>
        <v/>
      </c>
      <c r="AA38" s="193" t="str">
        <f>IF(Z38="","",$B38*'AEO 2017_Table 13'!AB$16/'AEO 2017_Table 13'!$C$16)</f>
        <v/>
      </c>
      <c r="AB38" s="193" t="str">
        <f>IF(AA38="","",$B38*'AEO 2017_Table 13'!AC$16/'AEO 2017_Table 13'!$C$16)</f>
        <v/>
      </c>
      <c r="AC38" s="193" t="str">
        <f>IF(AB38="","",$B38*'AEO 2017_Table 13'!AD$16/'AEO 2017_Table 13'!$C$16)</f>
        <v/>
      </c>
      <c r="AD38" s="193" t="str">
        <f>IF(AC38="","",$B38*'AEO 2017_Table 13'!AE$16/'AEO 2017_Table 13'!$C$16)</f>
        <v/>
      </c>
      <c r="AE38" s="193" t="str">
        <f>IF(AD38="","",$B38*'AEO 2017_Table 13'!AF$16/'AEO 2017_Table 13'!$C$16)</f>
        <v/>
      </c>
      <c r="AF38" s="193" t="str">
        <f>IF(AE38="","",$B38*'AEO 2017_Table 13'!AG$16/'AEO 2017_Table 13'!$C$16)</f>
        <v/>
      </c>
      <c r="AG38" s="193" t="str">
        <f>IF(AF38="","",$B38*'AEO 2017_Table 13'!AH$16/'AEO 2017_Table 13'!$C$16)</f>
        <v/>
      </c>
      <c r="AH38" s="193" t="str">
        <f>IF(AG38="","",$B38*'AEO 2017_Table 13'!AI$16/'AEO 2017_Table 13'!$C$16)</f>
        <v/>
      </c>
      <c r="AI38" s="193" t="str">
        <f>IF(AH38="","",$B38*'AEO 2017_Table 13'!AJ$16/'AEO 2017_Table 13'!$C$16)</f>
        <v/>
      </c>
      <c r="AJ38" s="193" t="str">
        <f>IF(AI38="","",$B38*'AEO 2017_Table 13'!AK$16/'AEO 2017_Table 13'!$C$16)</f>
        <v/>
      </c>
      <c r="AK38" s="193" t="str">
        <f>IF(AJ38="","",$B38*'AEO 2017_Table 13'!AL$16/'AEO 2017_Table 13'!$C$16)</f>
        <v/>
      </c>
    </row>
    <row r="39" spans="1:37" x14ac:dyDescent="0.25">
      <c r="A39" s="210" t="s">
        <v>1420</v>
      </c>
      <c r="B39" s="195">
        <v>1020.2464450164858</v>
      </c>
      <c r="C39" s="195">
        <f>IF(B39="","",$B39*'AEO 2017_Table 13'!D$16/'AEO 2017_Table 13'!$C$16)</f>
        <v>1001.3531111471571</v>
      </c>
      <c r="D39" s="195">
        <f>IF(C39="","",$B39*'AEO 2017_Table 13'!E$16/'AEO 2017_Table 13'!$C$16)</f>
        <v>1051.3940248908141</v>
      </c>
      <c r="E39" s="195">
        <f>IF(D39="","",$B39*'AEO 2017_Table 13'!F$16/'AEO 2017_Table 13'!$C$16)</f>
        <v>1100.1499879757275</v>
      </c>
      <c r="F39" s="195">
        <f>IF(E39="","",$B39*'AEO 2017_Table 13'!G$16/'AEO 2017_Table 13'!$C$16)</f>
        <v>1133.6539649122267</v>
      </c>
      <c r="G39" s="195">
        <f>IF(F39="","",$B39*'AEO 2017_Table 13'!H$16/'AEO 2017_Table 13'!$C$16)</f>
        <v>1163.4870424516732</v>
      </c>
      <c r="H39" s="195">
        <f>IF(G39="","",$B39*'AEO 2017_Table 13'!I$16/'AEO 2017_Table 13'!$C$16)</f>
        <v>1168.2565999488265</v>
      </c>
      <c r="I39" s="195">
        <f>IF(H39="","",$B39*'AEO 2017_Table 13'!J$16/'AEO 2017_Table 13'!$C$16)</f>
        <v>1184.2356403617664</v>
      </c>
      <c r="J39" s="195">
        <f>IF(I39="","",$B39*'AEO 2017_Table 13'!K$16/'AEO 2017_Table 13'!$C$16)</f>
        <v>1205.4878622391475</v>
      </c>
      <c r="K39" s="195">
        <f>IF(J39="","",$B39*'AEO 2017_Table 13'!L$16/'AEO 2017_Table 13'!$C$16)</f>
        <v>1225.5360137157211</v>
      </c>
      <c r="L39" s="195">
        <f>IF(K39="","",$B39*'AEO 2017_Table 13'!M$16/'AEO 2017_Table 13'!$C$16)</f>
        <v>1244.2336196253411</v>
      </c>
      <c r="M39" s="195">
        <f>IF(L39="","",$B39*'AEO 2017_Table 13'!N$16/'AEO 2017_Table 13'!$C$16)</f>
        <v>1262.3720459261981</v>
      </c>
      <c r="N39" s="195">
        <f>IF(M39="","",$B39*'AEO 2017_Table 13'!O$16/'AEO 2017_Table 13'!$C$16)</f>
        <v>1269.498528867982</v>
      </c>
      <c r="O39" s="195">
        <f>IF(N39="","",$B39*'AEO 2017_Table 13'!P$16/'AEO 2017_Table 13'!$C$16)</f>
        <v>1279.8229711637971</v>
      </c>
      <c r="P39" s="195">
        <f>IF(O39="","",$B39*'AEO 2017_Table 13'!Q$16/'AEO 2017_Table 13'!$C$16)</f>
        <v>1287.5420727757219</v>
      </c>
      <c r="Q39" s="195">
        <f>IF(P39="","",$B39*'AEO 2017_Table 13'!R$16/'AEO 2017_Table 13'!$C$16)</f>
        <v>1292.6561356365894</v>
      </c>
      <c r="R39" s="195">
        <f>IF(Q39="","",$B39*'AEO 2017_Table 13'!S$16/'AEO 2017_Table 13'!$C$16)</f>
        <v>1299.1455780400154</v>
      </c>
      <c r="S39" s="195">
        <f>IF(R39="","",$B39*'AEO 2017_Table 13'!T$16/'AEO 2017_Table 13'!$C$16)</f>
        <v>1308.7168866227587</v>
      </c>
      <c r="T39" s="195">
        <f>IF(S39="","",$B39*'AEO 2017_Table 13'!U$16/'AEO 2017_Table 13'!$C$16)</f>
        <v>1318.9475787735844</v>
      </c>
      <c r="U39" s="195">
        <f>IF(T39="","",$B39*'AEO 2017_Table 13'!V$16/'AEO 2017_Table 13'!$C$16)</f>
        <v>1332.864002771938</v>
      </c>
      <c r="V39" s="195">
        <f>IF(U39="","",$B39*'AEO 2017_Table 13'!W$16/'AEO 2017_Table 13'!$C$16)</f>
        <v>1352.2798691522903</v>
      </c>
      <c r="W39" s="195">
        <f>IF(V39="","",$B39*'AEO 2017_Table 13'!X$16/'AEO 2017_Table 13'!$C$16)</f>
        <v>1367.7655890559063</v>
      </c>
      <c r="X39" s="195">
        <f>IF(W39="","",$B39*'AEO 2017_Table 13'!Y$16/'AEO 2017_Table 13'!$C$16)</f>
        <v>1381.244474636037</v>
      </c>
      <c r="Y39" s="195">
        <f>IF(X39="","",$B39*'AEO 2017_Table 13'!Z$16/'AEO 2017_Table 13'!$C$16)</f>
        <v>1391.7239594421651</v>
      </c>
      <c r="Z39" s="195">
        <f>IF(Y39="","",$B39*'AEO 2017_Table 13'!AA$16/'AEO 2017_Table 13'!$C$16)</f>
        <v>1404.6796331623955</v>
      </c>
      <c r="AA39" s="195">
        <f>IF(Z39="","",$B39*'AEO 2017_Table 13'!AB$16/'AEO 2017_Table 13'!$C$16)</f>
        <v>1411.6416004511964</v>
      </c>
      <c r="AB39" s="195">
        <f>IF(AA39="","",$B39*'AEO 2017_Table 13'!AC$16/'AEO 2017_Table 13'!$C$16)</f>
        <v>1418.5776392578687</v>
      </c>
      <c r="AC39" s="195">
        <f>IF(AB39="","",$B39*'AEO 2017_Table 13'!AD$16/'AEO 2017_Table 13'!$C$16)</f>
        <v>1422.7698256930043</v>
      </c>
      <c r="AD39" s="195">
        <f>IF(AC39="","",$B39*'AEO 2017_Table 13'!AE$16/'AEO 2017_Table 13'!$C$16)</f>
        <v>1430.0230449419039</v>
      </c>
      <c r="AE39" s="195">
        <f>IF(AD39="","",$B39*'AEO 2017_Table 13'!AF$16/'AEO 2017_Table 13'!$C$16)</f>
        <v>1440.4617688154281</v>
      </c>
      <c r="AF39" s="195">
        <f>IF(AE39="","",$B39*'AEO 2017_Table 13'!AG$16/'AEO 2017_Table 13'!$C$16)</f>
        <v>1450.7052931117028</v>
      </c>
      <c r="AG39" s="195">
        <f>IF(AF39="","",$B39*'AEO 2017_Table 13'!AH$16/'AEO 2017_Table 13'!$C$16)</f>
        <v>1459.6057069370643</v>
      </c>
      <c r="AH39" s="195">
        <f>IF(AG39="","",$B39*'AEO 2017_Table 13'!AI$16/'AEO 2017_Table 13'!$C$16)</f>
        <v>1469.6087794725784</v>
      </c>
      <c r="AI39" s="195">
        <f>IF(AH39="","",$B39*'AEO 2017_Table 13'!AJ$16/'AEO 2017_Table 13'!$C$16)</f>
        <v>1477.891665168986</v>
      </c>
      <c r="AJ39" s="195">
        <f>IF(AI39="","",$B39*'AEO 2017_Table 13'!AK$16/'AEO 2017_Table 13'!$C$16)</f>
        <v>1486.2844166754037</v>
      </c>
      <c r="AK39" s="195">
        <f>IF(AJ39="","",$B39*'AEO 2017_Table 13'!AL$16/'AEO 2017_Table 13'!$C$16)</f>
        <v>1496.8638412496207</v>
      </c>
    </row>
    <row r="40" spans="1:37" x14ac:dyDescent="0.25">
      <c r="A40" s="211" t="s">
        <v>1421</v>
      </c>
      <c r="B40" s="212">
        <v>30.316440593757711</v>
      </c>
      <c r="C40" s="212">
        <f>IF(B40="","",$B40*'AEO 2017_Table 13'!D$16/'AEO 2017_Table 13'!$C$16)</f>
        <v>29.755028557807631</v>
      </c>
      <c r="D40" s="212">
        <f>IF(C40="","",$B40*'AEO 2017_Table 13'!E$16/'AEO 2017_Table 13'!$C$16)</f>
        <v>31.241985357487948</v>
      </c>
      <c r="E40" s="212">
        <f>IF(D40="","",$B40*'AEO 2017_Table 13'!F$16/'AEO 2017_Table 13'!$C$16)</f>
        <v>32.690760078218624</v>
      </c>
      <c r="F40" s="212">
        <f>IF(E40="","",$B40*'AEO 2017_Table 13'!G$16/'AEO 2017_Table 13'!$C$16)</f>
        <v>33.68632475909687</v>
      </c>
      <c r="G40" s="212">
        <f>IF(F40="","",$B40*'AEO 2017_Table 13'!H$16/'AEO 2017_Table 13'!$C$16)</f>
        <v>34.572809321107748</v>
      </c>
      <c r="H40" s="212">
        <f>IF(G40="","",$B40*'AEO 2017_Table 13'!I$16/'AEO 2017_Table 13'!$C$16)</f>
        <v>34.714535868872026</v>
      </c>
      <c r="I40" s="212">
        <f>IF(H40="","",$B40*'AEO 2017_Table 13'!J$16/'AEO 2017_Table 13'!$C$16)</f>
        <v>35.189350196126377</v>
      </c>
      <c r="J40" s="212">
        <f>IF(I40="","",$B40*'AEO 2017_Table 13'!K$16/'AEO 2017_Table 13'!$C$16)</f>
        <v>35.820856167235711</v>
      </c>
      <c r="K40" s="212">
        <f>IF(J40="","",$B40*'AEO 2017_Table 13'!L$16/'AEO 2017_Table 13'!$C$16)</f>
        <v>36.416583401790668</v>
      </c>
      <c r="L40" s="212">
        <f>IF(K40="","",$B40*'AEO 2017_Table 13'!M$16/'AEO 2017_Table 13'!$C$16)</f>
        <v>36.972179416433313</v>
      </c>
      <c r="M40" s="212">
        <f>IF(L40="","",$B40*'AEO 2017_Table 13'!N$16/'AEO 2017_Table 13'!$C$16)</f>
        <v>37.511159509037604</v>
      </c>
      <c r="N40" s="212">
        <f>IF(M40="","",$B40*'AEO 2017_Table 13'!O$16/'AEO 2017_Table 13'!$C$16)</f>
        <v>37.722921674740164</v>
      </c>
      <c r="O40" s="212">
        <f>IF(N40="","",$B40*'AEO 2017_Table 13'!P$16/'AEO 2017_Table 13'!$C$16)</f>
        <v>38.029710630539661</v>
      </c>
      <c r="P40" s="212">
        <f>IF(O40="","",$B40*'AEO 2017_Table 13'!Q$16/'AEO 2017_Table 13'!$C$16)</f>
        <v>38.259082354007219</v>
      </c>
      <c r="Q40" s="212">
        <f>IF(P40="","",$B40*'AEO 2017_Table 13'!R$16/'AEO 2017_Table 13'!$C$16)</f>
        <v>38.411045817022995</v>
      </c>
      <c r="R40" s="212">
        <f>IF(Q40="","",$B40*'AEO 2017_Table 13'!S$16/'AEO 2017_Table 13'!$C$16)</f>
        <v>38.603878437093442</v>
      </c>
      <c r="S40" s="212">
        <f>IF(R40="","",$B40*'AEO 2017_Table 13'!T$16/'AEO 2017_Table 13'!$C$16)</f>
        <v>38.88828815934302</v>
      </c>
      <c r="T40" s="212">
        <f>IF(S40="","",$B40*'AEO 2017_Table 13'!U$16/'AEO 2017_Table 13'!$C$16)</f>
        <v>39.192291346355852</v>
      </c>
      <c r="U40" s="212">
        <f>IF(T40="","",$B40*'AEO 2017_Table 13'!V$16/'AEO 2017_Table 13'!$C$16)</f>
        <v>39.605815395848438</v>
      </c>
      <c r="V40" s="212">
        <f>IF(U40="","",$B40*'AEO 2017_Table 13'!W$16/'AEO 2017_Table 13'!$C$16)</f>
        <v>40.182754391883634</v>
      </c>
      <c r="W40" s="212">
        <f>IF(V40="","",$B40*'AEO 2017_Table 13'!X$16/'AEO 2017_Table 13'!$C$16)</f>
        <v>40.642909788457409</v>
      </c>
      <c r="X40" s="212">
        <f>IF(W40="","",$B40*'AEO 2017_Table 13'!Y$16/'AEO 2017_Table 13'!$C$16)</f>
        <v>41.043432462127186</v>
      </c>
      <c r="Y40" s="212">
        <f>IF(X40="","",$B40*'AEO 2017_Table 13'!Z$16/'AEO 2017_Table 13'!$C$16)</f>
        <v>41.354828478383865</v>
      </c>
      <c r="Z40" s="212">
        <f>IF(Y40="","",$B40*'AEO 2017_Table 13'!AA$16/'AEO 2017_Table 13'!$C$16)</f>
        <v>41.739804005238184</v>
      </c>
      <c r="AA40" s="212">
        <f>IF(Z40="","",$B40*'AEO 2017_Table 13'!AB$16/'AEO 2017_Table 13'!$C$16)</f>
        <v>41.946677617743845</v>
      </c>
      <c r="AB40" s="212">
        <f>IF(AA40="","",$B40*'AEO 2017_Table 13'!AC$16/'AEO 2017_Table 13'!$C$16)</f>
        <v>42.152780770041602</v>
      </c>
      <c r="AC40" s="212">
        <f>IF(AB40="","",$B40*'AEO 2017_Table 13'!AD$16/'AEO 2017_Table 13'!$C$16)</f>
        <v>42.277350839988465</v>
      </c>
      <c r="AD40" s="212">
        <f>IF(AC40="","",$B40*'AEO 2017_Table 13'!AE$16/'AEO 2017_Table 13'!$C$16)</f>
        <v>42.492878952384117</v>
      </c>
      <c r="AE40" s="212">
        <f>IF(AD40="","",$B40*'AEO 2017_Table 13'!AF$16/'AEO 2017_Table 13'!$C$16)</f>
        <v>42.8030637648205</v>
      </c>
      <c r="AF40" s="212">
        <f>IF(AE40="","",$B40*'AEO 2017_Table 13'!AG$16/'AEO 2017_Table 13'!$C$16)</f>
        <v>43.107448256739715</v>
      </c>
      <c r="AG40" s="212">
        <f>IF(AF40="","",$B40*'AEO 2017_Table 13'!AH$16/'AEO 2017_Table 13'!$C$16)</f>
        <v>43.371922461295341</v>
      </c>
      <c r="AH40" s="212">
        <f>IF(AG40="","",$B40*'AEO 2017_Table 13'!AI$16/'AEO 2017_Table 13'!$C$16)</f>
        <v>43.669161972159849</v>
      </c>
      <c r="AI40" s="212">
        <f>IF(AH40="","",$B40*'AEO 2017_Table 13'!AJ$16/'AEO 2017_Table 13'!$C$16)</f>
        <v>43.915286438838073</v>
      </c>
      <c r="AJ40" s="212">
        <f>IF(AI40="","",$B40*'AEO 2017_Table 13'!AK$16/'AEO 2017_Table 13'!$C$16)</f>
        <v>44.164675548405967</v>
      </c>
      <c r="AK40" s="212">
        <f>IF(AJ40="","",$B40*'AEO 2017_Table 13'!AL$16/'AEO 2017_Table 13'!$C$16)</f>
        <v>44.479041256992403</v>
      </c>
    </row>
    <row r="41" spans="1:37" x14ac:dyDescent="0.25">
      <c r="A41" s="211" t="s">
        <v>1422</v>
      </c>
      <c r="B41" s="212">
        <v>94.721423623784418</v>
      </c>
      <c r="C41" s="212">
        <f>IF(B41="","",$B41*'AEO 2017_Table 13'!D$16/'AEO 2017_Table 13'!$C$16)</f>
        <v>92.967334217402438</v>
      </c>
      <c r="D41" s="212">
        <f>IF(C41="","",$B41*'AEO 2017_Table 13'!E$16/'AEO 2017_Table 13'!$C$16)</f>
        <v>97.613218172585064</v>
      </c>
      <c r="E41" s="212">
        <f>IF(D41="","",$B41*'AEO 2017_Table 13'!F$16/'AEO 2017_Table 13'!$C$16)</f>
        <v>102.13980511254451</v>
      </c>
      <c r="F41" s="212">
        <f>IF(E41="","",$B41*'AEO 2017_Table 13'!G$16/'AEO 2017_Table 13'!$C$16)</f>
        <v>105.25037159183506</v>
      </c>
      <c r="G41" s="212">
        <f>IF(F41="","",$B41*'AEO 2017_Table 13'!H$16/'AEO 2017_Table 13'!$C$16)</f>
        <v>108.0201254972941</v>
      </c>
      <c r="H41" s="212">
        <f>IF(G41="","",$B41*'AEO 2017_Table 13'!I$16/'AEO 2017_Table 13'!$C$16)</f>
        <v>108.46293936681812</v>
      </c>
      <c r="I41" s="212">
        <f>IF(H41="","",$B41*'AEO 2017_Table 13'!J$16/'AEO 2017_Table 13'!$C$16)</f>
        <v>109.94646078798925</v>
      </c>
      <c r="J41" s="212">
        <f>IF(I41="","",$B41*'AEO 2017_Table 13'!K$16/'AEO 2017_Table 13'!$C$16)</f>
        <v>111.91955338853397</v>
      </c>
      <c r="K41" s="212">
        <f>IF(J41="","",$B41*'AEO 2017_Table 13'!L$16/'AEO 2017_Table 13'!$C$16)</f>
        <v>113.78085803523197</v>
      </c>
      <c r="L41" s="212">
        <f>IF(K41="","",$B41*'AEO 2017_Table 13'!M$16/'AEO 2017_Table 13'!$C$16)</f>
        <v>115.5167757233226</v>
      </c>
      <c r="M41" s="212">
        <f>IF(L41="","",$B41*'AEO 2017_Table 13'!N$16/'AEO 2017_Table 13'!$C$16)</f>
        <v>117.20077822086084</v>
      </c>
      <c r="N41" s="212">
        <f>IF(M41="","",$B41*'AEO 2017_Table 13'!O$16/'AEO 2017_Table 13'!$C$16)</f>
        <v>117.86241307680537</v>
      </c>
      <c r="O41" s="212">
        <f>IF(N41="","",$B41*'AEO 2017_Table 13'!P$16/'AEO 2017_Table 13'!$C$16)</f>
        <v>118.82095194470156</v>
      </c>
      <c r="P41" s="212">
        <f>IF(O41="","",$B41*'AEO 2017_Table 13'!Q$16/'AEO 2017_Table 13'!$C$16)</f>
        <v>119.53760653080631</v>
      </c>
      <c r="Q41" s="212">
        <f>IF(P41="","",$B41*'AEO 2017_Table 13'!R$16/'AEO 2017_Table 13'!$C$16)</f>
        <v>120.01240486707992</v>
      </c>
      <c r="R41" s="212">
        <f>IF(Q41="","",$B41*'AEO 2017_Table 13'!S$16/'AEO 2017_Table 13'!$C$16)</f>
        <v>120.61489579069902</v>
      </c>
      <c r="S41" s="212">
        <f>IF(R41="","",$B41*'AEO 2017_Table 13'!T$16/'AEO 2017_Table 13'!$C$16)</f>
        <v>121.50351243751847</v>
      </c>
      <c r="T41" s="212">
        <f>IF(S41="","",$B41*'AEO 2017_Table 13'!U$16/'AEO 2017_Table 13'!$C$16)</f>
        <v>122.45334738172865</v>
      </c>
      <c r="U41" s="212">
        <f>IF(T41="","",$B41*'AEO 2017_Table 13'!V$16/'AEO 2017_Table 13'!$C$16)</f>
        <v>123.74537196982212</v>
      </c>
      <c r="V41" s="212">
        <f>IF(U41="","",$B41*'AEO 2017_Table 13'!W$16/'AEO 2017_Table 13'!$C$16)</f>
        <v>125.54797418757003</v>
      </c>
      <c r="W41" s="212">
        <f>IF(V41="","",$B41*'AEO 2017_Table 13'!X$16/'AEO 2017_Table 13'!$C$16)</f>
        <v>126.98569488953825</v>
      </c>
      <c r="X41" s="212">
        <f>IF(W41="","",$B41*'AEO 2017_Table 13'!Y$16/'AEO 2017_Table 13'!$C$16)</f>
        <v>128.23709766310191</v>
      </c>
      <c r="Y41" s="212">
        <f>IF(X41="","",$B41*'AEO 2017_Table 13'!Z$16/'AEO 2017_Table 13'!$C$16)</f>
        <v>129.21003094263344</v>
      </c>
      <c r="Z41" s="212">
        <f>IF(Y41="","",$B41*'AEO 2017_Table 13'!AA$16/'AEO 2017_Table 13'!$C$16)</f>
        <v>130.41285783292034</v>
      </c>
      <c r="AA41" s="212">
        <f>IF(Z41="","",$B41*'AEO 2017_Table 13'!AB$16/'AEO 2017_Table 13'!$C$16)</f>
        <v>131.05921877447383</v>
      </c>
      <c r="AB41" s="212">
        <f>IF(AA41="","",$B41*'AEO 2017_Table 13'!AC$16/'AEO 2017_Table 13'!$C$16)</f>
        <v>131.70317247143299</v>
      </c>
      <c r="AC41" s="212">
        <f>IF(AB41="","",$B41*'AEO 2017_Table 13'!AD$16/'AEO 2017_Table 13'!$C$16)</f>
        <v>132.09238222479405</v>
      </c>
      <c r="AD41" s="212">
        <f>IF(AC41="","",$B41*'AEO 2017_Table 13'!AE$16/'AEO 2017_Table 13'!$C$16)</f>
        <v>132.7657834960919</v>
      </c>
      <c r="AE41" s="212">
        <f>IF(AD41="","",$B41*'AEO 2017_Table 13'!AF$16/'AEO 2017_Table 13'!$C$16)</f>
        <v>133.73493246097735</v>
      </c>
      <c r="AF41" s="212">
        <f>IF(AE41="","",$B41*'AEO 2017_Table 13'!AG$16/'AEO 2017_Table 13'!$C$16)</f>
        <v>134.68595876350201</v>
      </c>
      <c r="AG41" s="212">
        <f>IF(AF41="","",$B41*'AEO 2017_Table 13'!AH$16/'AEO 2017_Table 13'!$C$16)</f>
        <v>135.51228839444275</v>
      </c>
      <c r="AH41" s="212">
        <f>IF(AG41="","",$B41*'AEO 2017_Table 13'!AI$16/'AEO 2017_Table 13'!$C$16)</f>
        <v>136.44099074455048</v>
      </c>
      <c r="AI41" s="212">
        <f>IF(AH41="","",$B41*'AEO 2017_Table 13'!AJ$16/'AEO 2017_Table 13'!$C$16)</f>
        <v>137.20998800860283</v>
      </c>
      <c r="AJ41" s="212">
        <f>IF(AI41="","",$B41*'AEO 2017_Table 13'!AK$16/'AEO 2017_Table 13'!$C$16)</f>
        <v>137.98918540222442</v>
      </c>
      <c r="AK41" s="212">
        <f>IF(AJ41="","",$B41*'AEO 2017_Table 13'!AL$16/'AEO 2017_Table 13'!$C$16)</f>
        <v>138.97139726062898</v>
      </c>
    </row>
    <row r="42" spans="1:37" x14ac:dyDescent="0.25">
      <c r="A42" s="211" t="s">
        <v>1423</v>
      </c>
      <c r="B42" s="212">
        <v>895.20858079894367</v>
      </c>
      <c r="C42" s="212">
        <f>IF(B42="","",$B42*'AEO 2017_Table 13'!D$16/'AEO 2017_Table 13'!$C$16)</f>
        <v>878.63074837194688</v>
      </c>
      <c r="D42" s="212">
        <f>IF(C42="","",$B42*'AEO 2017_Table 13'!E$16/'AEO 2017_Table 13'!$C$16)</f>
        <v>922.53882136074105</v>
      </c>
      <c r="E42" s="212">
        <f>IF(D42="","",$B42*'AEO 2017_Table 13'!F$16/'AEO 2017_Table 13'!$C$16)</f>
        <v>965.31942278496444</v>
      </c>
      <c r="F42" s="212">
        <f>IF(E42="","",$B42*'AEO 2017_Table 13'!G$16/'AEO 2017_Table 13'!$C$16)</f>
        <v>994.71726856129465</v>
      </c>
      <c r="G42" s="212">
        <f>IF(F42="","",$B42*'AEO 2017_Table 13'!H$16/'AEO 2017_Table 13'!$C$16)</f>
        <v>1020.8941076332712</v>
      </c>
      <c r="H42" s="212">
        <f>IF(G42="","",$B42*'AEO 2017_Table 13'!I$16/'AEO 2017_Table 13'!$C$16)</f>
        <v>1025.0791247131363</v>
      </c>
      <c r="I42" s="212">
        <f>IF(H42="","",$B42*'AEO 2017_Table 13'!J$16/'AEO 2017_Table 13'!$C$16)</f>
        <v>1039.0998293776508</v>
      </c>
      <c r="J42" s="212">
        <f>IF(I42="","",$B42*'AEO 2017_Table 13'!K$16/'AEO 2017_Table 13'!$C$16)</f>
        <v>1057.7474526833778</v>
      </c>
      <c r="K42" s="212">
        <f>IF(J42="","",$B42*'AEO 2017_Table 13'!L$16/'AEO 2017_Table 13'!$C$16)</f>
        <v>1075.3385722786984</v>
      </c>
      <c r="L42" s="212">
        <f>IF(K42="","",$B42*'AEO 2017_Table 13'!M$16/'AEO 2017_Table 13'!$C$16)</f>
        <v>1091.744664485585</v>
      </c>
      <c r="M42" s="212">
        <f>IF(L42="","",$B42*'AEO 2017_Table 13'!N$16/'AEO 2017_Table 13'!$C$16)</f>
        <v>1107.6601081962995</v>
      </c>
      <c r="N42" s="212">
        <f>IF(M42="","",$B42*'AEO 2017_Table 13'!O$16/'AEO 2017_Table 13'!$C$16)</f>
        <v>1113.9131941164367</v>
      </c>
      <c r="O42" s="212">
        <f>IF(N42="","",$B42*'AEO 2017_Table 13'!P$16/'AEO 2017_Table 13'!$C$16)</f>
        <v>1122.972308588556</v>
      </c>
      <c r="P42" s="212">
        <f>IF(O42="","",$B42*'AEO 2017_Table 13'!Q$16/'AEO 2017_Table 13'!$C$16)</f>
        <v>1129.745383890908</v>
      </c>
      <c r="Q42" s="212">
        <f>IF(P42="","",$B42*'AEO 2017_Table 13'!R$16/'AEO 2017_Table 13'!$C$16)</f>
        <v>1134.2326849524864</v>
      </c>
      <c r="R42" s="212">
        <f>IF(Q42="","",$B42*'AEO 2017_Table 13'!S$16/'AEO 2017_Table 13'!$C$16)</f>
        <v>1139.9268038122229</v>
      </c>
      <c r="S42" s="212">
        <f>IF(R42="","",$B42*'AEO 2017_Table 13'!T$16/'AEO 2017_Table 13'!$C$16)</f>
        <v>1148.3250860258972</v>
      </c>
      <c r="T42" s="212">
        <f>IF(S42="","",$B42*'AEO 2017_Table 13'!U$16/'AEO 2017_Table 13'!$C$16)</f>
        <v>1157.3019400454998</v>
      </c>
      <c r="U42" s="212">
        <f>IF(T42="","",$B42*'AEO 2017_Table 13'!V$16/'AEO 2017_Table 13'!$C$16)</f>
        <v>1169.5128154062675</v>
      </c>
      <c r="V42" s="212">
        <f>IF(U42="","",$B42*'AEO 2017_Table 13'!W$16/'AEO 2017_Table 13'!$C$16)</f>
        <v>1186.5491405728367</v>
      </c>
      <c r="W42" s="212">
        <f>IF(V42="","",$B42*'AEO 2017_Table 13'!X$16/'AEO 2017_Table 13'!$C$16)</f>
        <v>1200.1369843779105</v>
      </c>
      <c r="X42" s="212">
        <f>IF(W42="","",$B42*'AEO 2017_Table 13'!Y$16/'AEO 2017_Table 13'!$C$16)</f>
        <v>1211.9639445108078</v>
      </c>
      <c r="Y42" s="212">
        <f>IF(X42="","",$B42*'AEO 2017_Table 13'!Z$16/'AEO 2017_Table 13'!$C$16)</f>
        <v>1221.1591000211479</v>
      </c>
      <c r="Z42" s="212">
        <f>IF(Y42="","",$B42*'AEO 2017_Table 13'!AA$16/'AEO 2017_Table 13'!$C$16)</f>
        <v>1232.5269713242369</v>
      </c>
      <c r="AA42" s="212">
        <f>IF(Z42="","",$B42*'AEO 2017_Table 13'!AB$16/'AEO 2017_Table 13'!$C$16)</f>
        <v>1238.6357040589785</v>
      </c>
      <c r="AB42" s="212">
        <f>IF(AA42="","",$B42*'AEO 2017_Table 13'!AC$16/'AEO 2017_Table 13'!$C$16)</f>
        <v>1244.7216860163942</v>
      </c>
      <c r="AC42" s="212">
        <f>IF(AB42="","",$B42*'AEO 2017_Table 13'!AD$16/'AEO 2017_Table 13'!$C$16)</f>
        <v>1248.4000926282217</v>
      </c>
      <c r="AD42" s="212">
        <f>IF(AC42="","",$B42*'AEO 2017_Table 13'!AE$16/'AEO 2017_Table 13'!$C$16)</f>
        <v>1254.7643824934278</v>
      </c>
      <c r="AE42" s="212">
        <f>IF(AD42="","",$B42*'AEO 2017_Table 13'!AF$16/'AEO 2017_Table 13'!$C$16)</f>
        <v>1263.9237725896298</v>
      </c>
      <c r="AF42" s="212">
        <f>IF(AE42="","",$B42*'AEO 2017_Table 13'!AG$16/'AEO 2017_Table 13'!$C$16)</f>
        <v>1272.9118860914612</v>
      </c>
      <c r="AG42" s="212">
        <f>IF(AF42="","",$B42*'AEO 2017_Table 13'!AH$16/'AEO 2017_Table 13'!$C$16)</f>
        <v>1280.7214960813262</v>
      </c>
      <c r="AH42" s="212">
        <f>IF(AG42="","",$B42*'AEO 2017_Table 13'!AI$16/'AEO 2017_Table 13'!$C$16)</f>
        <v>1289.4986267558679</v>
      </c>
      <c r="AI42" s="212">
        <f>IF(AH42="","",$B42*'AEO 2017_Table 13'!AJ$16/'AEO 2017_Table 13'!$C$16)</f>
        <v>1296.7663907215453</v>
      </c>
      <c r="AJ42" s="212">
        <f>IF(AI42="","",$B42*'AEO 2017_Table 13'!AK$16/'AEO 2017_Table 13'!$C$16)</f>
        <v>1304.1305557247733</v>
      </c>
      <c r="AK42" s="212">
        <f>IF(AJ42="","",$B42*'AEO 2017_Table 13'!AL$16/'AEO 2017_Table 13'!$C$16)</f>
        <v>1313.4134027319992</v>
      </c>
    </row>
    <row r="43" spans="1:37" x14ac:dyDescent="0.25">
      <c r="A43" s="211" t="s">
        <v>1424</v>
      </c>
      <c r="B43" s="212">
        <v>121.39771968651085</v>
      </c>
      <c r="C43" s="212">
        <f>IF(B43="","",$B43*'AEO 2017_Table 13'!D$16/'AEO 2017_Table 13'!$C$16)</f>
        <v>119.14962790416175</v>
      </c>
      <c r="D43" s="212">
        <f>IF(C43="","",$B43*'AEO 2017_Table 13'!E$16/'AEO 2017_Table 13'!$C$16)</f>
        <v>125.10392732777916</v>
      </c>
      <c r="E43" s="212">
        <f>IF(D43="","",$B43*'AEO 2017_Table 13'!F$16/'AEO 2017_Table 13'!$C$16)</f>
        <v>130.90533224179731</v>
      </c>
      <c r="F43" s="212">
        <f>IF(E43="","",$B43*'AEO 2017_Table 13'!G$16/'AEO 2017_Table 13'!$C$16)</f>
        <v>134.89192432490395</v>
      </c>
      <c r="G43" s="212">
        <f>IF(F43="","",$B43*'AEO 2017_Table 13'!H$16/'AEO 2017_Table 13'!$C$16)</f>
        <v>138.44172114331988</v>
      </c>
      <c r="H43" s="212">
        <f>IF(G43="","",$B43*'AEO 2017_Table 13'!I$16/'AEO 2017_Table 13'!$C$16)</f>
        <v>139.00924422256841</v>
      </c>
      <c r="I43" s="212">
        <f>IF(H43="","",$B43*'AEO 2017_Table 13'!J$16/'AEO 2017_Table 13'!$C$16)</f>
        <v>140.91056823931436</v>
      </c>
      <c r="J43" s="212">
        <f>IF(I43="","",$B43*'AEO 2017_Table 13'!K$16/'AEO 2017_Table 13'!$C$16)</f>
        <v>143.43934085772241</v>
      </c>
      <c r="K43" s="212">
        <f>IF(J43="","",$B43*'AEO 2017_Table 13'!L$16/'AEO 2017_Table 13'!$C$16)</f>
        <v>145.8248427970567</v>
      </c>
      <c r="L43" s="212">
        <f>IF(K43="","",$B43*'AEO 2017_Table 13'!M$16/'AEO 2017_Table 13'!$C$16)</f>
        <v>148.04964517898341</v>
      </c>
      <c r="M43" s="212">
        <f>IF(L43="","",$B43*'AEO 2017_Table 13'!N$16/'AEO 2017_Table 13'!$C$16)</f>
        <v>150.20791154921349</v>
      </c>
      <c r="N43" s="212">
        <f>IF(M43="","",$B43*'AEO 2017_Table 13'!O$16/'AEO 2017_Table 13'!$C$16)</f>
        <v>151.05588194180174</v>
      </c>
      <c r="O43" s="212">
        <f>IF(N43="","",$B43*'AEO 2017_Table 13'!P$16/'AEO 2017_Table 13'!$C$16)</f>
        <v>152.28437311456605</v>
      </c>
      <c r="P43" s="212">
        <f>IF(O43="","",$B43*'AEO 2017_Table 13'!Q$16/'AEO 2017_Table 13'!$C$16)</f>
        <v>153.20285838672103</v>
      </c>
      <c r="Q43" s="212">
        <f>IF(P43="","",$B43*'AEO 2017_Table 13'!R$16/'AEO 2017_Table 13'!$C$16)</f>
        <v>153.81137368483874</v>
      </c>
      <c r="R43" s="212">
        <f>IF(Q43="","",$B43*'AEO 2017_Table 13'!S$16/'AEO 2017_Table 13'!$C$16)</f>
        <v>154.58354350092685</v>
      </c>
      <c r="S43" s="212">
        <f>IF(R43="","",$B43*'AEO 2017_Table 13'!T$16/'AEO 2017_Table 13'!$C$16)</f>
        <v>155.72242033018372</v>
      </c>
      <c r="T43" s="212">
        <f>IF(S43="","",$B43*'AEO 2017_Table 13'!U$16/'AEO 2017_Table 13'!$C$16)</f>
        <v>156.93975630228294</v>
      </c>
      <c r="U43" s="212">
        <f>IF(T43="","",$B43*'AEO 2017_Table 13'!V$16/'AEO 2017_Table 13'!$C$16)</f>
        <v>158.59565243193177</v>
      </c>
      <c r="V43" s="212">
        <f>IF(U43="","",$B43*'AEO 2017_Table 13'!W$16/'AEO 2017_Table 13'!$C$16)</f>
        <v>160.90591963827785</v>
      </c>
      <c r="W43" s="212">
        <f>IF(V43="","",$B43*'AEO 2017_Table 13'!X$16/'AEO 2017_Table 13'!$C$16)</f>
        <v>162.74854412688617</v>
      </c>
      <c r="X43" s="212">
        <f>IF(W43="","",$B43*'AEO 2017_Table 13'!Y$16/'AEO 2017_Table 13'!$C$16)</f>
        <v>164.35237816260963</v>
      </c>
      <c r="Y43" s="212">
        <f>IF(X43="","",$B43*'AEO 2017_Table 13'!Z$16/'AEO 2017_Table 13'!$C$16)</f>
        <v>165.59931763019367</v>
      </c>
      <c r="Z43" s="212">
        <f>IF(Y43="","",$B43*'AEO 2017_Table 13'!AA$16/'AEO 2017_Table 13'!$C$16)</f>
        <v>167.14089540713266</v>
      </c>
      <c r="AA43" s="212">
        <f>IF(Z43="","",$B43*'AEO 2017_Table 13'!AB$16/'AEO 2017_Table 13'!$C$16)</f>
        <v>167.96929030869867</v>
      </c>
      <c r="AB43" s="212">
        <f>IF(AA43="","",$B43*'AEO 2017_Table 13'!AC$16/'AEO 2017_Table 13'!$C$16)</f>
        <v>168.79460001587788</v>
      </c>
      <c r="AC43" s="212">
        <f>IF(AB43="","",$B43*'AEO 2017_Table 13'!AD$16/'AEO 2017_Table 13'!$C$16)</f>
        <v>169.29342250745535</v>
      </c>
      <c r="AD43" s="212">
        <f>IF(AC43="","",$B43*'AEO 2017_Table 13'!AE$16/'AEO 2017_Table 13'!$C$16)</f>
        <v>170.1564730787205</v>
      </c>
      <c r="AE43" s="212">
        <f>IF(AD43="","",$B43*'AEO 2017_Table 13'!AF$16/'AEO 2017_Table 13'!$C$16)</f>
        <v>171.39856245905887</v>
      </c>
      <c r="AF43" s="212">
        <f>IF(AE43="","",$B43*'AEO 2017_Table 13'!AG$16/'AEO 2017_Table 13'!$C$16)</f>
        <v>172.61742531047616</v>
      </c>
      <c r="AG43" s="212">
        <f>IF(AF43="","",$B43*'AEO 2017_Table 13'!AH$16/'AEO 2017_Table 13'!$C$16)</f>
        <v>173.67647329632601</v>
      </c>
      <c r="AH43" s="212">
        <f>IF(AG43="","",$B43*'AEO 2017_Table 13'!AI$16/'AEO 2017_Table 13'!$C$16)</f>
        <v>174.86672512381514</v>
      </c>
      <c r="AI43" s="212">
        <f>IF(AH43="","",$B43*'AEO 2017_Table 13'!AJ$16/'AEO 2017_Table 13'!$C$16)</f>
        <v>175.85229428789262</v>
      </c>
      <c r="AJ43" s="212">
        <f>IF(AI43="","",$B43*'AEO 2017_Table 13'!AK$16/'AEO 2017_Table 13'!$C$16)</f>
        <v>176.85093623342584</v>
      </c>
      <c r="AK43" s="212">
        <f>IF(AJ43="","",$B43*'AEO 2017_Table 13'!AL$16/'AEO 2017_Table 13'!$C$16)</f>
        <v>178.10976739640495</v>
      </c>
    </row>
    <row r="44" spans="1:37" x14ac:dyDescent="0.25">
      <c r="A44" s="214" t="s">
        <v>1425</v>
      </c>
      <c r="B44" s="198">
        <v>66.84136483251666</v>
      </c>
      <c r="C44" s="198">
        <f>IF(B44="","",$B44*'AEO 2017_Table 13'!D$16/'AEO 2017_Table 13'!$C$16)</f>
        <v>65.603569564294034</v>
      </c>
      <c r="D44" s="198">
        <f>IF(C44="","",$B44*'AEO 2017_Table 13'!E$16/'AEO 2017_Table 13'!$C$16)</f>
        <v>68.881996054707585</v>
      </c>
      <c r="E44" s="198">
        <f>IF(D44="","",$B44*'AEO 2017_Table 13'!F$16/'AEO 2017_Table 13'!$C$16)</f>
        <v>72.076239104745113</v>
      </c>
      <c r="F44" s="198">
        <f>IF(E44="","",$B44*'AEO 2017_Table 13'!G$16/'AEO 2017_Table 13'!$C$16)</f>
        <v>74.271249493354276</v>
      </c>
      <c r="G44" s="198">
        <f>IF(F44="","",$B44*'AEO 2017_Table 13'!H$16/'AEO 2017_Table 13'!$C$16)</f>
        <v>76.225761199453558</v>
      </c>
      <c r="H44" s="198">
        <f>IF(G44="","",$B44*'AEO 2017_Table 13'!I$16/'AEO 2017_Table 13'!$C$16)</f>
        <v>76.538238380152535</v>
      </c>
      <c r="I44" s="198">
        <f>IF(H44="","",$B44*'AEO 2017_Table 13'!J$16/'AEO 2017_Table 13'!$C$16)</f>
        <v>77.585103943989509</v>
      </c>
      <c r="J44" s="198">
        <f>IF(I44="","",$B44*'AEO 2017_Table 13'!K$16/'AEO 2017_Table 13'!$C$16)</f>
        <v>78.977441572751999</v>
      </c>
      <c r="K44" s="198">
        <f>IF(J44="","",$B44*'AEO 2017_Table 13'!L$16/'AEO 2017_Table 13'!$C$16)</f>
        <v>80.290894624814882</v>
      </c>
      <c r="L44" s="198">
        <f>IF(K44="","",$B44*'AEO 2017_Table 13'!M$16/'AEO 2017_Table 13'!$C$16)</f>
        <v>81.515866791298961</v>
      </c>
      <c r="M44" s="198">
        <f>IF(L44="","",$B44*'AEO 2017_Table 13'!N$16/'AEO 2017_Table 13'!$C$16)</f>
        <v>82.704204350116626</v>
      </c>
      <c r="N44" s="198">
        <f>IF(M44="","",$B44*'AEO 2017_Table 13'!O$16/'AEO 2017_Table 13'!$C$16)</f>
        <v>83.171095314168753</v>
      </c>
      <c r="O44" s="198">
        <f>IF(N44="","",$B44*'AEO 2017_Table 13'!P$16/'AEO 2017_Table 13'!$C$16)</f>
        <v>83.847500331366049</v>
      </c>
      <c r="P44" s="198">
        <f>IF(O44="","",$B44*'AEO 2017_Table 13'!Q$16/'AEO 2017_Table 13'!$C$16)</f>
        <v>84.353216660535494</v>
      </c>
      <c r="Q44" s="198">
        <f>IF(P44="","",$B44*'AEO 2017_Table 13'!R$16/'AEO 2017_Table 13'!$C$16)</f>
        <v>84.688264082782709</v>
      </c>
      <c r="R44" s="198">
        <f>IF(Q44="","",$B44*'AEO 2017_Table 13'!S$16/'AEO 2017_Table 13'!$C$16)</f>
        <v>85.113419386548557</v>
      </c>
      <c r="S44" s="198">
        <f>IF(R44="","",$B44*'AEO 2017_Table 13'!T$16/'AEO 2017_Table 13'!$C$16)</f>
        <v>85.740482908336588</v>
      </c>
      <c r="T44" s="198">
        <f>IF(S44="","",$B44*'AEO 2017_Table 13'!U$16/'AEO 2017_Table 13'!$C$16)</f>
        <v>86.410745892229116</v>
      </c>
      <c r="U44" s="198">
        <f>IF(T44="","",$B44*'AEO 2017_Table 13'!V$16/'AEO 2017_Table 13'!$C$16)</f>
        <v>87.322479305446663</v>
      </c>
      <c r="V44" s="198">
        <f>IF(U44="","",$B44*'AEO 2017_Table 13'!W$16/'AEO 2017_Table 13'!$C$16)</f>
        <v>88.594508249637244</v>
      </c>
      <c r="W44" s="198">
        <f>IF(V44="","",$B44*'AEO 2017_Table 13'!X$16/'AEO 2017_Table 13'!$C$16)</f>
        <v>89.609053959478004</v>
      </c>
      <c r="X44" s="198">
        <f>IF(W44="","",$B44*'AEO 2017_Table 13'!Y$16/'AEO 2017_Table 13'!$C$16)</f>
        <v>90.492122077968446</v>
      </c>
      <c r="Y44" s="198">
        <f>IF(X44="","",$B44*'AEO 2017_Table 13'!Z$16/'AEO 2017_Table 13'!$C$16)</f>
        <v>91.178684692917727</v>
      </c>
      <c r="Z44" s="198">
        <f>IF(Y44="","",$B44*'AEO 2017_Table 13'!AA$16/'AEO 2017_Table 13'!$C$16)</f>
        <v>92.027474627952458</v>
      </c>
      <c r="AA44" s="198">
        <f>IF(Z44="","",$B44*'AEO 2017_Table 13'!AB$16/'AEO 2017_Table 13'!$C$16)</f>
        <v>92.483587362062764</v>
      </c>
      <c r="AB44" s="198">
        <f>IF(AA44="","",$B44*'AEO 2017_Table 13'!AC$16/'AEO 2017_Table 13'!$C$16)</f>
        <v>92.938001393725273</v>
      </c>
      <c r="AC44" s="198">
        <f>IF(AB44="","",$B44*'AEO 2017_Table 13'!AD$16/'AEO 2017_Table 13'!$C$16)</f>
        <v>93.212652155142308</v>
      </c>
      <c r="AD44" s="198">
        <f>IF(AC44="","",$B44*'AEO 2017_Table 13'!AE$16/'AEO 2017_Table 13'!$C$16)</f>
        <v>93.687846238291613</v>
      </c>
      <c r="AE44" s="198">
        <f>IF(AD44="","",$B44*'AEO 2017_Table 13'!AF$16/'AEO 2017_Table 13'!$C$16)</f>
        <v>94.371738403977957</v>
      </c>
      <c r="AF44" s="198">
        <f>IF(AE44="","",$B44*'AEO 2017_Table 13'!AG$16/'AEO 2017_Table 13'!$C$16)</f>
        <v>95.042842084860681</v>
      </c>
      <c r="AG44" s="198">
        <f>IF(AF44="","",$B44*'AEO 2017_Table 13'!AH$16/'AEO 2017_Table 13'!$C$16)</f>
        <v>95.625951989891263</v>
      </c>
      <c r="AH44" s="198">
        <f>IF(AG44="","",$B44*'AEO 2017_Table 13'!AI$16/'AEO 2017_Table 13'!$C$16)</f>
        <v>96.281302492760815</v>
      </c>
      <c r="AI44" s="198">
        <f>IF(AH44="","",$B44*'AEO 2017_Table 13'!AJ$16/'AEO 2017_Table 13'!$C$16)</f>
        <v>96.823955091457861</v>
      </c>
      <c r="AJ44" s="198">
        <f>IF(AI44="","",$B44*'AEO 2017_Table 13'!AK$16/'AEO 2017_Table 13'!$C$16)</f>
        <v>97.373805539973787</v>
      </c>
      <c r="AK44" s="198">
        <f>IF(AJ44="","",$B44*'AEO 2017_Table 13'!AL$16/'AEO 2017_Table 13'!$C$16)</f>
        <v>98.066915700893702</v>
      </c>
    </row>
    <row r="45" spans="1:37" x14ac:dyDescent="0.25">
      <c r="A45" s="214" t="s">
        <v>1426</v>
      </c>
      <c r="B45" s="198">
        <v>20.841796264438287</v>
      </c>
      <c r="C45" s="198">
        <f>IF(B45="","",$B45*'AEO 2017_Table 13'!D$16/'AEO 2017_Table 13'!$C$16)</f>
        <v>20.455839501556156</v>
      </c>
      <c r="D45" s="198">
        <f>IF(C45="","",$B45*'AEO 2017_Table 13'!E$16/'AEO 2017_Table 13'!$C$16)</f>
        <v>21.478085189572038</v>
      </c>
      <c r="E45" s="198">
        <f>IF(D45="","",$B45*'AEO 2017_Table 13'!F$16/'AEO 2017_Table 13'!$C$16)</f>
        <v>22.474081651265973</v>
      </c>
      <c r="F45" s="198">
        <f>IF(E45="","",$B45*'AEO 2017_Table 13'!G$16/'AEO 2017_Table 13'!$C$16)</f>
        <v>23.158507521867925</v>
      </c>
      <c r="G45" s="198">
        <f>IF(F45="","",$B45*'AEO 2017_Table 13'!H$16/'AEO 2017_Table 13'!$C$16)</f>
        <v>23.767943533191922</v>
      </c>
      <c r="H45" s="198">
        <f>IF(G45="","",$B45*'AEO 2017_Table 13'!I$16/'AEO 2017_Table 13'!$C$16)</f>
        <v>23.86537699754042</v>
      </c>
      <c r="I45" s="198">
        <f>IF(H45="","",$B45*'AEO 2017_Table 13'!J$16/'AEO 2017_Table 13'!$C$16)</f>
        <v>24.191799997017117</v>
      </c>
      <c r="J45" s="198">
        <f>IF(I45="","",$B45*'AEO 2017_Table 13'!K$16/'AEO 2017_Table 13'!$C$16)</f>
        <v>24.625944590902822</v>
      </c>
      <c r="K45" s="198">
        <f>IF(J45="","",$B45*'AEO 2017_Table 13'!L$16/'AEO 2017_Table 13'!$C$16)</f>
        <v>25.035492196380233</v>
      </c>
      <c r="L45" s="198">
        <f>IF(K45="","",$B45*'AEO 2017_Table 13'!M$16/'AEO 2017_Table 13'!$C$16)</f>
        <v>25.417450589770919</v>
      </c>
      <c r="M45" s="198">
        <f>IF(L45="","",$B45*'AEO 2017_Table 13'!N$16/'AEO 2017_Table 13'!$C$16)</f>
        <v>25.787985951463732</v>
      </c>
      <c r="N45" s="198">
        <f>IF(M45="","",$B45*'AEO 2017_Table 13'!O$16/'AEO 2017_Table 13'!$C$16)</f>
        <v>25.93356715518188</v>
      </c>
      <c r="O45" s="198">
        <f>IF(N45="","",$B45*'AEO 2017_Table 13'!P$16/'AEO 2017_Table 13'!$C$16)</f>
        <v>26.144476905394093</v>
      </c>
      <c r="P45" s="198">
        <f>IF(O45="","",$B45*'AEO 2017_Table 13'!Q$16/'AEO 2017_Table 13'!$C$16)</f>
        <v>26.302164240572829</v>
      </c>
      <c r="Q45" s="198">
        <f>IF(P45="","",$B45*'AEO 2017_Table 13'!R$16/'AEO 2017_Table 13'!$C$16)</f>
        <v>26.406635328661753</v>
      </c>
      <c r="R45" s="198">
        <f>IF(Q45="","",$B45*'AEO 2017_Table 13'!S$16/'AEO 2017_Table 13'!$C$16)</f>
        <v>26.539202942205197</v>
      </c>
      <c r="S45" s="198">
        <f>IF(R45="","",$B45*'AEO 2017_Table 13'!T$16/'AEO 2017_Table 13'!$C$16)</f>
        <v>26.734727527897221</v>
      </c>
      <c r="T45" s="198">
        <f>IF(S45="","",$B45*'AEO 2017_Table 13'!U$16/'AEO 2017_Table 13'!$C$16)</f>
        <v>26.943722131596378</v>
      </c>
      <c r="U45" s="198">
        <f>IF(T45="","",$B45*'AEO 2017_Table 13'!V$16/'AEO 2017_Table 13'!$C$16)</f>
        <v>27.228009594806835</v>
      </c>
      <c r="V45" s="198">
        <f>IF(U45="","",$B45*'AEO 2017_Table 13'!W$16/'AEO 2017_Table 13'!$C$16)</f>
        <v>27.624640755222512</v>
      </c>
      <c r="W45" s="198">
        <f>IF(V45="","",$B45*'AEO 2017_Table 13'!X$16/'AEO 2017_Table 13'!$C$16)</f>
        <v>27.940986105716828</v>
      </c>
      <c r="X45" s="198">
        <f>IF(W45="","",$B45*'AEO 2017_Table 13'!Y$16/'AEO 2017_Table 13'!$C$16)</f>
        <v>28.21633544754004</v>
      </c>
      <c r="Y45" s="198">
        <f>IF(X45="","",$B45*'AEO 2017_Table 13'!Z$16/'AEO 2017_Table 13'!$C$16)</f>
        <v>28.430412436832633</v>
      </c>
      <c r="Z45" s="198">
        <f>IF(Y45="","",$B45*'AEO 2017_Table 13'!AA$16/'AEO 2017_Table 13'!$C$16)</f>
        <v>28.695073503249006</v>
      </c>
      <c r="AA45" s="198">
        <f>IF(Z45="","",$B45*'AEO 2017_Table 13'!AB$16/'AEO 2017_Table 13'!$C$16)</f>
        <v>28.83729394865377</v>
      </c>
      <c r="AB45" s="198">
        <f>IF(AA45="","",$B45*'AEO 2017_Table 13'!AC$16/'AEO 2017_Table 13'!$C$16)</f>
        <v>28.9789847218949</v>
      </c>
      <c r="AC45" s="198">
        <f>IF(AB45="","",$B45*'AEO 2017_Table 13'!AD$16/'AEO 2017_Table 13'!$C$16)</f>
        <v>29.064623535938722</v>
      </c>
      <c r="AD45" s="198">
        <f>IF(AC45="","",$B45*'AEO 2017_Table 13'!AE$16/'AEO 2017_Table 13'!$C$16)</f>
        <v>29.212793734017119</v>
      </c>
      <c r="AE45" s="198">
        <f>IF(AD45="","",$B45*'AEO 2017_Table 13'!AF$16/'AEO 2017_Table 13'!$C$16)</f>
        <v>29.426038050912727</v>
      </c>
      <c r="AF45" s="198">
        <f>IF(AE45="","",$B45*'AEO 2017_Table 13'!AG$16/'AEO 2017_Table 13'!$C$16)</f>
        <v>29.635294792218343</v>
      </c>
      <c r="AG45" s="198">
        <f>IF(AF45="","",$B45*'AEO 2017_Table 13'!AH$16/'AEO 2017_Table 13'!$C$16)</f>
        <v>29.817114207050388</v>
      </c>
      <c r="AH45" s="198">
        <f>IF(AG45="","",$B45*'AEO 2017_Table 13'!AI$16/'AEO 2017_Table 13'!$C$16)</f>
        <v>30.021458952206753</v>
      </c>
      <c r="AI45" s="198">
        <f>IF(AH45="","",$B45*'AEO 2017_Table 13'!AJ$16/'AEO 2017_Table 13'!$C$16)</f>
        <v>30.190663380224507</v>
      </c>
      <c r="AJ45" s="198">
        <f>IF(AI45="","",$B45*'AEO 2017_Table 13'!AK$16/'AEO 2017_Table 13'!$C$16)</f>
        <v>30.362112168749306</v>
      </c>
      <c r="AK45" s="198">
        <f>IF(AJ45="","",$B45*'AEO 2017_Table 13'!AL$16/'AEO 2017_Table 13'!$C$16)</f>
        <v>30.578230747400429</v>
      </c>
    </row>
    <row r="46" spans="1:37" x14ac:dyDescent="0.25">
      <c r="A46" s="209" t="s">
        <v>1427</v>
      </c>
      <c r="B46" s="193"/>
      <c r="C46" s="193" t="str">
        <f>IF(B46="","",$B46*'AEO 2017_Table 13'!D$16/'AEO 2017_Table 13'!$C$16)</f>
        <v/>
      </c>
      <c r="D46" s="193" t="str">
        <f>IF(C46="","",$B46*'AEO 2017_Table 13'!E$16/'AEO 2017_Table 13'!$C$16)</f>
        <v/>
      </c>
      <c r="E46" s="193" t="str">
        <f>IF(D46="","",$B46*'AEO 2017_Table 13'!F$16/'AEO 2017_Table 13'!$C$16)</f>
        <v/>
      </c>
      <c r="F46" s="193" t="str">
        <f>IF(E46="","",$B46*'AEO 2017_Table 13'!G$16/'AEO 2017_Table 13'!$C$16)</f>
        <v/>
      </c>
      <c r="G46" s="193" t="str">
        <f>IF(F46="","",$B46*'AEO 2017_Table 13'!H$16/'AEO 2017_Table 13'!$C$16)</f>
        <v/>
      </c>
      <c r="H46" s="193" t="str">
        <f>IF(G46="","",$B46*'AEO 2017_Table 13'!I$16/'AEO 2017_Table 13'!$C$16)</f>
        <v/>
      </c>
      <c r="I46" s="193" t="str">
        <f>IF(H46="","",$B46*'AEO 2017_Table 13'!J$16/'AEO 2017_Table 13'!$C$16)</f>
        <v/>
      </c>
      <c r="J46" s="193" t="str">
        <f>IF(I46="","",$B46*'AEO 2017_Table 13'!K$16/'AEO 2017_Table 13'!$C$16)</f>
        <v/>
      </c>
      <c r="K46" s="193" t="str">
        <f>IF(J46="","",$B46*'AEO 2017_Table 13'!L$16/'AEO 2017_Table 13'!$C$16)</f>
        <v/>
      </c>
      <c r="L46" s="193" t="str">
        <f>IF(K46="","",$B46*'AEO 2017_Table 13'!M$16/'AEO 2017_Table 13'!$C$16)</f>
        <v/>
      </c>
      <c r="M46" s="193" t="str">
        <f>IF(L46="","",$B46*'AEO 2017_Table 13'!N$16/'AEO 2017_Table 13'!$C$16)</f>
        <v/>
      </c>
      <c r="N46" s="193" t="str">
        <f>IF(M46="","",$B46*'AEO 2017_Table 13'!O$16/'AEO 2017_Table 13'!$C$16)</f>
        <v/>
      </c>
      <c r="O46" s="193" t="str">
        <f>IF(N46="","",$B46*'AEO 2017_Table 13'!P$16/'AEO 2017_Table 13'!$C$16)</f>
        <v/>
      </c>
      <c r="P46" s="193" t="str">
        <f>IF(O46="","",$B46*'AEO 2017_Table 13'!Q$16/'AEO 2017_Table 13'!$C$16)</f>
        <v/>
      </c>
      <c r="Q46" s="193" t="str">
        <f>IF(P46="","",$B46*'AEO 2017_Table 13'!R$16/'AEO 2017_Table 13'!$C$16)</f>
        <v/>
      </c>
      <c r="R46" s="193" t="str">
        <f>IF(Q46="","",$B46*'AEO 2017_Table 13'!S$16/'AEO 2017_Table 13'!$C$16)</f>
        <v/>
      </c>
      <c r="S46" s="193" t="str">
        <f>IF(R46="","",$B46*'AEO 2017_Table 13'!T$16/'AEO 2017_Table 13'!$C$16)</f>
        <v/>
      </c>
      <c r="T46" s="193" t="str">
        <f>IF(S46="","",$B46*'AEO 2017_Table 13'!U$16/'AEO 2017_Table 13'!$C$16)</f>
        <v/>
      </c>
      <c r="U46" s="193" t="str">
        <f>IF(T46="","",$B46*'AEO 2017_Table 13'!V$16/'AEO 2017_Table 13'!$C$16)</f>
        <v/>
      </c>
      <c r="V46" s="193" t="str">
        <f>IF(U46="","",$B46*'AEO 2017_Table 13'!W$16/'AEO 2017_Table 13'!$C$16)</f>
        <v/>
      </c>
      <c r="W46" s="193" t="str">
        <f>IF(V46="","",$B46*'AEO 2017_Table 13'!X$16/'AEO 2017_Table 13'!$C$16)</f>
        <v/>
      </c>
      <c r="X46" s="193" t="str">
        <f>IF(W46="","",$B46*'AEO 2017_Table 13'!Y$16/'AEO 2017_Table 13'!$C$16)</f>
        <v/>
      </c>
      <c r="Y46" s="193" t="str">
        <f>IF(X46="","",$B46*'AEO 2017_Table 13'!Z$16/'AEO 2017_Table 13'!$C$16)</f>
        <v/>
      </c>
      <c r="Z46" s="193" t="str">
        <f>IF(Y46="","",$B46*'AEO 2017_Table 13'!AA$16/'AEO 2017_Table 13'!$C$16)</f>
        <v/>
      </c>
      <c r="AA46" s="193" t="str">
        <f>IF(Z46="","",$B46*'AEO 2017_Table 13'!AB$16/'AEO 2017_Table 13'!$C$16)</f>
        <v/>
      </c>
      <c r="AB46" s="193" t="str">
        <f>IF(AA46="","",$B46*'AEO 2017_Table 13'!AC$16/'AEO 2017_Table 13'!$C$16)</f>
        <v/>
      </c>
      <c r="AC46" s="193" t="str">
        <f>IF(AB46="","",$B46*'AEO 2017_Table 13'!AD$16/'AEO 2017_Table 13'!$C$16)</f>
        <v/>
      </c>
      <c r="AD46" s="193" t="str">
        <f>IF(AC46="","",$B46*'AEO 2017_Table 13'!AE$16/'AEO 2017_Table 13'!$C$16)</f>
        <v/>
      </c>
      <c r="AE46" s="193" t="str">
        <f>IF(AD46="","",$B46*'AEO 2017_Table 13'!AF$16/'AEO 2017_Table 13'!$C$16)</f>
        <v/>
      </c>
      <c r="AF46" s="193" t="str">
        <f>IF(AE46="","",$B46*'AEO 2017_Table 13'!AG$16/'AEO 2017_Table 13'!$C$16)</f>
        <v/>
      </c>
      <c r="AG46" s="193" t="str">
        <f>IF(AF46="","",$B46*'AEO 2017_Table 13'!AH$16/'AEO 2017_Table 13'!$C$16)</f>
        <v/>
      </c>
      <c r="AH46" s="193" t="str">
        <f>IF(AG46="","",$B46*'AEO 2017_Table 13'!AI$16/'AEO 2017_Table 13'!$C$16)</f>
        <v/>
      </c>
      <c r="AI46" s="193" t="str">
        <f>IF(AH46="","",$B46*'AEO 2017_Table 13'!AJ$16/'AEO 2017_Table 13'!$C$16)</f>
        <v/>
      </c>
      <c r="AJ46" s="193" t="str">
        <f>IF(AI46="","",$B46*'AEO 2017_Table 13'!AK$16/'AEO 2017_Table 13'!$C$16)</f>
        <v/>
      </c>
      <c r="AK46" s="193" t="str">
        <f>IF(AJ46="","",$B46*'AEO 2017_Table 13'!AL$16/'AEO 2017_Table 13'!$C$16)</f>
        <v/>
      </c>
    </row>
    <row r="47" spans="1:37" x14ac:dyDescent="0.25">
      <c r="A47" s="215" t="s">
        <v>1428</v>
      </c>
      <c r="B47" s="195">
        <v>0.68496199999999996</v>
      </c>
      <c r="C47" s="195">
        <f>IF(B47="","",$B47*'AEO 2017_Table 13'!D$16/'AEO 2017_Table 13'!$C$16)</f>
        <v>0.67227759828802525</v>
      </c>
      <c r="D47" s="195">
        <f>IF(C47="","",$B47*'AEO 2017_Table 13'!E$16/'AEO 2017_Table 13'!$C$16)</f>
        <v>0.70587352457339347</v>
      </c>
      <c r="E47" s="195">
        <f>IF(D47="","",$B47*'AEO 2017_Table 13'!F$16/'AEO 2017_Table 13'!$C$16)</f>
        <v>0.73860677461282764</v>
      </c>
      <c r="F47" s="195">
        <f>IF(E47="","",$B47*'AEO 2017_Table 13'!G$16/'AEO 2017_Table 13'!$C$16)</f>
        <v>0.76110031150528645</v>
      </c>
      <c r="G47" s="195">
        <f>IF(F47="","",$B47*'AEO 2017_Table 13'!H$16/'AEO 2017_Table 13'!$C$16)</f>
        <v>0.78112931974872535</v>
      </c>
      <c r="H47" s="195">
        <f>IF(G47="","",$B47*'AEO 2017_Table 13'!I$16/'AEO 2017_Table 13'!$C$16)</f>
        <v>0.78433145356484701</v>
      </c>
      <c r="I47" s="195">
        <f>IF(H47="","",$B47*'AEO 2017_Table 13'!J$16/'AEO 2017_Table 13'!$C$16)</f>
        <v>0.79505928852353813</v>
      </c>
      <c r="J47" s="195">
        <f>IF(I47="","",$B47*'AEO 2017_Table 13'!K$16/'AEO 2017_Table 13'!$C$16)</f>
        <v>0.809327374898825</v>
      </c>
      <c r="K47" s="195">
        <f>IF(J47="","",$B47*'AEO 2017_Table 13'!L$16/'AEO 2017_Table 13'!$C$16)</f>
        <v>0.82278708553910551</v>
      </c>
      <c r="L47" s="195">
        <f>IF(K47="","",$B47*'AEO 2017_Table 13'!M$16/'AEO 2017_Table 13'!$C$16)</f>
        <v>0.83534008153494865</v>
      </c>
      <c r="M47" s="195">
        <f>IF(L47="","",$B47*'AEO 2017_Table 13'!N$16/'AEO 2017_Table 13'!$C$16)</f>
        <v>0.84751766158590092</v>
      </c>
      <c r="N47" s="195">
        <f>IF(M47="","",$B47*'AEO 2017_Table 13'!O$16/'AEO 2017_Table 13'!$C$16)</f>
        <v>0.85230216246077661</v>
      </c>
      <c r="O47" s="195">
        <f>IF(N47="","",$B47*'AEO 2017_Table 13'!P$16/'AEO 2017_Table 13'!$C$16)</f>
        <v>0.85923367462469491</v>
      </c>
      <c r="P47" s="195">
        <f>IF(O47="","",$B47*'AEO 2017_Table 13'!Q$16/'AEO 2017_Table 13'!$C$16)</f>
        <v>0.86441604139904971</v>
      </c>
      <c r="Q47" s="195">
        <f>IF(P47="","",$B47*'AEO 2017_Table 13'!R$16/'AEO 2017_Table 13'!$C$16)</f>
        <v>0.8678494654922343</v>
      </c>
      <c r="R47" s="195">
        <f>IF(Q47="","",$B47*'AEO 2017_Table 13'!S$16/'AEO 2017_Table 13'!$C$16)</f>
        <v>0.87220627699522735</v>
      </c>
      <c r="S47" s="195">
        <f>IF(R47="","",$B47*'AEO 2017_Table 13'!T$16/'AEO 2017_Table 13'!$C$16)</f>
        <v>0.87863215840993514</v>
      </c>
      <c r="T47" s="195">
        <f>IF(S47="","",$B47*'AEO 2017_Table 13'!U$16/'AEO 2017_Table 13'!$C$16)</f>
        <v>0.88550072961765003</v>
      </c>
      <c r="U47" s="195">
        <f>IF(T47="","",$B47*'AEO 2017_Table 13'!V$16/'AEO 2017_Table 13'!$C$16)</f>
        <v>0.89484378752421911</v>
      </c>
      <c r="V47" s="195">
        <f>IF(U47="","",$B47*'AEO 2017_Table 13'!W$16/'AEO 2017_Table 13'!$C$16)</f>
        <v>0.90787900144981526</v>
      </c>
      <c r="W47" s="195">
        <f>IF(V47="","",$B47*'AEO 2017_Table 13'!X$16/'AEO 2017_Table 13'!$C$16)</f>
        <v>0.91827563623196262</v>
      </c>
      <c r="X47" s="195">
        <f>IF(W47="","",$B47*'AEO 2017_Table 13'!Y$16/'AEO 2017_Table 13'!$C$16)</f>
        <v>0.92732494433770007</v>
      </c>
      <c r="Y47" s="195">
        <f>IF(X47="","",$B47*'AEO 2017_Table 13'!Z$16/'AEO 2017_Table 13'!$C$16)</f>
        <v>0.93436054726171636</v>
      </c>
      <c r="Z47" s="195">
        <f>IF(Y47="","",$B47*'AEO 2017_Table 13'!AA$16/'AEO 2017_Table 13'!$C$16)</f>
        <v>0.94305858705994661</v>
      </c>
      <c r="AA47" s="195">
        <f>IF(Z47="","",$B47*'AEO 2017_Table 13'!AB$16/'AEO 2017_Table 13'!$C$16)</f>
        <v>0.94773263719887602</v>
      </c>
      <c r="AB47" s="195">
        <f>IF(AA47="","",$B47*'AEO 2017_Table 13'!AC$16/'AEO 2017_Table 13'!$C$16)</f>
        <v>0.95238927975450804</v>
      </c>
      <c r="AC47" s="195">
        <f>IF(AB47="","",$B47*'AEO 2017_Table 13'!AD$16/'AEO 2017_Table 13'!$C$16)</f>
        <v>0.95520378444502607</v>
      </c>
      <c r="AD47" s="195">
        <f>IF(AC47="","",$B47*'AEO 2017_Table 13'!AE$16/'AEO 2017_Table 13'!$C$16)</f>
        <v>0.96007337216810273</v>
      </c>
      <c r="AE47" s="195">
        <f>IF(AD47="","",$B47*'AEO 2017_Table 13'!AF$16/'AEO 2017_Table 13'!$C$16)</f>
        <v>0.96708160945898702</v>
      </c>
      <c r="AF47" s="195">
        <f>IF(AE47="","",$B47*'AEO 2017_Table 13'!AG$16/'AEO 2017_Table 13'!$C$16)</f>
        <v>0.9739587957734287</v>
      </c>
      <c r="AG47" s="195">
        <f>IF(AF47="","",$B47*'AEO 2017_Table 13'!AH$16/'AEO 2017_Table 13'!$C$16)</f>
        <v>0.97993425913762466</v>
      </c>
      <c r="AH47" s="195">
        <f>IF(AG47="","",$B47*'AEO 2017_Table 13'!AI$16/'AEO 2017_Table 13'!$C$16)</f>
        <v>0.98665001355513715</v>
      </c>
      <c r="AI47" s="195">
        <f>IF(AH47="","",$B47*'AEO 2017_Table 13'!AJ$16/'AEO 2017_Table 13'!$C$16)</f>
        <v>0.99221088757738496</v>
      </c>
      <c r="AJ47" s="195">
        <f>IF(AI47="","",$B47*'AEO 2017_Table 13'!AK$16/'AEO 2017_Table 13'!$C$16)</f>
        <v>0.99784552211634259</v>
      </c>
      <c r="AK47" s="195">
        <f>IF(AJ47="","",$B47*'AEO 2017_Table 13'!AL$16/'AEO 2017_Table 13'!$C$16)</f>
        <v>1.0049482215186305</v>
      </c>
    </row>
    <row r="48" spans="1:37" x14ac:dyDescent="0.25">
      <c r="A48" s="214" t="s">
        <v>1429</v>
      </c>
      <c r="B48" s="198">
        <v>9.6262E-2</v>
      </c>
      <c r="C48" s="198">
        <f>IF(B48="","",$B48*'AEO 2017_Table 13'!D$16/'AEO 2017_Table 13'!$C$16)</f>
        <v>9.4479381580878777E-2</v>
      </c>
      <c r="D48" s="198">
        <f>IF(C48="","",$B48*'AEO 2017_Table 13'!E$16/'AEO 2017_Table 13'!$C$16)</f>
        <v>9.9200827523985291E-2</v>
      </c>
      <c r="E48" s="198">
        <f>IF(D48="","",$B48*'AEO 2017_Table 13'!F$16/'AEO 2017_Table 13'!$C$16)</f>
        <v>0.1038010361710285</v>
      </c>
      <c r="F48" s="198">
        <f>IF(E48="","",$B48*'AEO 2017_Table 13'!G$16/'AEO 2017_Table 13'!$C$16)</f>
        <v>0.10696219379487022</v>
      </c>
      <c r="G48" s="198">
        <f>IF(F48="","",$B48*'AEO 2017_Table 13'!H$16/'AEO 2017_Table 13'!$C$16)</f>
        <v>0.10977699577151988</v>
      </c>
      <c r="H48" s="198">
        <f>IF(G48="","",$B48*'AEO 2017_Table 13'!I$16/'AEO 2017_Table 13'!$C$16)</f>
        <v>0.11022701169270603</v>
      </c>
      <c r="I48" s="198">
        <f>IF(H48="","",$B48*'AEO 2017_Table 13'!J$16/'AEO 2017_Table 13'!$C$16)</f>
        <v>0.11173466153137376</v>
      </c>
      <c r="J48" s="198">
        <f>IF(I48="","",$B48*'AEO 2017_Table 13'!K$16/'AEO 2017_Table 13'!$C$16)</f>
        <v>0.11373984507536287</v>
      </c>
      <c r="K48" s="198">
        <f>IF(J48="","",$B48*'AEO 2017_Table 13'!L$16/'AEO 2017_Table 13'!$C$16)</f>
        <v>0.11563142251419112</v>
      </c>
      <c r="L48" s="198">
        <f>IF(K48="","",$B48*'AEO 2017_Table 13'!M$16/'AEO 2017_Table 13'!$C$16)</f>
        <v>0.1173955736649876</v>
      </c>
      <c r="M48" s="198">
        <f>IF(L48="","",$B48*'AEO 2017_Table 13'!N$16/'AEO 2017_Table 13'!$C$16)</f>
        <v>0.11910696526169626</v>
      </c>
      <c r="N48" s="198">
        <f>IF(M48="","",$B48*'AEO 2017_Table 13'!O$16/'AEO 2017_Table 13'!$C$16)</f>
        <v>0.11977936113652916</v>
      </c>
      <c r="O48" s="198">
        <f>IF(N48="","",$B48*'AEO 2017_Table 13'!P$16/'AEO 2017_Table 13'!$C$16)</f>
        <v>0.12075348995524186</v>
      </c>
      <c r="P48" s="198">
        <f>IF(O48="","",$B48*'AEO 2017_Table 13'!Q$16/'AEO 2017_Table 13'!$C$16)</f>
        <v>0.1214818004168922</v>
      </c>
      <c r="Q48" s="198">
        <f>IF(P48="","",$B48*'AEO 2017_Table 13'!R$16/'AEO 2017_Table 13'!$C$16)</f>
        <v>0.12196432100936032</v>
      </c>
      <c r="R48" s="198">
        <f>IF(Q48="","",$B48*'AEO 2017_Table 13'!S$16/'AEO 2017_Table 13'!$C$16)</f>
        <v>0.12257661101800477</v>
      </c>
      <c r="S48" s="198">
        <f>IF(R48="","",$B48*'AEO 2017_Table 13'!T$16/'AEO 2017_Table 13'!$C$16)</f>
        <v>0.12347968038060093</v>
      </c>
      <c r="T48" s="198">
        <f>IF(S48="","",$B48*'AEO 2017_Table 13'!U$16/'AEO 2017_Table 13'!$C$16)</f>
        <v>0.12444496371251869</v>
      </c>
      <c r="U48" s="198">
        <f>IF(T48="","",$B48*'AEO 2017_Table 13'!V$16/'AEO 2017_Table 13'!$C$16)</f>
        <v>0.12575800215874222</v>
      </c>
      <c r="V48" s="198">
        <f>IF(U48="","",$B48*'AEO 2017_Table 13'!W$16/'AEO 2017_Table 13'!$C$16)</f>
        <v>0.12758992241549474</v>
      </c>
      <c r="W48" s="198">
        <f>IF(V48="","",$B48*'AEO 2017_Table 13'!X$16/'AEO 2017_Table 13'!$C$16)</f>
        <v>0.12905102661893827</v>
      </c>
      <c r="X48" s="198">
        <f>IF(W48="","",$B48*'AEO 2017_Table 13'!Y$16/'AEO 2017_Table 13'!$C$16)</f>
        <v>0.13032278256580027</v>
      </c>
      <c r="Y48" s="198">
        <f>IF(X48="","",$B48*'AEO 2017_Table 13'!Z$16/'AEO 2017_Table 13'!$C$16)</f>
        <v>0.1313115399109839</v>
      </c>
      <c r="Z48" s="198">
        <f>IF(Y48="","",$B48*'AEO 2017_Table 13'!AA$16/'AEO 2017_Table 13'!$C$16)</f>
        <v>0.13253392992248414</v>
      </c>
      <c r="AA48" s="198">
        <f>IF(Z48="","",$B48*'AEO 2017_Table 13'!AB$16/'AEO 2017_Table 13'!$C$16)</f>
        <v>0.13319080346360559</v>
      </c>
      <c r="AB48" s="198">
        <f>IF(AA48="","",$B48*'AEO 2017_Table 13'!AC$16/'AEO 2017_Table 13'!$C$16)</f>
        <v>0.13384523060801687</v>
      </c>
      <c r="AC48" s="198">
        <f>IF(AB48="","",$B48*'AEO 2017_Table 13'!AD$16/'AEO 2017_Table 13'!$C$16)</f>
        <v>0.13424077058033454</v>
      </c>
      <c r="AD48" s="198">
        <f>IF(AC48="","",$B48*'AEO 2017_Table 13'!AE$16/'AEO 2017_Table 13'!$C$16)</f>
        <v>0.13492512424287173</v>
      </c>
      <c r="AE48" s="198">
        <f>IF(AD48="","",$B48*'AEO 2017_Table 13'!AF$16/'AEO 2017_Table 13'!$C$16)</f>
        <v>0.13591003572423144</v>
      </c>
      <c r="AF48" s="198">
        <f>IF(AE48="","",$B48*'AEO 2017_Table 13'!AG$16/'AEO 2017_Table 13'!$C$16)</f>
        <v>0.13687652979105674</v>
      </c>
      <c r="AG48" s="198">
        <f>IF(AF48="","",$B48*'AEO 2017_Table 13'!AH$16/'AEO 2017_Table 13'!$C$16)</f>
        <v>0.1377162990838996</v>
      </c>
      <c r="AH48" s="198">
        <f>IF(AG48="","",$B48*'AEO 2017_Table 13'!AI$16/'AEO 2017_Table 13'!$C$16)</f>
        <v>0.1386601061151489</v>
      </c>
      <c r="AI48" s="198">
        <f>IF(AH48="","",$B48*'AEO 2017_Table 13'!AJ$16/'AEO 2017_Table 13'!$C$16)</f>
        <v>0.13944161057105975</v>
      </c>
      <c r="AJ48" s="198">
        <f>IF(AI48="","",$B48*'AEO 2017_Table 13'!AK$16/'AEO 2017_Table 13'!$C$16)</f>
        <v>0.14023348105436997</v>
      </c>
      <c r="AK48" s="198">
        <f>IF(AJ48="","",$B48*'AEO 2017_Table 13'!AL$16/'AEO 2017_Table 13'!$C$16)</f>
        <v>0.14123166788789221</v>
      </c>
    </row>
    <row r="49" spans="1:37" x14ac:dyDescent="0.25">
      <c r="A49" s="214" t="s">
        <v>1430</v>
      </c>
      <c r="B49" s="198">
        <v>5.380264999999997</v>
      </c>
      <c r="C49" s="198">
        <f>IF(B49="","",$B49*'AEO 2017_Table 13'!D$16/'AEO 2017_Table 13'!$C$16)</f>
        <v>5.2806310895394484</v>
      </c>
      <c r="D49" s="198">
        <f>IF(C49="","",$B49*'AEO 2017_Table 13'!E$16/'AEO 2017_Table 13'!$C$16)</f>
        <v>5.5445216211831712</v>
      </c>
      <c r="E49" s="198">
        <f>IF(D49="","",$B49*'AEO 2017_Table 13'!F$16/'AEO 2017_Table 13'!$C$16)</f>
        <v>5.8016359713564887</v>
      </c>
      <c r="F49" s="198">
        <f>IF(E49="","",$B49*'AEO 2017_Table 13'!G$16/'AEO 2017_Table 13'!$C$16)</f>
        <v>5.9783190417585033</v>
      </c>
      <c r="G49" s="198">
        <f>IF(F49="","",$B49*'AEO 2017_Table 13'!H$16/'AEO 2017_Table 13'!$C$16)</f>
        <v>6.1356436408412049</v>
      </c>
      <c r="H49" s="198">
        <f>IF(G49="","",$B49*'AEO 2017_Table 13'!I$16/'AEO 2017_Table 13'!$C$16)</f>
        <v>6.1607958806679344</v>
      </c>
      <c r="I49" s="198">
        <f>IF(H49="","",$B49*'AEO 2017_Table 13'!J$16/'AEO 2017_Table 13'!$C$16)</f>
        <v>6.2450612778053252</v>
      </c>
      <c r="J49" s="198">
        <f>IF(I49="","",$B49*'AEO 2017_Table 13'!K$16/'AEO 2017_Table 13'!$C$16)</f>
        <v>6.3571347734765205</v>
      </c>
      <c r="K49" s="198">
        <f>IF(J49="","",$B49*'AEO 2017_Table 13'!L$16/'AEO 2017_Table 13'!$C$16)</f>
        <v>6.4628586093506692</v>
      </c>
      <c r="L49" s="198">
        <f>IF(K49="","",$B49*'AEO 2017_Table 13'!M$16/'AEO 2017_Table 13'!$C$16)</f>
        <v>6.5614603493035064</v>
      </c>
      <c r="M49" s="198">
        <f>IF(L49="","",$B49*'AEO 2017_Table 13'!N$16/'AEO 2017_Table 13'!$C$16)</f>
        <v>6.6571132581259462</v>
      </c>
      <c r="N49" s="198">
        <f>IF(M49="","",$B49*'AEO 2017_Table 13'!O$16/'AEO 2017_Table 13'!$C$16)</f>
        <v>6.6946947335940221</v>
      </c>
      <c r="O49" s="198">
        <f>IF(N49="","",$B49*'AEO 2017_Table 13'!P$16/'AEO 2017_Table 13'!$C$16)</f>
        <v>6.7491406332097714</v>
      </c>
      <c r="P49" s="198">
        <f>IF(O49="","",$B49*'AEO 2017_Table 13'!Q$16/'AEO 2017_Table 13'!$C$16)</f>
        <v>6.7898472805467387</v>
      </c>
      <c r="Q49" s="198">
        <f>IF(P49="","",$B49*'AEO 2017_Table 13'!R$16/'AEO 2017_Table 13'!$C$16)</f>
        <v>6.8168162678463524</v>
      </c>
      <c r="R49" s="198">
        <f>IF(Q49="","",$B49*'AEO 2017_Table 13'!S$16/'AEO 2017_Table 13'!$C$16)</f>
        <v>6.8510383129249863</v>
      </c>
      <c r="S49" s="198">
        <f>IF(R49="","",$B49*'AEO 2017_Table 13'!T$16/'AEO 2017_Table 13'!$C$16)</f>
        <v>6.9015125653210347</v>
      </c>
      <c r="T49" s="198">
        <f>IF(S49="","",$B49*'AEO 2017_Table 13'!U$16/'AEO 2017_Table 13'!$C$16)</f>
        <v>6.9554640739724301</v>
      </c>
      <c r="U49" s="198">
        <f>IF(T49="","",$B49*'AEO 2017_Table 13'!V$16/'AEO 2017_Table 13'!$C$16)</f>
        <v>7.0288522728034399</v>
      </c>
      <c r="V49" s="198">
        <f>IF(U49="","",$B49*'AEO 2017_Table 13'!W$16/'AEO 2017_Table 13'!$C$16)</f>
        <v>7.1312417560906844</v>
      </c>
      <c r="W49" s="198">
        <f>IF(V49="","",$B49*'AEO 2017_Table 13'!X$16/'AEO 2017_Table 13'!$C$16)</f>
        <v>7.2129056297598373</v>
      </c>
      <c r="X49" s="198">
        <f>IF(W49="","",$B49*'AEO 2017_Table 13'!Y$16/'AEO 2017_Table 13'!$C$16)</f>
        <v>7.2839864717270055</v>
      </c>
      <c r="Y49" s="198">
        <f>IF(X49="","",$B49*'AEO 2017_Table 13'!Z$16/'AEO 2017_Table 13'!$C$16)</f>
        <v>7.3392499873176265</v>
      </c>
      <c r="Z49" s="198">
        <f>IF(Y49="","",$B49*'AEO 2017_Table 13'!AA$16/'AEO 2017_Table 13'!$C$16)</f>
        <v>7.4075716739148758</v>
      </c>
      <c r="AA49" s="198">
        <f>IF(Z49="","",$B49*'AEO 2017_Table 13'!AB$16/'AEO 2017_Table 13'!$C$16)</f>
        <v>7.4442855768331802</v>
      </c>
      <c r="AB49" s="198">
        <f>IF(AA49="","",$B49*'AEO 2017_Table 13'!AC$16/'AEO 2017_Table 13'!$C$16)</f>
        <v>7.4808627460185901</v>
      </c>
      <c r="AC49" s="198">
        <f>IF(AB49="","",$B49*'AEO 2017_Table 13'!AD$16/'AEO 2017_Table 13'!$C$16)</f>
        <v>7.502970222168698</v>
      </c>
      <c r="AD49" s="198">
        <f>IF(AC49="","",$B49*'AEO 2017_Table 13'!AE$16/'AEO 2017_Table 13'!$C$16)</f>
        <v>7.5412200409774766</v>
      </c>
      <c r="AE49" s="198">
        <f>IF(AD49="","",$B49*'AEO 2017_Table 13'!AF$16/'AEO 2017_Table 13'!$C$16)</f>
        <v>7.5962686039748979</v>
      </c>
      <c r="AF49" s="198">
        <f>IF(AE49="","",$B49*'AEO 2017_Table 13'!AG$16/'AEO 2017_Table 13'!$C$16)</f>
        <v>7.6502877828871148</v>
      </c>
      <c r="AG49" s="198">
        <f>IF(AF49="","",$B49*'AEO 2017_Table 13'!AH$16/'AEO 2017_Table 13'!$C$16)</f>
        <v>7.6972240748232599</v>
      </c>
      <c r="AH49" s="198">
        <f>IF(AG49="","",$B49*'AEO 2017_Table 13'!AI$16/'AEO 2017_Table 13'!$C$16)</f>
        <v>7.7499752324657818</v>
      </c>
      <c r="AI49" s="198">
        <f>IF(AH49="","",$B49*'AEO 2017_Table 13'!AJ$16/'AEO 2017_Table 13'!$C$16)</f>
        <v>7.7936549926149716</v>
      </c>
      <c r="AJ49" s="198">
        <f>IF(AI49="","",$B49*'AEO 2017_Table 13'!AK$16/'AEO 2017_Table 13'!$C$16)</f>
        <v>7.8379141296149006</v>
      </c>
      <c r="AK49" s="198">
        <f>IF(AJ49="","",$B49*'AEO 2017_Table 13'!AL$16/'AEO 2017_Table 13'!$C$16)</f>
        <v>7.8937046771192145</v>
      </c>
    </row>
    <row r="50" spans="1:37" x14ac:dyDescent="0.25">
      <c r="A50" s="214" t="s">
        <v>1431</v>
      </c>
      <c r="B50" s="198">
        <v>0.11908100000000008</v>
      </c>
      <c r="C50" s="198">
        <f>IF(B50="","",$B50*'AEO 2017_Table 13'!D$16/'AEO 2017_Table 13'!$C$16)</f>
        <v>0.11687581016426661</v>
      </c>
      <c r="D50" s="198">
        <f>IF(C50="","",$B50*'AEO 2017_Table 13'!E$16/'AEO 2017_Table 13'!$C$16)</f>
        <v>0.12271647942473354</v>
      </c>
      <c r="E50" s="198">
        <f>IF(D50="","",$B50*'AEO 2017_Table 13'!F$16/'AEO 2017_Table 13'!$C$16)</f>
        <v>0.12840717197110232</v>
      </c>
      <c r="F50" s="198">
        <f>IF(E50="","",$B50*'AEO 2017_Table 13'!G$16/'AEO 2017_Table 13'!$C$16)</f>
        <v>0.13231768506042829</v>
      </c>
      <c r="G50" s="198">
        <f>IF(F50="","",$B50*'AEO 2017_Table 13'!H$16/'AEO 2017_Table 13'!$C$16)</f>
        <v>0.13579973856213631</v>
      </c>
      <c r="H50" s="198">
        <f>IF(G50="","",$B50*'AEO 2017_Table 13'!I$16/'AEO 2017_Table 13'!$C$16)</f>
        <v>0.13635643119173854</v>
      </c>
      <c r="I50" s="198">
        <f>IF(H50="","",$B50*'AEO 2017_Table 13'!J$16/'AEO 2017_Table 13'!$C$16)</f>
        <v>0.13822147087965683</v>
      </c>
      <c r="J50" s="198">
        <f>IF(I50="","",$B50*'AEO 2017_Table 13'!K$16/'AEO 2017_Table 13'!$C$16)</f>
        <v>0.14070198511790005</v>
      </c>
      <c r="K50" s="198">
        <f>IF(J50="","",$B50*'AEO 2017_Table 13'!L$16/'AEO 2017_Table 13'!$C$16)</f>
        <v>0.14304196281411566</v>
      </c>
      <c r="L50" s="198">
        <f>IF(K50="","",$B50*'AEO 2017_Table 13'!M$16/'AEO 2017_Table 13'!$C$16)</f>
        <v>0.14522430769774569</v>
      </c>
      <c r="M50" s="198">
        <f>IF(L50="","",$B50*'AEO 2017_Table 13'!N$16/'AEO 2017_Table 13'!$C$16)</f>
        <v>0.14734138632407451</v>
      </c>
      <c r="N50" s="198">
        <f>IF(M50="","",$B50*'AEO 2017_Table 13'!O$16/'AEO 2017_Table 13'!$C$16)</f>
        <v>0.14817317428994864</v>
      </c>
      <c r="O50" s="198">
        <f>IF(N50="","",$B50*'AEO 2017_Table 13'!P$16/'AEO 2017_Table 13'!$C$16)</f>
        <v>0.14937822128524408</v>
      </c>
      <c r="P50" s="198">
        <f>IF(O50="","",$B50*'AEO 2017_Table 13'!Q$16/'AEO 2017_Table 13'!$C$16)</f>
        <v>0.15027917844470245</v>
      </c>
      <c r="Q50" s="198">
        <f>IF(P50="","",$B50*'AEO 2017_Table 13'!R$16/'AEO 2017_Table 13'!$C$16)</f>
        <v>0.15087608100928346</v>
      </c>
      <c r="R50" s="198">
        <f>IF(Q50="","",$B50*'AEO 2017_Table 13'!S$16/'AEO 2017_Table 13'!$C$16)</f>
        <v>0.15163351495538255</v>
      </c>
      <c r="S50" s="198">
        <f>IF(R50="","",$B50*'AEO 2017_Table 13'!T$16/'AEO 2017_Table 13'!$C$16)</f>
        <v>0.15275065778191133</v>
      </c>
      <c r="T50" s="198">
        <f>IF(S50="","",$B50*'AEO 2017_Table 13'!U$16/'AEO 2017_Table 13'!$C$16)</f>
        <v>0.15394476245923053</v>
      </c>
      <c r="U50" s="198">
        <f>IF(T50="","",$B50*'AEO 2017_Table 13'!V$16/'AEO 2017_Table 13'!$C$16)</f>
        <v>0.15556905793631123</v>
      </c>
      <c r="V50" s="198">
        <f>IF(U50="","",$B50*'AEO 2017_Table 13'!W$16/'AEO 2017_Table 13'!$C$16)</f>
        <v>0.15783523665786647</v>
      </c>
      <c r="W50" s="198">
        <f>IF(V50="","",$B50*'AEO 2017_Table 13'!X$16/'AEO 2017_Table 13'!$C$16)</f>
        <v>0.15964269702281064</v>
      </c>
      <c r="X50" s="198">
        <f>IF(W50="","",$B50*'AEO 2017_Table 13'!Y$16/'AEO 2017_Table 13'!$C$16)</f>
        <v>0.16121592394421552</v>
      </c>
      <c r="Y50" s="198">
        <f>IF(X50="","",$B50*'AEO 2017_Table 13'!Z$16/'AEO 2017_Table 13'!$C$16)</f>
        <v>0.16243906717229939</v>
      </c>
      <c r="Z50" s="198">
        <f>IF(Y50="","",$B50*'AEO 2017_Table 13'!AA$16/'AEO 2017_Table 13'!$C$16)</f>
        <v>0.1639512259157232</v>
      </c>
      <c r="AA50" s="198">
        <f>IF(Z50="","",$B50*'AEO 2017_Table 13'!AB$16/'AEO 2017_Table 13'!$C$16)</f>
        <v>0.16476381196369935</v>
      </c>
      <c r="AB50" s="198">
        <f>IF(AA50="","",$B50*'AEO 2017_Table 13'!AC$16/'AEO 2017_Table 13'!$C$16)</f>
        <v>0.16557337169426428</v>
      </c>
      <c r="AC50" s="198">
        <f>IF(AB50="","",$B50*'AEO 2017_Table 13'!AD$16/'AEO 2017_Table 13'!$C$16)</f>
        <v>0.1660626747987454</v>
      </c>
      <c r="AD50" s="198">
        <f>IF(AC50="","",$B50*'AEO 2017_Table 13'!AE$16/'AEO 2017_Table 13'!$C$16)</f>
        <v>0.16690925515743926</v>
      </c>
      <c r="AE50" s="198">
        <f>IF(AD50="","",$B50*'AEO 2017_Table 13'!AF$16/'AEO 2017_Table 13'!$C$16)</f>
        <v>0.16812764085596826</v>
      </c>
      <c r="AF50" s="198">
        <f>IF(AE50="","",$B50*'AEO 2017_Table 13'!AG$16/'AEO 2017_Table 13'!$C$16)</f>
        <v>0.16932324327407322</v>
      </c>
      <c r="AG50" s="198">
        <f>IF(AF50="","",$B50*'AEO 2017_Table 13'!AH$16/'AEO 2017_Table 13'!$C$16)</f>
        <v>0.17036208068822442</v>
      </c>
      <c r="AH50" s="198">
        <f>IF(AG50="","",$B50*'AEO 2017_Table 13'!AI$16/'AEO 2017_Table 13'!$C$16)</f>
        <v>0.17152961808707545</v>
      </c>
      <c r="AI50" s="198">
        <f>IF(AH50="","",$B50*'AEO 2017_Table 13'!AJ$16/'AEO 2017_Table 13'!$C$16)</f>
        <v>0.17249637892846997</v>
      </c>
      <c r="AJ50" s="198">
        <f>IF(AI50="","",$B50*'AEO 2017_Table 13'!AK$16/'AEO 2017_Table 13'!$C$16)</f>
        <v>0.17347596307406291</v>
      </c>
      <c r="AK50" s="198">
        <f>IF(AJ50="","",$B50*'AEO 2017_Table 13'!AL$16/'AEO 2017_Table 13'!$C$16)</f>
        <v>0.17471077105979618</v>
      </c>
    </row>
    <row r="51" spans="1:37" x14ac:dyDescent="0.25">
      <c r="A51" s="214" t="s">
        <v>1432</v>
      </c>
      <c r="B51" s="198">
        <v>17.169202999999957</v>
      </c>
      <c r="C51" s="198">
        <f>IF(B51="","",$B51*'AEO 2017_Table 13'!D$16/'AEO 2017_Table 13'!$C$16)</f>
        <v>16.851256795792366</v>
      </c>
      <c r="D51" s="198">
        <f>IF(C51="","",$B51*'AEO 2017_Table 13'!E$16/'AEO 2017_Table 13'!$C$16)</f>
        <v>17.693369611344938</v>
      </c>
      <c r="E51" s="198">
        <f>IF(D51="","",$B51*'AEO 2017_Table 13'!F$16/'AEO 2017_Table 13'!$C$16)</f>
        <v>18.513858652746947</v>
      </c>
      <c r="F51" s="198">
        <f>IF(E51="","",$B51*'AEO 2017_Table 13'!G$16/'AEO 2017_Table 13'!$C$16)</f>
        <v>19.077679859024975</v>
      </c>
      <c r="G51" s="198">
        <f>IF(F51="","",$B51*'AEO 2017_Table 13'!H$16/'AEO 2017_Table 13'!$C$16)</f>
        <v>19.579725386251706</v>
      </c>
      <c r="H51" s="198">
        <f>IF(G51="","",$B51*'AEO 2017_Table 13'!I$16/'AEO 2017_Table 13'!$C$16)</f>
        <v>19.659989817741568</v>
      </c>
      <c r="I51" s="198">
        <f>IF(H51="","",$B51*'AEO 2017_Table 13'!J$16/'AEO 2017_Table 13'!$C$16)</f>
        <v>19.928892875365587</v>
      </c>
      <c r="J51" s="198">
        <f>IF(I51="","",$B51*'AEO 2017_Table 13'!K$16/'AEO 2017_Table 13'!$C$16)</f>
        <v>20.286535593354081</v>
      </c>
      <c r="K51" s="198">
        <f>IF(J51="","",$B51*'AEO 2017_Table 13'!L$16/'AEO 2017_Table 13'!$C$16)</f>
        <v>20.623915629479054</v>
      </c>
      <c r="L51" s="198">
        <f>IF(K51="","",$B51*'AEO 2017_Table 13'!M$16/'AEO 2017_Table 13'!$C$16)</f>
        <v>20.938568028460043</v>
      </c>
      <c r="M51" s="198">
        <f>IF(L51="","",$B51*'AEO 2017_Table 13'!N$16/'AEO 2017_Table 13'!$C$16)</f>
        <v>21.243810281232534</v>
      </c>
      <c r="N51" s="198">
        <f>IF(M51="","",$B51*'AEO 2017_Table 13'!O$16/'AEO 2017_Table 13'!$C$16)</f>
        <v>21.363738199532261</v>
      </c>
      <c r="O51" s="198">
        <f>IF(N51="","",$B51*'AEO 2017_Table 13'!P$16/'AEO 2017_Table 13'!$C$16)</f>
        <v>21.53748293199812</v>
      </c>
      <c r="P51" s="198">
        <f>IF(O51="","",$B51*'AEO 2017_Table 13'!Q$16/'AEO 2017_Table 13'!$C$16)</f>
        <v>21.667383725282058</v>
      </c>
      <c r="Q51" s="198">
        <f>IF(P51="","",$B51*'AEO 2017_Table 13'!R$16/'AEO 2017_Table 13'!$C$16)</f>
        <v>21.753445660456535</v>
      </c>
      <c r="R51" s="198">
        <f>IF(Q51="","",$B51*'AEO 2017_Table 13'!S$16/'AEO 2017_Table 13'!$C$16)</f>
        <v>21.862653150985388</v>
      </c>
      <c r="S51" s="198">
        <f>IF(R51="","",$B51*'AEO 2017_Table 13'!T$16/'AEO 2017_Table 13'!$C$16)</f>
        <v>22.023723783316878</v>
      </c>
      <c r="T51" s="198">
        <f>IF(S51="","",$B51*'AEO 2017_Table 13'!U$16/'AEO 2017_Table 13'!$C$16)</f>
        <v>22.1958908427818</v>
      </c>
      <c r="U51" s="198">
        <f>IF(T51="","",$B51*'AEO 2017_Table 13'!V$16/'AEO 2017_Table 13'!$C$16)</f>
        <v>22.430083188982962</v>
      </c>
      <c r="V51" s="198">
        <f>IF(U51="","",$B51*'AEO 2017_Table 13'!W$16/'AEO 2017_Table 13'!$C$16)</f>
        <v>22.756822824228401</v>
      </c>
      <c r="W51" s="198">
        <f>IF(V51="","",$B51*'AEO 2017_Table 13'!X$16/'AEO 2017_Table 13'!$C$16)</f>
        <v>23.017424044575733</v>
      </c>
      <c r="X51" s="198">
        <f>IF(W51="","",$B51*'AEO 2017_Table 13'!Y$16/'AEO 2017_Table 13'!$C$16)</f>
        <v>23.244253281638446</v>
      </c>
      <c r="Y51" s="198">
        <f>IF(X51="","",$B51*'AEO 2017_Table 13'!Z$16/'AEO 2017_Table 13'!$C$16)</f>
        <v>23.420607144816007</v>
      </c>
      <c r="Z51" s="198">
        <f>IF(Y51="","",$B51*'AEO 2017_Table 13'!AA$16/'AEO 2017_Table 13'!$C$16)</f>
        <v>23.638631518427818</v>
      </c>
      <c r="AA51" s="198">
        <f>IF(Z51="","",$B51*'AEO 2017_Table 13'!AB$16/'AEO 2017_Table 13'!$C$16)</f>
        <v>23.755790887367205</v>
      </c>
      <c r="AB51" s="198">
        <f>IF(AA51="","",$B51*'AEO 2017_Table 13'!AC$16/'AEO 2017_Table 13'!$C$16)</f>
        <v>23.872513919208508</v>
      </c>
      <c r="AC51" s="198">
        <f>IF(AB51="","",$B51*'AEO 2017_Table 13'!AD$16/'AEO 2017_Table 13'!$C$16)</f>
        <v>23.94306206987374</v>
      </c>
      <c r="AD51" s="198">
        <f>IF(AC51="","",$B51*'AEO 2017_Table 13'!AE$16/'AEO 2017_Table 13'!$C$16)</f>
        <v>24.065122768341404</v>
      </c>
      <c r="AE51" s="198">
        <f>IF(AD51="","",$B51*'AEO 2017_Table 13'!AF$16/'AEO 2017_Table 13'!$C$16)</f>
        <v>24.240790686735945</v>
      </c>
      <c r="AF51" s="198">
        <f>IF(AE51="","",$B51*'AEO 2017_Table 13'!AG$16/'AEO 2017_Table 13'!$C$16)</f>
        <v>24.41317369178071</v>
      </c>
      <c r="AG51" s="198">
        <f>IF(AF51="","",$B51*'AEO 2017_Table 13'!AH$16/'AEO 2017_Table 13'!$C$16)</f>
        <v>24.562954181090983</v>
      </c>
      <c r="AH51" s="198">
        <f>IF(AG51="","",$B51*'AEO 2017_Table 13'!AI$16/'AEO 2017_Table 13'!$C$16)</f>
        <v>24.731290747049993</v>
      </c>
      <c r="AI51" s="198">
        <f>IF(AH51="","",$B51*'AEO 2017_Table 13'!AJ$16/'AEO 2017_Table 13'!$C$16)</f>
        <v>24.870679172897557</v>
      </c>
      <c r="AJ51" s="198">
        <f>IF(AI51="","",$B51*'AEO 2017_Table 13'!AK$16/'AEO 2017_Table 13'!$C$16)</f>
        <v>25.011916473988972</v>
      </c>
      <c r="AK51" s="198">
        <f>IF(AJ51="","",$B51*'AEO 2017_Table 13'!AL$16/'AEO 2017_Table 13'!$C$16)</f>
        <v>25.189952172153042</v>
      </c>
    </row>
    <row r="52" spans="1:37" x14ac:dyDescent="0.25">
      <c r="A52" s="208" t="s">
        <v>1433</v>
      </c>
      <c r="B52" s="197">
        <v>5.5871999999999977E-2</v>
      </c>
      <c r="C52" s="197">
        <f>IF(B52="","",$B52*'AEO 2017_Table 13'!D$16/'AEO 2017_Table 13'!$C$16)</f>
        <v>5.4837339840091176E-2</v>
      </c>
      <c r="D52" s="197">
        <f>IF(C52="","",$B52*'AEO 2017_Table 13'!E$16/'AEO 2017_Table 13'!$C$16)</f>
        <v>5.7577742363758323E-2</v>
      </c>
      <c r="E52" s="197">
        <f>IF(D52="","",$B52*'AEO 2017_Table 13'!F$16/'AEO 2017_Table 13'!$C$16)</f>
        <v>6.0247776827280775E-2</v>
      </c>
      <c r="F52" s="197">
        <f>IF(E52="","",$B52*'AEO 2017_Table 13'!G$16/'AEO 2017_Table 13'!$C$16)</f>
        <v>6.2082563126747689E-2</v>
      </c>
      <c r="G52" s="197">
        <f>IF(F52="","",$B52*'AEO 2017_Table 13'!H$16/'AEO 2017_Table 13'!$C$16)</f>
        <v>6.3716319084855463E-2</v>
      </c>
      <c r="H52" s="197">
        <f>IF(G52="","",$B52*'AEO 2017_Table 13'!I$16/'AEO 2017_Table 13'!$C$16)</f>
        <v>6.3977515502429499E-2</v>
      </c>
      <c r="I52" s="197">
        <f>IF(H52="","",$B52*'AEO 2017_Table 13'!J$16/'AEO 2017_Table 13'!$C$16)</f>
        <v>6.4852579513005257E-2</v>
      </c>
      <c r="J52" s="197">
        <f>IF(I52="","",$B52*'AEO 2017_Table 13'!K$16/'AEO 2017_Table 13'!$C$16)</f>
        <v>6.6016420020887492E-2</v>
      </c>
      <c r="K52" s="197">
        <f>IF(J52="","",$B52*'AEO 2017_Table 13'!L$16/'AEO 2017_Table 13'!$C$16)</f>
        <v>6.7114321733528118E-2</v>
      </c>
      <c r="L52" s="197">
        <f>IF(K52="","",$B52*'AEO 2017_Table 13'!M$16/'AEO 2017_Table 13'!$C$16)</f>
        <v>6.8138263196382623E-2</v>
      </c>
      <c r="M52" s="197">
        <f>IF(L52="","",$B52*'AEO 2017_Table 13'!N$16/'AEO 2017_Table 13'!$C$16)</f>
        <v>6.9131582172627729E-2</v>
      </c>
      <c r="N52" s="197">
        <f>IF(M52="","",$B52*'AEO 2017_Table 13'!O$16/'AEO 2017_Table 13'!$C$16)</f>
        <v>6.9521851461845321E-2</v>
      </c>
      <c r="O52" s="197">
        <f>IF(N52="","",$B52*'AEO 2017_Table 13'!P$16/'AEO 2017_Table 13'!$C$16)</f>
        <v>7.0087251363770448E-2</v>
      </c>
      <c r="P52" s="197">
        <f>IF(O52="","",$B52*'AEO 2017_Table 13'!Q$16/'AEO 2017_Table 13'!$C$16)</f>
        <v>7.0509974370910625E-2</v>
      </c>
      <c r="Q52" s="197">
        <f>IF(P52="","",$B52*'AEO 2017_Table 13'!R$16/'AEO 2017_Table 13'!$C$16)</f>
        <v>7.0790037018085811E-2</v>
      </c>
      <c r="R52" s="197">
        <f>IF(Q52="","",$B52*'AEO 2017_Table 13'!S$16/'AEO 2017_Table 13'!$C$16)</f>
        <v>7.1145419903990759E-2</v>
      </c>
      <c r="S52" s="197">
        <f>IF(R52="","",$B52*'AEO 2017_Table 13'!T$16/'AEO 2017_Table 13'!$C$16)</f>
        <v>7.1669575764319593E-2</v>
      </c>
      <c r="T52" s="197">
        <f>IF(S52="","",$B52*'AEO 2017_Table 13'!U$16/'AEO 2017_Table 13'!$C$16)</f>
        <v>7.2229841604639855E-2</v>
      </c>
      <c r="U52" s="197">
        <f>IF(T52="","",$B52*'AEO 2017_Table 13'!V$16/'AEO 2017_Table 13'!$C$16)</f>
        <v>7.2991950059350968E-2</v>
      </c>
      <c r="V52" s="197">
        <f>IF(U52="","",$B52*'AEO 2017_Table 13'!W$16/'AEO 2017_Table 13'!$C$16)</f>
        <v>7.4055225792093657E-2</v>
      </c>
      <c r="W52" s="197">
        <f>IF(V52="","",$B52*'AEO 2017_Table 13'!X$16/'AEO 2017_Table 13'!$C$16)</f>
        <v>7.4903273973668902E-2</v>
      </c>
      <c r="X52" s="197">
        <f>IF(W52="","",$B52*'AEO 2017_Table 13'!Y$16/'AEO 2017_Table 13'!$C$16)</f>
        <v>7.5641421407371456E-2</v>
      </c>
      <c r="Y52" s="197">
        <f>IF(X52="","",$B52*'AEO 2017_Table 13'!Z$16/'AEO 2017_Table 13'!$C$16)</f>
        <v>7.6215311939358099E-2</v>
      </c>
      <c r="Z52" s="197">
        <f>IF(Y52="","",$B52*'AEO 2017_Table 13'!AA$16/'AEO 2017_Table 13'!$C$16)</f>
        <v>7.6924806596881751E-2</v>
      </c>
      <c r="AA52" s="197">
        <f>IF(Z52="","",$B52*'AEO 2017_Table 13'!AB$16/'AEO 2017_Table 13'!$C$16)</f>
        <v>7.7306066476060836E-2</v>
      </c>
      <c r="AB52" s="197">
        <f>IF(AA52="","",$B52*'AEO 2017_Table 13'!AC$16/'AEO 2017_Table 13'!$C$16)</f>
        <v>7.7685906427573878E-2</v>
      </c>
      <c r="AC52" s="197">
        <f>IF(AB52="","",$B52*'AEO 2017_Table 13'!AD$16/'AEO 2017_Table 13'!$C$16)</f>
        <v>7.7915484135634497E-2</v>
      </c>
      <c r="AD52" s="197">
        <f>IF(AC52="","",$B52*'AEO 2017_Table 13'!AE$16/'AEO 2017_Table 13'!$C$16)</f>
        <v>7.8312693915540146E-2</v>
      </c>
      <c r="AE52" s="197">
        <f>IF(AD52="","",$B52*'AEO 2017_Table 13'!AF$16/'AEO 2017_Table 13'!$C$16)</f>
        <v>7.8884352246829034E-2</v>
      </c>
      <c r="AF52" s="197">
        <f>IF(AE52="","",$B52*'AEO 2017_Table 13'!AG$16/'AEO 2017_Table 13'!$C$16)</f>
        <v>7.9445320816998594E-2</v>
      </c>
      <c r="AG52" s="197">
        <f>IF(AF52="","",$B52*'AEO 2017_Table 13'!AH$16/'AEO 2017_Table 13'!$C$16)</f>
        <v>7.9932736307324129E-2</v>
      </c>
      <c r="AH52" s="197">
        <f>IF(AG52="","",$B52*'AEO 2017_Table 13'!AI$16/'AEO 2017_Table 13'!$C$16)</f>
        <v>8.0480536960229332E-2</v>
      </c>
      <c r="AI52" s="197">
        <f>IF(AH52="","",$B52*'AEO 2017_Table 13'!AJ$16/'AEO 2017_Table 13'!$C$16)</f>
        <v>8.0934134609983666E-2</v>
      </c>
      <c r="AJ52" s="197">
        <f>IF(AI52="","",$B52*'AEO 2017_Table 13'!AK$16/'AEO 2017_Table 13'!$C$16)</f>
        <v>8.1393748867359464E-2</v>
      </c>
      <c r="AK52" s="197">
        <f>IF(AJ52="","",$B52*'AEO 2017_Table 13'!AL$16/'AEO 2017_Table 13'!$C$16)</f>
        <v>8.1973112424760644E-2</v>
      </c>
    </row>
    <row r="53" spans="1:37" x14ac:dyDescent="0.25">
      <c r="A53" s="209" t="s">
        <v>1434</v>
      </c>
      <c r="B53" s="193"/>
      <c r="C53" s="193" t="str">
        <f>IF(B53="","",$B53*'AEO 2017_Table 13'!D$16/'AEO 2017_Table 13'!$C$16)</f>
        <v/>
      </c>
      <c r="D53" s="193" t="str">
        <f>IF(C53="","",$B53*'AEO 2017_Table 13'!E$16/'AEO 2017_Table 13'!$C$16)</f>
        <v/>
      </c>
      <c r="E53" s="193" t="str">
        <f>IF(D53="","",$B53*'AEO 2017_Table 13'!F$16/'AEO 2017_Table 13'!$C$16)</f>
        <v/>
      </c>
      <c r="F53" s="193" t="str">
        <f>IF(E53="","",$B53*'AEO 2017_Table 13'!G$16/'AEO 2017_Table 13'!$C$16)</f>
        <v/>
      </c>
      <c r="G53" s="193" t="str">
        <f>IF(F53="","",$B53*'AEO 2017_Table 13'!H$16/'AEO 2017_Table 13'!$C$16)</f>
        <v/>
      </c>
      <c r="H53" s="193" t="str">
        <f>IF(G53="","",$B53*'AEO 2017_Table 13'!I$16/'AEO 2017_Table 13'!$C$16)</f>
        <v/>
      </c>
      <c r="I53" s="193" t="str">
        <f>IF(H53="","",$B53*'AEO 2017_Table 13'!J$16/'AEO 2017_Table 13'!$C$16)</f>
        <v/>
      </c>
      <c r="J53" s="193" t="str">
        <f>IF(I53="","",$B53*'AEO 2017_Table 13'!K$16/'AEO 2017_Table 13'!$C$16)</f>
        <v/>
      </c>
      <c r="K53" s="193" t="str">
        <f>IF(J53="","",$B53*'AEO 2017_Table 13'!L$16/'AEO 2017_Table 13'!$C$16)</f>
        <v/>
      </c>
      <c r="L53" s="193" t="str">
        <f>IF(K53="","",$B53*'AEO 2017_Table 13'!M$16/'AEO 2017_Table 13'!$C$16)</f>
        <v/>
      </c>
      <c r="M53" s="193" t="str">
        <f>IF(L53="","",$B53*'AEO 2017_Table 13'!N$16/'AEO 2017_Table 13'!$C$16)</f>
        <v/>
      </c>
      <c r="N53" s="193" t="str">
        <f>IF(M53="","",$B53*'AEO 2017_Table 13'!O$16/'AEO 2017_Table 13'!$C$16)</f>
        <v/>
      </c>
      <c r="O53" s="193" t="str">
        <f>IF(N53="","",$B53*'AEO 2017_Table 13'!P$16/'AEO 2017_Table 13'!$C$16)</f>
        <v/>
      </c>
      <c r="P53" s="193" t="str">
        <f>IF(O53="","",$B53*'AEO 2017_Table 13'!Q$16/'AEO 2017_Table 13'!$C$16)</f>
        <v/>
      </c>
      <c r="Q53" s="193" t="str">
        <f>IF(P53="","",$B53*'AEO 2017_Table 13'!R$16/'AEO 2017_Table 13'!$C$16)</f>
        <v/>
      </c>
      <c r="R53" s="193" t="str">
        <f>IF(Q53="","",$B53*'AEO 2017_Table 13'!S$16/'AEO 2017_Table 13'!$C$16)</f>
        <v/>
      </c>
      <c r="S53" s="193" t="str">
        <f>IF(R53="","",$B53*'AEO 2017_Table 13'!T$16/'AEO 2017_Table 13'!$C$16)</f>
        <v/>
      </c>
      <c r="T53" s="193" t="str">
        <f>IF(S53="","",$B53*'AEO 2017_Table 13'!U$16/'AEO 2017_Table 13'!$C$16)</f>
        <v/>
      </c>
      <c r="U53" s="193" t="str">
        <f>IF(T53="","",$B53*'AEO 2017_Table 13'!V$16/'AEO 2017_Table 13'!$C$16)</f>
        <v/>
      </c>
      <c r="V53" s="193" t="str">
        <f>IF(U53="","",$B53*'AEO 2017_Table 13'!W$16/'AEO 2017_Table 13'!$C$16)</f>
        <v/>
      </c>
      <c r="W53" s="193" t="str">
        <f>IF(V53="","",$B53*'AEO 2017_Table 13'!X$16/'AEO 2017_Table 13'!$C$16)</f>
        <v/>
      </c>
      <c r="X53" s="193" t="str">
        <f>IF(W53="","",$B53*'AEO 2017_Table 13'!Y$16/'AEO 2017_Table 13'!$C$16)</f>
        <v/>
      </c>
      <c r="Y53" s="193" t="str">
        <f>IF(X53="","",$B53*'AEO 2017_Table 13'!Z$16/'AEO 2017_Table 13'!$C$16)</f>
        <v/>
      </c>
      <c r="Z53" s="193" t="str">
        <f>IF(Y53="","",$B53*'AEO 2017_Table 13'!AA$16/'AEO 2017_Table 13'!$C$16)</f>
        <v/>
      </c>
      <c r="AA53" s="193" t="str">
        <f>IF(Z53="","",$B53*'AEO 2017_Table 13'!AB$16/'AEO 2017_Table 13'!$C$16)</f>
        <v/>
      </c>
      <c r="AB53" s="193" t="str">
        <f>IF(AA53="","",$B53*'AEO 2017_Table 13'!AC$16/'AEO 2017_Table 13'!$C$16)</f>
        <v/>
      </c>
      <c r="AC53" s="193" t="str">
        <f>IF(AB53="","",$B53*'AEO 2017_Table 13'!AD$16/'AEO 2017_Table 13'!$C$16)</f>
        <v/>
      </c>
      <c r="AD53" s="193" t="str">
        <f>IF(AC53="","",$B53*'AEO 2017_Table 13'!AE$16/'AEO 2017_Table 13'!$C$16)</f>
        <v/>
      </c>
      <c r="AE53" s="193" t="str">
        <f>IF(AD53="","",$B53*'AEO 2017_Table 13'!AF$16/'AEO 2017_Table 13'!$C$16)</f>
        <v/>
      </c>
      <c r="AF53" s="193" t="str">
        <f>IF(AE53="","",$B53*'AEO 2017_Table 13'!AG$16/'AEO 2017_Table 13'!$C$16)</f>
        <v/>
      </c>
      <c r="AG53" s="193" t="str">
        <f>IF(AF53="","",$B53*'AEO 2017_Table 13'!AH$16/'AEO 2017_Table 13'!$C$16)</f>
        <v/>
      </c>
      <c r="AH53" s="193" t="str">
        <f>IF(AG53="","",$B53*'AEO 2017_Table 13'!AI$16/'AEO 2017_Table 13'!$C$16)</f>
        <v/>
      </c>
      <c r="AI53" s="193" t="str">
        <f>IF(AH53="","",$B53*'AEO 2017_Table 13'!AJ$16/'AEO 2017_Table 13'!$C$16)</f>
        <v/>
      </c>
      <c r="AJ53" s="193" t="str">
        <f>IF(AI53="","",$B53*'AEO 2017_Table 13'!AK$16/'AEO 2017_Table 13'!$C$16)</f>
        <v/>
      </c>
      <c r="AK53" s="193" t="str">
        <f>IF(AJ53="","",$B53*'AEO 2017_Table 13'!AL$16/'AEO 2017_Table 13'!$C$16)</f>
        <v/>
      </c>
    </row>
    <row r="54" spans="1:37" x14ac:dyDescent="0.25">
      <c r="A54" s="219" t="s">
        <v>1435</v>
      </c>
      <c r="B54" s="220">
        <v>252.92233047789131</v>
      </c>
      <c r="C54" s="220">
        <f>IF(B54="","",$B54*'AEO 2017_Table 13'!D$16/'AEO 2017_Table 13'!$C$16)</f>
        <v>248.23861307209302</v>
      </c>
      <c r="D54" s="220">
        <f>IF(C54="","",$B54*'AEO 2017_Table 13'!E$16/'AEO 2017_Table 13'!$C$16)</f>
        <v>260.64391434524219</v>
      </c>
      <c r="E54" s="220">
        <f>IF(D54="","",$B54*'AEO 2017_Table 13'!F$16/'AEO 2017_Table 13'!$C$16)</f>
        <v>272.73067227354949</v>
      </c>
      <c r="F54" s="220">
        <f>IF(E54="","",$B54*'AEO 2017_Table 13'!G$16/'AEO 2017_Table 13'!$C$16)</f>
        <v>281.03641444834324</v>
      </c>
      <c r="G54" s="220">
        <f>IF(F54="","",$B54*'AEO 2017_Table 13'!H$16/'AEO 2017_Table 13'!$C$16)</f>
        <v>288.43212901658421</v>
      </c>
      <c r="H54" s="220">
        <f>IF(G54="","",$B54*'AEO 2017_Table 13'!I$16/'AEO 2017_Table 13'!$C$16)</f>
        <v>289.61451745167341</v>
      </c>
      <c r="I54" s="220">
        <f>IF(H54="","",$B54*'AEO 2017_Table 13'!J$16/'AEO 2017_Table 13'!$C$16)</f>
        <v>293.57577226396131</v>
      </c>
      <c r="J54" s="220">
        <f>IF(I54="","",$B54*'AEO 2017_Table 13'!K$16/'AEO 2017_Table 13'!$C$16)</f>
        <v>298.84426549058907</v>
      </c>
      <c r="K54" s="220">
        <f>IF(J54="","",$B54*'AEO 2017_Table 13'!L$16/'AEO 2017_Table 13'!$C$16)</f>
        <v>303.81426584491209</v>
      </c>
      <c r="L54" s="220">
        <f>IF(K54="","",$B54*'AEO 2017_Table 13'!M$16/'AEO 2017_Table 13'!$C$16)</f>
        <v>308.44946166854652</v>
      </c>
      <c r="M54" s="220">
        <f>IF(L54="","",$B54*'AEO 2017_Table 13'!N$16/'AEO 2017_Table 13'!$C$16)</f>
        <v>312.94603509315681</v>
      </c>
      <c r="N54" s="220">
        <f>IF(M54="","",$B54*'AEO 2017_Table 13'!O$16/'AEO 2017_Table 13'!$C$16)</f>
        <v>314.71271282337699</v>
      </c>
      <c r="O54" s="220">
        <f>IF(N54="","",$B54*'AEO 2017_Table 13'!P$16/'AEO 2017_Table 13'!$C$16)</f>
        <v>317.27217482307049</v>
      </c>
      <c r="P54" s="220">
        <f>IF(O54="","",$B54*'AEO 2017_Table 13'!Q$16/'AEO 2017_Table 13'!$C$16)</f>
        <v>319.18576460171658</v>
      </c>
      <c r="Q54" s="220">
        <f>IF(P54="","",$B54*'AEO 2017_Table 13'!R$16/'AEO 2017_Table 13'!$C$16)</f>
        <v>320.4535570094227</v>
      </c>
      <c r="R54" s="220">
        <f>IF(Q54="","",$B54*'AEO 2017_Table 13'!S$16/'AEO 2017_Table 13'!$C$16)</f>
        <v>322.06231036915642</v>
      </c>
      <c r="S54" s="220">
        <f>IF(R54="","",$B54*'AEO 2017_Table 13'!T$16/'AEO 2017_Table 13'!$C$16)</f>
        <v>324.43506813204323</v>
      </c>
      <c r="T54" s="220">
        <f>IF(S54="","",$B54*'AEO 2017_Table 13'!U$16/'AEO 2017_Table 13'!$C$16)</f>
        <v>326.97128917336897</v>
      </c>
      <c r="U54" s="220">
        <f>IF(T54="","",$B54*'AEO 2017_Table 13'!V$16/'AEO 2017_Table 13'!$C$16)</f>
        <v>330.42121483277685</v>
      </c>
      <c r="V54" s="220">
        <f>IF(U54="","",$B54*'AEO 2017_Table 13'!W$16/'AEO 2017_Table 13'!$C$16)</f>
        <v>335.23446970580574</v>
      </c>
      <c r="W54" s="220">
        <f>IF(V54="","",$B54*'AEO 2017_Table 13'!X$16/'AEO 2017_Table 13'!$C$16)</f>
        <v>339.07342879876018</v>
      </c>
      <c r="X54" s="220">
        <f>IF(W54="","",$B54*'AEO 2017_Table 13'!Y$16/'AEO 2017_Table 13'!$C$16)</f>
        <v>342.41488729618862</v>
      </c>
      <c r="Y54" s="220">
        <f>IF(X54="","",$B54*'AEO 2017_Table 13'!Z$16/'AEO 2017_Table 13'!$C$16)</f>
        <v>345.01278482606511</v>
      </c>
      <c r="Z54" s="220">
        <f>IF(Y54="","",$B54*'AEO 2017_Table 13'!AA$16/'AEO 2017_Table 13'!$C$16)</f>
        <v>348.22453744352106</v>
      </c>
      <c r="AA54" s="220">
        <f>IF(Z54="","",$B54*'AEO 2017_Table 13'!AB$16/'AEO 2017_Table 13'!$C$16)</f>
        <v>349.95043122143653</v>
      </c>
      <c r="AB54" s="220">
        <f>IF(AA54="","",$B54*'AEO 2017_Table 13'!AC$16/'AEO 2017_Table 13'!$C$16)</f>
        <v>351.66989724637358</v>
      </c>
      <c r="AC54" s="220">
        <f>IF(AB54="","",$B54*'AEO 2017_Table 13'!AD$16/'AEO 2017_Table 13'!$C$16)</f>
        <v>352.70915356346387</v>
      </c>
      <c r="AD54" s="220">
        <f>IF(AC54="","",$B54*'AEO 2017_Table 13'!AE$16/'AEO 2017_Table 13'!$C$16)</f>
        <v>354.50724962629226</v>
      </c>
      <c r="AE54" s="220">
        <f>IF(AD54="","",$B54*'AEO 2017_Table 13'!AF$16/'AEO 2017_Table 13'!$C$16)</f>
        <v>357.09504239166108</v>
      </c>
      <c r="AF54" s="220">
        <f>IF(AE54="","",$B54*'AEO 2017_Table 13'!AG$16/'AEO 2017_Table 13'!$C$16)</f>
        <v>359.63444456255411</v>
      </c>
      <c r="AG54" s="220">
        <f>IF(AF54="","",$B54*'AEO 2017_Table 13'!AH$16/'AEO 2017_Table 13'!$C$16)</f>
        <v>361.84088538665492</v>
      </c>
      <c r="AH54" s="220">
        <f>IF(AG54="","",$B54*'AEO 2017_Table 13'!AI$16/'AEO 2017_Table 13'!$C$16)</f>
        <v>364.32067880321586</v>
      </c>
      <c r="AI54" s="220">
        <f>IF(AH54="","",$B54*'AEO 2017_Table 13'!AJ$16/'AEO 2017_Table 13'!$C$16)</f>
        <v>366.37403244502497</v>
      </c>
      <c r="AJ54" s="220">
        <f>IF(AI54="","",$B54*'AEO 2017_Table 13'!AK$16/'AEO 2017_Table 13'!$C$16)</f>
        <v>368.45462216968764</v>
      </c>
      <c r="AK54" s="220">
        <f>IF(AJ54="","",$B54*'AEO 2017_Table 13'!AL$16/'AEO 2017_Table 13'!$C$16)</f>
        <v>371.07729508513489</v>
      </c>
    </row>
    <row r="55" spans="1:37" x14ac:dyDescent="0.25">
      <c r="A55" s="209" t="s">
        <v>1436</v>
      </c>
      <c r="B55" s="193"/>
      <c r="C55" s="193" t="str">
        <f>IF(B55="","",$B55*'AEO 2017_Table 13'!D$16/'AEO 2017_Table 13'!$C$16)</f>
        <v/>
      </c>
      <c r="D55" s="193" t="str">
        <f>IF(C55="","",$B55*'AEO 2017_Table 13'!E$16/'AEO 2017_Table 13'!$C$16)</f>
        <v/>
      </c>
      <c r="E55" s="193" t="str">
        <f>IF(D55="","",$B55*'AEO 2017_Table 13'!F$16/'AEO 2017_Table 13'!$C$16)</f>
        <v/>
      </c>
      <c r="F55" s="193" t="str">
        <f>IF(E55="","",$B55*'AEO 2017_Table 13'!G$16/'AEO 2017_Table 13'!$C$16)</f>
        <v/>
      </c>
      <c r="G55" s="193" t="str">
        <f>IF(F55="","",$B55*'AEO 2017_Table 13'!H$16/'AEO 2017_Table 13'!$C$16)</f>
        <v/>
      </c>
      <c r="H55" s="193" t="str">
        <f>IF(G55="","",$B55*'AEO 2017_Table 13'!I$16/'AEO 2017_Table 13'!$C$16)</f>
        <v/>
      </c>
      <c r="I55" s="193" t="str">
        <f>IF(H55="","",$B55*'AEO 2017_Table 13'!J$16/'AEO 2017_Table 13'!$C$16)</f>
        <v/>
      </c>
      <c r="J55" s="193" t="str">
        <f>IF(I55="","",$B55*'AEO 2017_Table 13'!K$16/'AEO 2017_Table 13'!$C$16)</f>
        <v/>
      </c>
      <c r="K55" s="193" t="str">
        <f>IF(J55="","",$B55*'AEO 2017_Table 13'!L$16/'AEO 2017_Table 13'!$C$16)</f>
        <v/>
      </c>
      <c r="L55" s="193" t="str">
        <f>IF(K55="","",$B55*'AEO 2017_Table 13'!M$16/'AEO 2017_Table 13'!$C$16)</f>
        <v/>
      </c>
      <c r="M55" s="193" t="str">
        <f>IF(L55="","",$B55*'AEO 2017_Table 13'!N$16/'AEO 2017_Table 13'!$C$16)</f>
        <v/>
      </c>
      <c r="N55" s="193" t="str">
        <f>IF(M55="","",$B55*'AEO 2017_Table 13'!O$16/'AEO 2017_Table 13'!$C$16)</f>
        <v/>
      </c>
      <c r="O55" s="193" t="str">
        <f>IF(N55="","",$B55*'AEO 2017_Table 13'!P$16/'AEO 2017_Table 13'!$C$16)</f>
        <v/>
      </c>
      <c r="P55" s="193" t="str">
        <f>IF(O55="","",$B55*'AEO 2017_Table 13'!Q$16/'AEO 2017_Table 13'!$C$16)</f>
        <v/>
      </c>
      <c r="Q55" s="193" t="str">
        <f>IF(P55="","",$B55*'AEO 2017_Table 13'!R$16/'AEO 2017_Table 13'!$C$16)</f>
        <v/>
      </c>
      <c r="R55" s="193" t="str">
        <f>IF(Q55="","",$B55*'AEO 2017_Table 13'!S$16/'AEO 2017_Table 13'!$C$16)</f>
        <v/>
      </c>
      <c r="S55" s="193" t="str">
        <f>IF(R55="","",$B55*'AEO 2017_Table 13'!T$16/'AEO 2017_Table 13'!$C$16)</f>
        <v/>
      </c>
      <c r="T55" s="193" t="str">
        <f>IF(S55="","",$B55*'AEO 2017_Table 13'!U$16/'AEO 2017_Table 13'!$C$16)</f>
        <v/>
      </c>
      <c r="U55" s="193" t="str">
        <f>IF(T55="","",$B55*'AEO 2017_Table 13'!V$16/'AEO 2017_Table 13'!$C$16)</f>
        <v/>
      </c>
      <c r="V55" s="193" t="str">
        <f>IF(U55="","",$B55*'AEO 2017_Table 13'!W$16/'AEO 2017_Table 13'!$C$16)</f>
        <v/>
      </c>
      <c r="W55" s="193" t="str">
        <f>IF(V55="","",$B55*'AEO 2017_Table 13'!X$16/'AEO 2017_Table 13'!$C$16)</f>
        <v/>
      </c>
      <c r="X55" s="193" t="str">
        <f>IF(W55="","",$B55*'AEO 2017_Table 13'!Y$16/'AEO 2017_Table 13'!$C$16)</f>
        <v/>
      </c>
      <c r="Y55" s="193" t="str">
        <f>IF(X55="","",$B55*'AEO 2017_Table 13'!Z$16/'AEO 2017_Table 13'!$C$16)</f>
        <v/>
      </c>
      <c r="Z55" s="193" t="str">
        <f>IF(Y55="","",$B55*'AEO 2017_Table 13'!AA$16/'AEO 2017_Table 13'!$C$16)</f>
        <v/>
      </c>
      <c r="AA55" s="193" t="str">
        <f>IF(Z55="","",$B55*'AEO 2017_Table 13'!AB$16/'AEO 2017_Table 13'!$C$16)</f>
        <v/>
      </c>
      <c r="AB55" s="193" t="str">
        <f>IF(AA55="","",$B55*'AEO 2017_Table 13'!AC$16/'AEO 2017_Table 13'!$C$16)</f>
        <v/>
      </c>
      <c r="AC55" s="193" t="str">
        <f>IF(AB55="","",$B55*'AEO 2017_Table 13'!AD$16/'AEO 2017_Table 13'!$C$16)</f>
        <v/>
      </c>
      <c r="AD55" s="193" t="str">
        <f>IF(AC55="","",$B55*'AEO 2017_Table 13'!AE$16/'AEO 2017_Table 13'!$C$16)</f>
        <v/>
      </c>
      <c r="AE55" s="193" t="str">
        <f>IF(AD55="","",$B55*'AEO 2017_Table 13'!AF$16/'AEO 2017_Table 13'!$C$16)</f>
        <v/>
      </c>
      <c r="AF55" s="193" t="str">
        <f>IF(AE55="","",$B55*'AEO 2017_Table 13'!AG$16/'AEO 2017_Table 13'!$C$16)</f>
        <v/>
      </c>
      <c r="AG55" s="193" t="str">
        <f>IF(AF55="","",$B55*'AEO 2017_Table 13'!AH$16/'AEO 2017_Table 13'!$C$16)</f>
        <v/>
      </c>
      <c r="AH55" s="193" t="str">
        <f>IF(AG55="","",$B55*'AEO 2017_Table 13'!AI$16/'AEO 2017_Table 13'!$C$16)</f>
        <v/>
      </c>
      <c r="AI55" s="193" t="str">
        <f>IF(AH55="","",$B55*'AEO 2017_Table 13'!AJ$16/'AEO 2017_Table 13'!$C$16)</f>
        <v/>
      </c>
      <c r="AJ55" s="193" t="str">
        <f>IF(AI55="","",$B55*'AEO 2017_Table 13'!AK$16/'AEO 2017_Table 13'!$C$16)</f>
        <v/>
      </c>
      <c r="AK55" s="193" t="str">
        <f>IF(AJ55="","",$B55*'AEO 2017_Table 13'!AL$16/'AEO 2017_Table 13'!$C$16)</f>
        <v/>
      </c>
    </row>
    <row r="56" spans="1:37" ht="24" x14ac:dyDescent="0.25">
      <c r="A56" s="215" t="s">
        <v>1437</v>
      </c>
      <c r="B56" s="195">
        <v>120.67322120117747</v>
      </c>
      <c r="C56" s="195">
        <f>IF(B56="","",$B56*'AEO 2017_Table 13'!D$16/'AEO 2017_Table 13'!$C$16)</f>
        <v>118.4385459730718</v>
      </c>
      <c r="D56" s="195">
        <f>IF(C56="","",$B56*'AEO 2017_Table 13'!E$16/'AEO 2017_Table 13'!$C$16)</f>
        <v>124.35731029005973</v>
      </c>
      <c r="E56" s="195">
        <f>IF(D56="","",$B56*'AEO 2017_Table 13'!F$16/'AEO 2017_Table 13'!$C$16)</f>
        <v>130.12409256797017</v>
      </c>
      <c r="F56" s="195">
        <f>IF(E56="","",$B56*'AEO 2017_Table 13'!G$16/'AEO 2017_Table 13'!$C$16)</f>
        <v>134.0868927715151</v>
      </c>
      <c r="G56" s="195">
        <f>IF(F56="","",$B56*'AEO 2017_Table 13'!H$16/'AEO 2017_Table 13'!$C$16)</f>
        <v>137.61550449333424</v>
      </c>
      <c r="H56" s="195">
        <f>IF(G56="","",$B56*'AEO 2017_Table 13'!I$16/'AEO 2017_Table 13'!$C$16)</f>
        <v>138.17964060936495</v>
      </c>
      <c r="I56" s="195">
        <f>IF(H56="","",$B56*'AEO 2017_Table 13'!J$16/'AEO 2017_Table 13'!$C$16)</f>
        <v>140.06961757302113</v>
      </c>
      <c r="J56" s="195">
        <f>IF(I56="","",$B56*'AEO 2017_Table 13'!K$16/'AEO 2017_Table 13'!$C$16)</f>
        <v>142.58329854113688</v>
      </c>
      <c r="K56" s="195">
        <f>IF(J56="","",$B56*'AEO 2017_Table 13'!L$16/'AEO 2017_Table 13'!$C$16)</f>
        <v>144.9545638659263</v>
      </c>
      <c r="L56" s="195">
        <f>IF(K56="","",$B56*'AEO 2017_Table 13'!M$16/'AEO 2017_Table 13'!$C$16)</f>
        <v>147.16608868415545</v>
      </c>
      <c r="M56" s="195">
        <f>IF(L56="","",$B56*'AEO 2017_Table 13'!N$16/'AEO 2017_Table 13'!$C$16)</f>
        <v>149.31147457590359</v>
      </c>
      <c r="N56" s="195">
        <f>IF(M56="","",$B56*'AEO 2017_Table 13'!O$16/'AEO 2017_Table 13'!$C$16)</f>
        <v>150.15438430288279</v>
      </c>
      <c r="O56" s="195">
        <f>IF(N56="","",$B56*'AEO 2017_Table 13'!P$16/'AEO 2017_Table 13'!$C$16)</f>
        <v>151.37554387175692</v>
      </c>
      <c r="P56" s="195">
        <f>IF(O56="","",$B56*'AEO 2017_Table 13'!Q$16/'AEO 2017_Table 13'!$C$16)</f>
        <v>152.28854764730553</v>
      </c>
      <c r="Q56" s="195">
        <f>IF(P56="","",$B56*'AEO 2017_Table 13'!R$16/'AEO 2017_Table 13'!$C$16)</f>
        <v>152.89343134169198</v>
      </c>
      <c r="R56" s="195">
        <f>IF(Q56="","",$B56*'AEO 2017_Table 13'!S$16/'AEO 2017_Table 13'!$C$16)</f>
        <v>153.6609928680723</v>
      </c>
      <c r="S56" s="195">
        <f>IF(R56="","",$B56*'AEO 2017_Table 13'!T$16/'AEO 2017_Table 13'!$C$16)</f>
        <v>154.79307290954841</v>
      </c>
      <c r="T56" s="195">
        <f>IF(S56="","",$B56*'AEO 2017_Table 13'!U$16/'AEO 2017_Table 13'!$C$16)</f>
        <v>156.00314385170964</v>
      </c>
      <c r="U56" s="195">
        <f>IF(T56="","",$B56*'AEO 2017_Table 13'!V$16/'AEO 2017_Table 13'!$C$16)</f>
        <v>157.64915763562001</v>
      </c>
      <c r="V56" s="195">
        <f>IF(U56="","",$B56*'AEO 2017_Table 13'!W$16/'AEO 2017_Table 13'!$C$16)</f>
        <v>159.9456372263829</v>
      </c>
      <c r="W56" s="195">
        <f>IF(V56="","",$B56*'AEO 2017_Table 13'!X$16/'AEO 2017_Table 13'!$C$16)</f>
        <v>161.77726497918368</v>
      </c>
      <c r="X56" s="195">
        <f>IF(W56="","",$B56*'AEO 2017_Table 13'!Y$16/'AEO 2017_Table 13'!$C$16)</f>
        <v>163.37152737441329</v>
      </c>
      <c r="Y56" s="195">
        <f>IF(X56="","",$B56*'AEO 2017_Table 13'!Z$16/'AEO 2017_Table 13'!$C$16)</f>
        <v>164.61102513915569</v>
      </c>
      <c r="Z56" s="195">
        <f>IF(Y56="","",$B56*'AEO 2017_Table 13'!AA$16/'AEO 2017_Table 13'!$C$16)</f>
        <v>166.14340281936052</v>
      </c>
      <c r="AA56" s="195">
        <f>IF(Z56="","",$B56*'AEO 2017_Table 13'!AB$16/'AEO 2017_Table 13'!$C$16)</f>
        <v>166.96685388134708</v>
      </c>
      <c r="AB56" s="195">
        <f>IF(AA56="","",$B56*'AEO 2017_Table 13'!AC$16/'AEO 2017_Table 13'!$C$16)</f>
        <v>167.78723816130801</v>
      </c>
      <c r="AC56" s="195">
        <f>IF(AB56="","",$B56*'AEO 2017_Table 13'!AD$16/'AEO 2017_Table 13'!$C$16)</f>
        <v>168.28308369301723</v>
      </c>
      <c r="AD56" s="195">
        <f>IF(AC56="","",$B56*'AEO 2017_Table 13'!AE$16/'AEO 2017_Table 13'!$C$16)</f>
        <v>169.1409836005528</v>
      </c>
      <c r="AE56" s="195">
        <f>IF(AD56="","",$B56*'AEO 2017_Table 13'!AF$16/'AEO 2017_Table 13'!$C$16)</f>
        <v>170.37566022324609</v>
      </c>
      <c r="AF56" s="195">
        <f>IF(AE56="","",$B56*'AEO 2017_Table 13'!AG$16/'AEO 2017_Table 13'!$C$16)</f>
        <v>171.58724893234864</v>
      </c>
      <c r="AG56" s="195">
        <f>IF(AF56="","",$B56*'AEO 2017_Table 13'!AH$16/'AEO 2017_Table 13'!$C$16)</f>
        <v>172.63997654691292</v>
      </c>
      <c r="AH56" s="195">
        <f>IF(AG56="","",$B56*'AEO 2017_Table 13'!AI$16/'AEO 2017_Table 13'!$C$16)</f>
        <v>173.82312498194617</v>
      </c>
      <c r="AI56" s="195">
        <f>IF(AH56="","",$B56*'AEO 2017_Table 13'!AJ$16/'AEO 2017_Table 13'!$C$16)</f>
        <v>174.80281229446655</v>
      </c>
      <c r="AJ56" s="195">
        <f>IF(AI56="","",$B56*'AEO 2017_Table 13'!AK$16/'AEO 2017_Table 13'!$C$16)</f>
        <v>175.7954943704174</v>
      </c>
      <c r="AK56" s="195">
        <f>IF(AJ56="","",$B56*'AEO 2017_Table 13'!AL$16/'AEO 2017_Table 13'!$C$16)</f>
        <v>177.0468128612209</v>
      </c>
    </row>
    <row r="57" spans="1:37" ht="24" x14ac:dyDescent="0.25">
      <c r="A57" s="208" t="s">
        <v>1438</v>
      </c>
      <c r="B57" s="197">
        <v>88.464293831705817</v>
      </c>
      <c r="C57" s="197">
        <f>IF(B57="","",$B57*'AEO 2017_Table 13'!D$16/'AEO 2017_Table 13'!$C$16)</f>
        <v>86.826076470556544</v>
      </c>
      <c r="D57" s="197">
        <f>IF(C57="","",$B57*'AEO 2017_Table 13'!E$16/'AEO 2017_Table 13'!$C$16)</f>
        <v>91.16506154484847</v>
      </c>
      <c r="E57" s="197">
        <f>IF(D57="","",$B57*'AEO 2017_Table 13'!F$16/'AEO 2017_Table 13'!$C$16)</f>
        <v>95.392630153844593</v>
      </c>
      <c r="F57" s="197">
        <f>IF(E57="","",$B57*'AEO 2017_Table 13'!G$16/'AEO 2017_Table 13'!$C$16)</f>
        <v>98.297718110503212</v>
      </c>
      <c r="G57" s="197">
        <f>IF(F57="","",$B57*'AEO 2017_Table 13'!H$16/'AEO 2017_Table 13'!$C$16)</f>
        <v>100.88450696945485</v>
      </c>
      <c r="H57" s="197">
        <f>IF(G57="","",$B57*'AEO 2017_Table 13'!I$16/'AEO 2017_Table 13'!$C$16)</f>
        <v>101.29806933758304</v>
      </c>
      <c r="I57" s="197">
        <f>IF(H57="","",$B57*'AEO 2017_Table 13'!J$16/'AEO 2017_Table 13'!$C$16)</f>
        <v>102.68359195630305</v>
      </c>
      <c r="J57" s="197">
        <f>IF(I57="","",$B57*'AEO 2017_Table 13'!K$16/'AEO 2017_Table 13'!$C$16)</f>
        <v>104.52634554777168</v>
      </c>
      <c r="K57" s="197">
        <f>IF(J57="","",$B57*'AEO 2017_Table 13'!L$16/'AEO 2017_Table 13'!$C$16)</f>
        <v>106.26469570000133</v>
      </c>
      <c r="L57" s="197">
        <f>IF(K57="","",$B57*'AEO 2017_Table 13'!M$16/'AEO 2017_Table 13'!$C$16)</f>
        <v>107.88594173444483</v>
      </c>
      <c r="M57" s="197">
        <f>IF(L57="","",$B57*'AEO 2017_Table 13'!N$16/'AEO 2017_Table 13'!$C$16)</f>
        <v>109.45870200404599</v>
      </c>
      <c r="N57" s="197">
        <f>IF(M57="","",$B57*'AEO 2017_Table 13'!O$16/'AEO 2017_Table 13'!$C$16)</f>
        <v>110.0766304310727</v>
      </c>
      <c r="O57" s="197">
        <f>IF(N57="","",$B57*'AEO 2017_Table 13'!P$16/'AEO 2017_Table 13'!$C$16)</f>
        <v>110.9718499159009</v>
      </c>
      <c r="P57" s="197">
        <f>IF(O57="","",$B57*'AEO 2017_Table 13'!Q$16/'AEO 2017_Table 13'!$C$16)</f>
        <v>111.64116356697964</v>
      </c>
      <c r="Q57" s="197">
        <f>IF(P57="","",$B57*'AEO 2017_Table 13'!R$16/'AEO 2017_Table 13'!$C$16)</f>
        <v>112.08459756452744</v>
      </c>
      <c r="R57" s="197">
        <f>IF(Q57="","",$B57*'AEO 2017_Table 13'!S$16/'AEO 2017_Table 13'!$C$16)</f>
        <v>112.64728900284102</v>
      </c>
      <c r="S57" s="197">
        <f>IF(R57="","",$B57*'AEO 2017_Table 13'!T$16/'AEO 2017_Table 13'!$C$16)</f>
        <v>113.47720520490536</v>
      </c>
      <c r="T57" s="197">
        <f>IF(S57="","",$B57*'AEO 2017_Table 13'!U$16/'AEO 2017_Table 13'!$C$16)</f>
        <v>114.36429573185912</v>
      </c>
      <c r="U57" s="197">
        <f>IF(T57="","",$B57*'AEO 2017_Table 13'!V$16/'AEO 2017_Table 13'!$C$16)</f>
        <v>115.57097145975843</v>
      </c>
      <c r="V57" s="197">
        <f>IF(U57="","",$B57*'AEO 2017_Table 13'!W$16/'AEO 2017_Table 13'!$C$16)</f>
        <v>117.25449696171778</v>
      </c>
      <c r="W57" s="197">
        <f>IF(V57="","",$B57*'AEO 2017_Table 13'!X$16/'AEO 2017_Table 13'!$C$16)</f>
        <v>118.59724437577698</v>
      </c>
      <c r="X57" s="197">
        <f>IF(W57="","",$B57*'AEO 2017_Table 13'!Y$16/'AEO 2017_Table 13'!$C$16)</f>
        <v>119.76598169440138</v>
      </c>
      <c r="Y57" s="197">
        <f>IF(X57="","",$B57*'AEO 2017_Table 13'!Z$16/'AEO 2017_Table 13'!$C$16)</f>
        <v>120.67464472147934</v>
      </c>
      <c r="Z57" s="197">
        <f>IF(Y57="","",$B57*'AEO 2017_Table 13'!AA$16/'AEO 2017_Table 13'!$C$16)</f>
        <v>121.79801499380176</v>
      </c>
      <c r="AA57" s="197">
        <f>IF(Z57="","",$B57*'AEO 2017_Table 13'!AB$16/'AEO 2017_Table 13'!$C$16)</f>
        <v>122.40167847422022</v>
      </c>
      <c r="AB57" s="197">
        <f>IF(AA57="","",$B57*'AEO 2017_Table 13'!AC$16/'AEO 2017_Table 13'!$C$16)</f>
        <v>123.00309372836665</v>
      </c>
      <c r="AC57" s="197">
        <f>IF(AB57="","",$B57*'AEO 2017_Table 13'!AD$16/'AEO 2017_Table 13'!$C$16)</f>
        <v>123.366592973482</v>
      </c>
      <c r="AD57" s="197">
        <f>IF(AC57="","",$B57*'AEO 2017_Table 13'!AE$16/'AEO 2017_Table 13'!$C$16)</f>
        <v>123.99551054726496</v>
      </c>
      <c r="AE57" s="197">
        <f>IF(AD57="","",$B57*'AEO 2017_Table 13'!AF$16/'AEO 2017_Table 13'!$C$16)</f>
        <v>124.90063924483228</v>
      </c>
      <c r="AF57" s="197">
        <f>IF(AE57="","",$B57*'AEO 2017_Table 13'!AG$16/'AEO 2017_Table 13'!$C$16)</f>
        <v>125.78884243107642</v>
      </c>
      <c r="AG57" s="197">
        <f>IF(AF57="","",$B57*'AEO 2017_Table 13'!AH$16/'AEO 2017_Table 13'!$C$16)</f>
        <v>126.56058618741739</v>
      </c>
      <c r="AH57" s="197">
        <f>IF(AG57="","",$B57*'AEO 2017_Table 13'!AI$16/'AEO 2017_Table 13'!$C$16)</f>
        <v>127.42794010207599</v>
      </c>
      <c r="AI57" s="197">
        <f>IF(AH57="","",$B57*'AEO 2017_Table 13'!AJ$16/'AEO 2017_Table 13'!$C$16)</f>
        <v>128.14613876633069</v>
      </c>
      <c r="AJ57" s="197">
        <f>IF(AI57="","",$B57*'AEO 2017_Table 13'!AK$16/'AEO 2017_Table 13'!$C$16)</f>
        <v>128.8738637576275</v>
      </c>
      <c r="AK57" s="197">
        <f>IF(AJ57="","",$B57*'AEO 2017_Table 13'!AL$16/'AEO 2017_Table 13'!$C$16)</f>
        <v>129.7911924370612</v>
      </c>
    </row>
    <row r="58" spans="1:37" x14ac:dyDescent="0.25">
      <c r="A58" s="209" t="s">
        <v>1439</v>
      </c>
      <c r="B58" s="193"/>
      <c r="C58" s="193" t="str">
        <f>IF(B58="","",$B58*'AEO 2017_Table 13'!D$16/'AEO 2017_Table 13'!$C$16)</f>
        <v/>
      </c>
      <c r="D58" s="193" t="str">
        <f>IF(C58="","",$B58*'AEO 2017_Table 13'!E$16/'AEO 2017_Table 13'!$C$16)</f>
        <v/>
      </c>
      <c r="E58" s="193" t="str">
        <f>IF(D58="","",$B58*'AEO 2017_Table 13'!F$16/'AEO 2017_Table 13'!$C$16)</f>
        <v/>
      </c>
      <c r="F58" s="193" t="str">
        <f>IF(E58="","",$B58*'AEO 2017_Table 13'!G$16/'AEO 2017_Table 13'!$C$16)</f>
        <v/>
      </c>
      <c r="G58" s="193" t="str">
        <f>IF(F58="","",$B58*'AEO 2017_Table 13'!H$16/'AEO 2017_Table 13'!$C$16)</f>
        <v/>
      </c>
      <c r="H58" s="193" t="str">
        <f>IF(G58="","",$B58*'AEO 2017_Table 13'!I$16/'AEO 2017_Table 13'!$C$16)</f>
        <v/>
      </c>
      <c r="I58" s="193" t="str">
        <f>IF(H58="","",$B58*'AEO 2017_Table 13'!J$16/'AEO 2017_Table 13'!$C$16)</f>
        <v/>
      </c>
      <c r="J58" s="193" t="str">
        <f>IF(I58="","",$B58*'AEO 2017_Table 13'!K$16/'AEO 2017_Table 13'!$C$16)</f>
        <v/>
      </c>
      <c r="K58" s="193" t="str">
        <f>IF(J58="","",$B58*'AEO 2017_Table 13'!L$16/'AEO 2017_Table 13'!$C$16)</f>
        <v/>
      </c>
      <c r="L58" s="193" t="str">
        <f>IF(K58="","",$B58*'AEO 2017_Table 13'!M$16/'AEO 2017_Table 13'!$C$16)</f>
        <v/>
      </c>
      <c r="M58" s="193" t="str">
        <f>IF(L58="","",$B58*'AEO 2017_Table 13'!N$16/'AEO 2017_Table 13'!$C$16)</f>
        <v/>
      </c>
      <c r="N58" s="193" t="str">
        <f>IF(M58="","",$B58*'AEO 2017_Table 13'!O$16/'AEO 2017_Table 13'!$C$16)</f>
        <v/>
      </c>
      <c r="O58" s="193" t="str">
        <f>IF(N58="","",$B58*'AEO 2017_Table 13'!P$16/'AEO 2017_Table 13'!$C$16)</f>
        <v/>
      </c>
      <c r="P58" s="193" t="str">
        <f>IF(O58="","",$B58*'AEO 2017_Table 13'!Q$16/'AEO 2017_Table 13'!$C$16)</f>
        <v/>
      </c>
      <c r="Q58" s="193" t="str">
        <f>IF(P58="","",$B58*'AEO 2017_Table 13'!R$16/'AEO 2017_Table 13'!$C$16)</f>
        <v/>
      </c>
      <c r="R58" s="193" t="str">
        <f>IF(Q58="","",$B58*'AEO 2017_Table 13'!S$16/'AEO 2017_Table 13'!$C$16)</f>
        <v/>
      </c>
      <c r="S58" s="193" t="str">
        <f>IF(R58="","",$B58*'AEO 2017_Table 13'!T$16/'AEO 2017_Table 13'!$C$16)</f>
        <v/>
      </c>
      <c r="T58" s="193" t="str">
        <f>IF(S58="","",$B58*'AEO 2017_Table 13'!U$16/'AEO 2017_Table 13'!$C$16)</f>
        <v/>
      </c>
      <c r="U58" s="193" t="str">
        <f>IF(T58="","",$B58*'AEO 2017_Table 13'!V$16/'AEO 2017_Table 13'!$C$16)</f>
        <v/>
      </c>
      <c r="V58" s="193" t="str">
        <f>IF(U58="","",$B58*'AEO 2017_Table 13'!W$16/'AEO 2017_Table 13'!$C$16)</f>
        <v/>
      </c>
      <c r="W58" s="193" t="str">
        <f>IF(V58="","",$B58*'AEO 2017_Table 13'!X$16/'AEO 2017_Table 13'!$C$16)</f>
        <v/>
      </c>
      <c r="X58" s="193" t="str">
        <f>IF(W58="","",$B58*'AEO 2017_Table 13'!Y$16/'AEO 2017_Table 13'!$C$16)</f>
        <v/>
      </c>
      <c r="Y58" s="193" t="str">
        <f>IF(X58="","",$B58*'AEO 2017_Table 13'!Z$16/'AEO 2017_Table 13'!$C$16)</f>
        <v/>
      </c>
      <c r="Z58" s="193" t="str">
        <f>IF(Y58="","",$B58*'AEO 2017_Table 13'!AA$16/'AEO 2017_Table 13'!$C$16)</f>
        <v/>
      </c>
      <c r="AA58" s="193" t="str">
        <f>IF(Z58="","",$B58*'AEO 2017_Table 13'!AB$16/'AEO 2017_Table 13'!$C$16)</f>
        <v/>
      </c>
      <c r="AB58" s="193" t="str">
        <f>IF(AA58="","",$B58*'AEO 2017_Table 13'!AC$16/'AEO 2017_Table 13'!$C$16)</f>
        <v/>
      </c>
      <c r="AC58" s="193" t="str">
        <f>IF(AB58="","",$B58*'AEO 2017_Table 13'!AD$16/'AEO 2017_Table 13'!$C$16)</f>
        <v/>
      </c>
      <c r="AD58" s="193" t="str">
        <f>IF(AC58="","",$B58*'AEO 2017_Table 13'!AE$16/'AEO 2017_Table 13'!$C$16)</f>
        <v/>
      </c>
      <c r="AE58" s="193" t="str">
        <f>IF(AD58="","",$B58*'AEO 2017_Table 13'!AF$16/'AEO 2017_Table 13'!$C$16)</f>
        <v/>
      </c>
      <c r="AF58" s="193" t="str">
        <f>IF(AE58="","",$B58*'AEO 2017_Table 13'!AG$16/'AEO 2017_Table 13'!$C$16)</f>
        <v/>
      </c>
      <c r="AG58" s="193" t="str">
        <f>IF(AF58="","",$B58*'AEO 2017_Table 13'!AH$16/'AEO 2017_Table 13'!$C$16)</f>
        <v/>
      </c>
      <c r="AH58" s="193" t="str">
        <f>IF(AG58="","",$B58*'AEO 2017_Table 13'!AI$16/'AEO 2017_Table 13'!$C$16)</f>
        <v/>
      </c>
      <c r="AI58" s="193" t="str">
        <f>IF(AH58="","",$B58*'AEO 2017_Table 13'!AJ$16/'AEO 2017_Table 13'!$C$16)</f>
        <v/>
      </c>
      <c r="AJ58" s="193" t="str">
        <f>IF(AI58="","",$B58*'AEO 2017_Table 13'!AK$16/'AEO 2017_Table 13'!$C$16)</f>
        <v/>
      </c>
      <c r="AK58" s="193" t="str">
        <f>IF(AJ58="","",$B58*'AEO 2017_Table 13'!AL$16/'AEO 2017_Table 13'!$C$16)</f>
        <v/>
      </c>
    </row>
    <row r="59" spans="1:37" x14ac:dyDescent="0.25">
      <c r="A59" s="215" t="s">
        <v>1440</v>
      </c>
      <c r="B59" s="195">
        <v>0.6191097787187807</v>
      </c>
      <c r="C59" s="195">
        <f>IF(B59="","",$B59*'AEO 2017_Table 13'!D$16/'AEO 2017_Table 13'!$C$16)</f>
        <v>0.60764485491705045</v>
      </c>
      <c r="D59" s="195">
        <f>IF(C59="","",$B59*'AEO 2017_Table 13'!E$16/'AEO 2017_Table 13'!$C$16)</f>
        <v>0.63801087009509938</v>
      </c>
      <c r="E59" s="195">
        <f>IF(D59="","",$B59*'AEO 2017_Table 13'!F$16/'AEO 2017_Table 13'!$C$16)</f>
        <v>0.66759714668950998</v>
      </c>
      <c r="F59" s="195">
        <f>IF(E59="","",$B59*'AEO 2017_Table 13'!G$16/'AEO 2017_Table 13'!$C$16)</f>
        <v>0.68792815577920086</v>
      </c>
      <c r="G59" s="195">
        <f>IF(F59="","",$B59*'AEO 2017_Table 13'!H$16/'AEO 2017_Table 13'!$C$16)</f>
        <v>0.70603157591280252</v>
      </c>
      <c r="H59" s="195">
        <f>IF(G59="","",$B59*'AEO 2017_Table 13'!I$16/'AEO 2017_Table 13'!$C$16)</f>
        <v>0.70892585670257913</v>
      </c>
      <c r="I59" s="195">
        <f>IF(H59="","",$B59*'AEO 2017_Table 13'!J$16/'AEO 2017_Table 13'!$C$16)</f>
        <v>0.71862231800613596</v>
      </c>
      <c r="J59" s="195">
        <f>IF(I59="","",$B59*'AEO 2017_Table 13'!K$16/'AEO 2017_Table 13'!$C$16)</f>
        <v>0.73151867108637159</v>
      </c>
      <c r="K59" s="195">
        <f>IF(J59="","",$B59*'AEO 2017_Table 13'!L$16/'AEO 2017_Table 13'!$C$16)</f>
        <v>0.74368436564478924</v>
      </c>
      <c r="L59" s="195">
        <f>IF(K59="","",$B59*'AEO 2017_Table 13'!M$16/'AEO 2017_Table 13'!$C$16)</f>
        <v>0.75503051707106428</v>
      </c>
      <c r="M59" s="195">
        <f>IF(L59="","",$B59*'AEO 2017_Table 13'!N$16/'AEO 2017_Table 13'!$C$16)</f>
        <v>0.76603734502746945</v>
      </c>
      <c r="N59" s="195">
        <f>IF(M59="","",$B59*'AEO 2017_Table 13'!O$16/'AEO 2017_Table 13'!$C$16)</f>
        <v>0.77036186416564678</v>
      </c>
      <c r="O59" s="195">
        <f>IF(N59="","",$B59*'AEO 2017_Table 13'!P$16/'AEO 2017_Table 13'!$C$16)</f>
        <v>0.77662698100715022</v>
      </c>
      <c r="P59" s="195">
        <f>IF(O59="","",$B59*'AEO 2017_Table 13'!Q$16/'AEO 2017_Table 13'!$C$16)</f>
        <v>0.78131111523198371</v>
      </c>
      <c r="Q59" s="195">
        <f>IF(P59="","",$B59*'AEO 2017_Table 13'!R$16/'AEO 2017_Table 13'!$C$16)</f>
        <v>0.78441445006016297</v>
      </c>
      <c r="R59" s="195">
        <f>IF(Q59="","",$B59*'AEO 2017_Table 13'!S$16/'AEO 2017_Table 13'!$C$16)</f>
        <v>0.78835239786681122</v>
      </c>
      <c r="S59" s="195">
        <f>IF(R59="","",$B59*'AEO 2017_Table 13'!T$16/'AEO 2017_Table 13'!$C$16)</f>
        <v>0.79416049528058441</v>
      </c>
      <c r="T59" s="195">
        <f>IF(S59="","",$B59*'AEO 2017_Table 13'!U$16/'AEO 2017_Table 13'!$C$16)</f>
        <v>0.80036872230708012</v>
      </c>
      <c r="U59" s="195">
        <f>IF(T59="","",$B59*'AEO 2017_Table 13'!V$16/'AEO 2017_Table 13'!$C$16)</f>
        <v>0.80881353897295749</v>
      </c>
      <c r="V59" s="195">
        <f>IF(U59="","",$B59*'AEO 2017_Table 13'!W$16/'AEO 2017_Table 13'!$C$16)</f>
        <v>0.82059554791510003</v>
      </c>
      <c r="W59" s="195">
        <f>IF(V59="","",$B59*'AEO 2017_Table 13'!X$16/'AEO 2017_Table 13'!$C$16)</f>
        <v>0.82999265061480487</v>
      </c>
      <c r="X59" s="195">
        <f>IF(W59="","",$B59*'AEO 2017_Table 13'!Y$16/'AEO 2017_Table 13'!$C$16)</f>
        <v>0.83817195857481019</v>
      </c>
      <c r="Y59" s="195">
        <f>IF(X59="","",$B59*'AEO 2017_Table 13'!Z$16/'AEO 2017_Table 13'!$C$16)</f>
        <v>0.84453115889459585</v>
      </c>
      <c r="Z59" s="195">
        <f>IF(Y59="","",$B59*'AEO 2017_Table 13'!AA$16/'AEO 2017_Table 13'!$C$16)</f>
        <v>0.85239296946915244</v>
      </c>
      <c r="AA59" s="195">
        <f>IF(Z59="","",$B59*'AEO 2017_Table 13'!AB$16/'AEO 2017_Table 13'!$C$16)</f>
        <v>0.85661765660104161</v>
      </c>
      <c r="AB59" s="195">
        <f>IF(AA59="","",$B59*'AEO 2017_Table 13'!AC$16/'AEO 2017_Table 13'!$C$16)</f>
        <v>0.86082660971404612</v>
      </c>
      <c r="AC59" s="195">
        <f>IF(AB59="","",$B59*'AEO 2017_Table 13'!AD$16/'AEO 2017_Table 13'!$C$16)</f>
        <v>0.8633705280279812</v>
      </c>
      <c r="AD59" s="195">
        <f>IF(AC59="","",$B59*'AEO 2017_Table 13'!AE$16/'AEO 2017_Table 13'!$C$16)</f>
        <v>0.86777195376792826</v>
      </c>
      <c r="AE59" s="195">
        <f>IF(AD59="","",$B59*'AEO 2017_Table 13'!AF$16/'AEO 2017_Table 13'!$C$16)</f>
        <v>0.87410641938553646</v>
      </c>
      <c r="AF59" s="195">
        <f>IF(AE59="","",$B59*'AEO 2017_Table 13'!AG$16/'AEO 2017_Table 13'!$C$16)</f>
        <v>0.88032243326271764</v>
      </c>
      <c r="AG59" s="195">
        <f>IF(AF59="","",$B59*'AEO 2017_Table 13'!AH$16/'AEO 2017_Table 13'!$C$16)</f>
        <v>0.88572341580065339</v>
      </c>
      <c r="AH59" s="195">
        <f>IF(AG59="","",$B59*'AEO 2017_Table 13'!AI$16/'AEO 2017_Table 13'!$C$16)</f>
        <v>0.89179351783749017</v>
      </c>
      <c r="AI59" s="195">
        <f>IF(AH59="","",$B59*'AEO 2017_Table 13'!AJ$16/'AEO 2017_Table 13'!$C$16)</f>
        <v>0.89681976963743937</v>
      </c>
      <c r="AJ59" s="195">
        <f>IF(AI59="","",$B59*'AEO 2017_Table 13'!AK$16/'AEO 2017_Table 13'!$C$16)</f>
        <v>0.90191269062075718</v>
      </c>
      <c r="AK59" s="195">
        <f>IF(AJ59="","",$B59*'AEO 2017_Table 13'!AL$16/'AEO 2017_Table 13'!$C$16)</f>
        <v>0.90833253676588122</v>
      </c>
    </row>
    <row r="60" spans="1:37" x14ac:dyDescent="0.25">
      <c r="A60" s="214" t="s">
        <v>1441</v>
      </c>
      <c r="B60" s="198">
        <v>2.5732448148765941</v>
      </c>
      <c r="C60" s="198">
        <f>IF(B60="","",$B60*'AEO 2017_Table 13'!D$16/'AEO 2017_Table 13'!$C$16)</f>
        <v>2.5255924327953241</v>
      </c>
      <c r="D60" s="198">
        <f>IF(C60="","",$B60*'AEO 2017_Table 13'!E$16/'AEO 2017_Table 13'!$C$16)</f>
        <v>2.6518046067769467</v>
      </c>
      <c r="E60" s="198">
        <f>IF(D60="","",$B60*'AEO 2017_Table 13'!F$16/'AEO 2017_Table 13'!$C$16)</f>
        <v>2.7747759043643065</v>
      </c>
      <c r="F60" s="198">
        <f>IF(E60="","",$B60*'AEO 2017_Table 13'!G$16/'AEO 2017_Table 13'!$C$16)</f>
        <v>2.8592789529666449</v>
      </c>
      <c r="G60" s="198">
        <f>IF(F60="","",$B60*'AEO 2017_Table 13'!H$16/'AEO 2017_Table 13'!$C$16)</f>
        <v>2.9345233338367507</v>
      </c>
      <c r="H60" s="198">
        <f>IF(G60="","",$B60*'AEO 2017_Table 13'!I$16/'AEO 2017_Table 13'!$C$16)</f>
        <v>2.9465530146641199</v>
      </c>
      <c r="I60" s="198">
        <f>IF(H60="","",$B60*'AEO 2017_Table 13'!J$16/'AEO 2017_Table 13'!$C$16)</f>
        <v>2.9868550251147781</v>
      </c>
      <c r="J60" s="198">
        <f>IF(I60="","",$B60*'AEO 2017_Table 13'!K$16/'AEO 2017_Table 13'!$C$16)</f>
        <v>3.0404569465110285</v>
      </c>
      <c r="K60" s="198">
        <f>IF(J60="","",$B60*'AEO 2017_Table 13'!L$16/'AEO 2017_Table 13'!$C$16)</f>
        <v>3.0910219860531361</v>
      </c>
      <c r="L60" s="198">
        <f>IF(K60="","",$B60*'AEO 2017_Table 13'!M$16/'AEO 2017_Table 13'!$C$16)</f>
        <v>3.1381807070587828</v>
      </c>
      <c r="M60" s="198">
        <f>IF(L60="","",$B60*'AEO 2017_Table 13'!N$16/'AEO 2017_Table 13'!$C$16)</f>
        <v>3.1839290766382011</v>
      </c>
      <c r="N60" s="198">
        <f>IF(M60="","",$B60*'AEO 2017_Table 13'!O$16/'AEO 2017_Table 13'!$C$16)</f>
        <v>3.2019033468430393</v>
      </c>
      <c r="O60" s="198">
        <f>IF(N60="","",$B60*'AEO 2017_Table 13'!P$16/'AEO 2017_Table 13'!$C$16)</f>
        <v>3.2279434450310509</v>
      </c>
      <c r="P60" s="198">
        <f>IF(O60="","",$B60*'AEO 2017_Table 13'!Q$16/'AEO 2017_Table 13'!$C$16)</f>
        <v>3.2474124059820193</v>
      </c>
      <c r="Q60" s="198">
        <f>IF(P60="","",$B60*'AEO 2017_Table 13'!R$16/'AEO 2017_Table 13'!$C$16)</f>
        <v>3.2603109912247912</v>
      </c>
      <c r="R60" s="198">
        <f>IF(Q60="","",$B60*'AEO 2017_Table 13'!S$16/'AEO 2017_Table 13'!$C$16)</f>
        <v>3.2766785307517603</v>
      </c>
      <c r="S60" s="198">
        <f>IF(R60="","",$B60*'AEO 2017_Table 13'!T$16/'AEO 2017_Table 13'!$C$16)</f>
        <v>3.3008190904199006</v>
      </c>
      <c r="T60" s="198">
        <f>IF(S60="","",$B60*'AEO 2017_Table 13'!U$16/'AEO 2017_Table 13'!$C$16)</f>
        <v>3.3266227339006531</v>
      </c>
      <c r="U60" s="198">
        <f>IF(T60="","",$B60*'AEO 2017_Table 13'!V$16/'AEO 2017_Table 13'!$C$16)</f>
        <v>3.3617224552182892</v>
      </c>
      <c r="V60" s="198">
        <f>IF(U60="","",$B60*'AEO 2017_Table 13'!W$16/'AEO 2017_Table 13'!$C$16)</f>
        <v>3.4106927581618796</v>
      </c>
      <c r="W60" s="198">
        <f>IF(V60="","",$B60*'AEO 2017_Table 13'!X$16/'AEO 2017_Table 13'!$C$16)</f>
        <v>3.449750525666246</v>
      </c>
      <c r="X60" s="198">
        <f>IF(W60="","",$B60*'AEO 2017_Table 13'!Y$16/'AEO 2017_Table 13'!$C$16)</f>
        <v>3.4837466964922337</v>
      </c>
      <c r="Y60" s="198">
        <f>IF(X60="","",$B60*'AEO 2017_Table 13'!Z$16/'AEO 2017_Table 13'!$C$16)</f>
        <v>3.5101778397436192</v>
      </c>
      <c r="Z60" s="198">
        <f>IF(Y60="","",$B60*'AEO 2017_Table 13'!AA$16/'AEO 2017_Table 13'!$C$16)</f>
        <v>3.5428543762673765</v>
      </c>
      <c r="AA60" s="198">
        <f>IF(Z60="","",$B60*'AEO 2017_Table 13'!AB$16/'AEO 2017_Table 13'!$C$16)</f>
        <v>3.5604137084412399</v>
      </c>
      <c r="AB60" s="198">
        <f>IF(AA60="","",$B60*'AEO 2017_Table 13'!AC$16/'AEO 2017_Table 13'!$C$16)</f>
        <v>3.5779076443252937</v>
      </c>
      <c r="AC60" s="198">
        <f>IF(AB60="","",$B60*'AEO 2017_Table 13'!AD$16/'AEO 2017_Table 13'!$C$16)</f>
        <v>3.5884810916133496</v>
      </c>
      <c r="AD60" s="198">
        <f>IF(AC60="","",$B60*'AEO 2017_Table 13'!AE$16/'AEO 2017_Table 13'!$C$16)</f>
        <v>3.6067750135520757</v>
      </c>
      <c r="AE60" s="198">
        <f>IF(AD60="","",$B60*'AEO 2017_Table 13'!AF$16/'AEO 2017_Table 13'!$C$16)</f>
        <v>3.6331033504090007</v>
      </c>
      <c r="AF60" s="198">
        <f>IF(AE60="","",$B60*'AEO 2017_Table 13'!AG$16/'AEO 2017_Table 13'!$C$16)</f>
        <v>3.658939358865787</v>
      </c>
      <c r="AG60" s="198">
        <f>IF(AF60="","",$B60*'AEO 2017_Table 13'!AH$16/'AEO 2017_Table 13'!$C$16)</f>
        <v>3.6813878014339916</v>
      </c>
      <c r="AH60" s="198">
        <f>IF(AG60="","",$B60*'AEO 2017_Table 13'!AI$16/'AEO 2017_Table 13'!$C$16)</f>
        <v>3.7066173473545656</v>
      </c>
      <c r="AI60" s="198">
        <f>IF(AH60="","",$B60*'AEO 2017_Table 13'!AJ$16/'AEO 2017_Table 13'!$C$16)</f>
        <v>3.7275082730466931</v>
      </c>
      <c r="AJ60" s="198">
        <f>IF(AI60="","",$B60*'AEO 2017_Table 13'!AK$16/'AEO 2017_Table 13'!$C$16)</f>
        <v>3.7486763000483334</v>
      </c>
      <c r="AK60" s="198">
        <f>IF(AJ60="","",$B60*'AEO 2017_Table 13'!AL$16/'AEO 2017_Table 13'!$C$16)</f>
        <v>3.7753595093483594</v>
      </c>
    </row>
    <row r="61" spans="1:37" x14ac:dyDescent="0.25">
      <c r="A61" s="214" t="s">
        <v>1442</v>
      </c>
      <c r="B61" s="198">
        <v>2.5539376881837663</v>
      </c>
      <c r="C61" s="198">
        <f>IF(B61="","",$B61*'AEO 2017_Table 13'!D$16/'AEO 2017_Table 13'!$C$16)</f>
        <v>2.5066428432372221</v>
      </c>
      <c r="D61" s="198">
        <f>IF(C61="","",$B61*'AEO 2017_Table 13'!E$16/'AEO 2017_Table 13'!$C$16)</f>
        <v>2.6319080438025755</v>
      </c>
      <c r="E61" s="198">
        <f>IF(D61="","",$B61*'AEO 2017_Table 13'!F$16/'AEO 2017_Table 13'!$C$16)</f>
        <v>2.7539566843584802</v>
      </c>
      <c r="F61" s="198">
        <f>IF(E61="","",$B61*'AEO 2017_Table 13'!G$16/'AEO 2017_Table 13'!$C$16)</f>
        <v>2.8378257042606099</v>
      </c>
      <c r="G61" s="198">
        <f>IF(F61="","",$B61*'AEO 2017_Table 13'!H$16/'AEO 2017_Table 13'!$C$16)</f>
        <v>2.9125055244694122</v>
      </c>
      <c r="H61" s="198">
        <f>IF(G61="","",$B61*'AEO 2017_Table 13'!I$16/'AEO 2017_Table 13'!$C$16)</f>
        <v>2.9244449462703308</v>
      </c>
      <c r="I61" s="198">
        <f>IF(H61="","",$B61*'AEO 2017_Table 13'!J$16/'AEO 2017_Table 13'!$C$16)</f>
        <v>2.9644445696269797</v>
      </c>
      <c r="J61" s="198">
        <f>IF(I61="","",$B61*'AEO 2017_Table 13'!K$16/'AEO 2017_Table 13'!$C$16)</f>
        <v>3.0176443143312213</v>
      </c>
      <c r="K61" s="198">
        <f>IF(J61="","",$B61*'AEO 2017_Table 13'!L$16/'AEO 2017_Table 13'!$C$16)</f>
        <v>3.067829962989483</v>
      </c>
      <c r="L61" s="198">
        <f>IF(K61="","",$B61*'AEO 2017_Table 13'!M$16/'AEO 2017_Table 13'!$C$16)</f>
        <v>3.1146348508130459</v>
      </c>
      <c r="M61" s="198">
        <f>IF(L61="","",$B61*'AEO 2017_Table 13'!N$16/'AEO 2017_Table 13'!$C$16)</f>
        <v>3.1600399691159615</v>
      </c>
      <c r="N61" s="198">
        <f>IF(M61="","",$B61*'AEO 2017_Table 13'!O$16/'AEO 2017_Table 13'!$C$16)</f>
        <v>3.1778793778765841</v>
      </c>
      <c r="O61" s="198">
        <f>IF(N61="","",$B61*'AEO 2017_Table 13'!P$16/'AEO 2017_Table 13'!$C$16)</f>
        <v>3.2037240964909524</v>
      </c>
      <c r="P61" s="198">
        <f>IF(O61="","",$B61*'AEO 2017_Table 13'!Q$16/'AEO 2017_Table 13'!$C$16)</f>
        <v>3.2230469812918847</v>
      </c>
      <c r="Q61" s="198">
        <f>IF(P61="","",$B61*'AEO 2017_Table 13'!R$16/'AEO 2017_Table 13'!$C$16)</f>
        <v>3.2358487880944553</v>
      </c>
      <c r="R61" s="198">
        <f>IF(Q61="","",$B61*'AEO 2017_Table 13'!S$16/'AEO 2017_Table 13'!$C$16)</f>
        <v>3.2520935215217208</v>
      </c>
      <c r="S61" s="198">
        <f>IF(R61="","",$B61*'AEO 2017_Table 13'!T$16/'AEO 2017_Table 13'!$C$16)</f>
        <v>3.2760529539060306</v>
      </c>
      <c r="T61" s="198">
        <f>IF(S61="","",$B61*'AEO 2017_Table 13'!U$16/'AEO 2017_Table 13'!$C$16)</f>
        <v>3.3016629919393186</v>
      </c>
      <c r="U61" s="198">
        <f>IF(T61="","",$B61*'AEO 2017_Table 13'!V$16/'AEO 2017_Table 13'!$C$16)</f>
        <v>3.3364993590815399</v>
      </c>
      <c r="V61" s="198">
        <f>IF(U61="","",$B61*'AEO 2017_Table 13'!W$16/'AEO 2017_Table 13'!$C$16)</f>
        <v>3.3851022364938896</v>
      </c>
      <c r="W61" s="198">
        <f>IF(V61="","",$B61*'AEO 2017_Table 13'!X$16/'AEO 2017_Table 13'!$C$16)</f>
        <v>3.4238669524933294</v>
      </c>
      <c r="X61" s="198">
        <f>IF(W61="","",$B61*'AEO 2017_Table 13'!Y$16/'AEO 2017_Table 13'!$C$16)</f>
        <v>3.457608049113623</v>
      </c>
      <c r="Y61" s="198">
        <f>IF(X61="","",$B61*'AEO 2017_Table 13'!Z$16/'AEO 2017_Table 13'!$C$16)</f>
        <v>3.483840878769489</v>
      </c>
      <c r="Z61" s="198">
        <f>IF(Y61="","",$B61*'AEO 2017_Table 13'!AA$16/'AEO 2017_Table 13'!$C$16)</f>
        <v>3.5162722423400554</v>
      </c>
      <c r="AA61" s="198">
        <f>IF(Z61="","",$B61*'AEO 2017_Table 13'!AB$16/'AEO 2017_Table 13'!$C$16)</f>
        <v>3.5336998263611732</v>
      </c>
      <c r="AB61" s="198">
        <f>IF(AA61="","",$B61*'AEO 2017_Table 13'!AC$16/'AEO 2017_Table 13'!$C$16)</f>
        <v>3.5510625047626445</v>
      </c>
      <c r="AC61" s="198">
        <f>IF(AB61="","",$B61*'AEO 2017_Table 13'!AD$16/'AEO 2017_Table 13'!$C$16)</f>
        <v>3.5615566191845893</v>
      </c>
      <c r="AD61" s="198">
        <f>IF(AC61="","",$B61*'AEO 2017_Table 13'!AE$16/'AEO 2017_Table 13'!$C$16)</f>
        <v>3.5797132813233397</v>
      </c>
      <c r="AE61" s="198">
        <f>IF(AD61="","",$B61*'AEO 2017_Table 13'!AF$16/'AEO 2017_Table 13'!$C$16)</f>
        <v>3.6058440759439523</v>
      </c>
      <c r="AF61" s="198">
        <f>IF(AE61="","",$B61*'AEO 2017_Table 13'!AG$16/'AEO 2017_Table 13'!$C$16)</f>
        <v>3.6314862361179681</v>
      </c>
      <c r="AG61" s="198">
        <f>IF(AF61="","",$B61*'AEO 2017_Table 13'!AH$16/'AEO 2017_Table 13'!$C$16)</f>
        <v>3.6537662474035306</v>
      </c>
      <c r="AH61" s="198">
        <f>IF(AG61="","",$B61*'AEO 2017_Table 13'!AI$16/'AEO 2017_Table 13'!$C$16)</f>
        <v>3.6788064953464406</v>
      </c>
      <c r="AI61" s="198">
        <f>IF(AH61="","",$B61*'AEO 2017_Table 13'!AJ$16/'AEO 2017_Table 13'!$C$16)</f>
        <v>3.6995406758479294</v>
      </c>
      <c r="AJ61" s="198">
        <f>IF(AI61="","",$B61*'AEO 2017_Table 13'!AK$16/'AEO 2017_Table 13'!$C$16)</f>
        <v>3.7205498785601763</v>
      </c>
      <c r="AK61" s="198">
        <f>IF(AJ61="","",$B61*'AEO 2017_Table 13'!AL$16/'AEO 2017_Table 13'!$C$16)</f>
        <v>3.7470328830061796</v>
      </c>
    </row>
    <row r="62" spans="1:37" x14ac:dyDescent="0.25">
      <c r="A62" s="214" t="s">
        <v>1443</v>
      </c>
      <c r="B62" s="198">
        <v>5.7135389245722132</v>
      </c>
      <c r="C62" s="198">
        <f>IF(B62="","",$B62*'AEO 2017_Table 13'!D$16/'AEO 2017_Table 13'!$C$16)</f>
        <v>5.6077333135802485</v>
      </c>
      <c r="D62" s="198">
        <f>IF(C62="","",$B62*'AEO 2017_Table 13'!E$16/'AEO 2017_Table 13'!$C$16)</f>
        <v>5.8879702209393576</v>
      </c>
      <c r="E62" s="198">
        <f>IF(D62="","",$B62*'AEO 2017_Table 13'!F$16/'AEO 2017_Table 13'!$C$16)</f>
        <v>6.1610112045677372</v>
      </c>
      <c r="F62" s="198">
        <f>IF(E62="","",$B62*'AEO 2017_Table 13'!G$16/'AEO 2017_Table 13'!$C$16)</f>
        <v>6.3486386913281194</v>
      </c>
      <c r="G62" s="198">
        <f>IF(F62="","",$B62*'AEO 2017_Table 13'!H$16/'AEO 2017_Table 13'!$C$16)</f>
        <v>6.5157085699775408</v>
      </c>
      <c r="H62" s="198">
        <f>IF(G62="","",$B62*'AEO 2017_Table 13'!I$16/'AEO 2017_Table 13'!$C$16)</f>
        <v>6.5424188344887115</v>
      </c>
      <c r="I62" s="198">
        <f>IF(H62="","",$B62*'AEO 2017_Table 13'!J$16/'AEO 2017_Table 13'!$C$16)</f>
        <v>6.6319039484262268</v>
      </c>
      <c r="J62" s="198">
        <f>IF(I62="","",$B62*'AEO 2017_Table 13'!K$16/'AEO 2017_Table 13'!$C$16)</f>
        <v>6.7509196994961558</v>
      </c>
      <c r="K62" s="198">
        <f>IF(J62="","",$B62*'AEO 2017_Table 13'!L$16/'AEO 2017_Table 13'!$C$16)</f>
        <v>6.8631924688712758</v>
      </c>
      <c r="L62" s="198">
        <f>IF(K62="","",$B62*'AEO 2017_Table 13'!M$16/'AEO 2017_Table 13'!$C$16)</f>
        <v>6.9679019728178435</v>
      </c>
      <c r="M62" s="198">
        <f>IF(L62="","",$B62*'AEO 2017_Table 13'!N$16/'AEO 2017_Table 13'!$C$16)</f>
        <v>7.0694799839019762</v>
      </c>
      <c r="N62" s="198">
        <f>IF(M62="","",$B62*'AEO 2017_Table 13'!O$16/'AEO 2017_Table 13'!$C$16)</f>
        <v>7.1093893978304168</v>
      </c>
      <c r="O62" s="198">
        <f>IF(N62="","",$B62*'AEO 2017_Table 13'!P$16/'AEO 2017_Table 13'!$C$16)</f>
        <v>7.1672078820013523</v>
      </c>
      <c r="P62" s="198">
        <f>IF(O62="","",$B62*'AEO 2017_Table 13'!Q$16/'AEO 2017_Table 13'!$C$16)</f>
        <v>7.2104360527417528</v>
      </c>
      <c r="Q62" s="198">
        <f>IF(P62="","",$B62*'AEO 2017_Table 13'!R$16/'AEO 2017_Table 13'!$C$16)</f>
        <v>7.2390756009224901</v>
      </c>
      <c r="R62" s="198">
        <f>IF(Q62="","",$B62*'AEO 2017_Table 13'!S$16/'AEO 2017_Table 13'!$C$16)</f>
        <v>7.2754174886613354</v>
      </c>
      <c r="S62" s="198">
        <f>IF(R62="","",$B62*'AEO 2017_Table 13'!T$16/'AEO 2017_Table 13'!$C$16)</f>
        <v>7.3290183067908341</v>
      </c>
      <c r="T62" s="198">
        <f>IF(S62="","",$B62*'AEO 2017_Table 13'!U$16/'AEO 2017_Table 13'!$C$16)</f>
        <v>7.3863117755547583</v>
      </c>
      <c r="U62" s="198">
        <f>IF(T62="","",$B62*'AEO 2017_Table 13'!V$16/'AEO 2017_Table 13'!$C$16)</f>
        <v>7.4642459164614285</v>
      </c>
      <c r="V62" s="198">
        <f>IF(U62="","",$B62*'AEO 2017_Table 13'!W$16/'AEO 2017_Table 13'!$C$16)</f>
        <v>7.5729777908632485</v>
      </c>
      <c r="W62" s="198">
        <f>IF(V62="","",$B62*'AEO 2017_Table 13'!X$16/'AEO 2017_Table 13'!$C$16)</f>
        <v>7.6597002331481647</v>
      </c>
      <c r="X62" s="198">
        <f>IF(W62="","",$B62*'AEO 2017_Table 13'!Y$16/'AEO 2017_Table 13'!$C$16)</f>
        <v>7.7351840907965856</v>
      </c>
      <c r="Y62" s="198">
        <f>IF(X62="","",$B62*'AEO 2017_Table 13'!Z$16/'AEO 2017_Table 13'!$C$16)</f>
        <v>7.7938708371623706</v>
      </c>
      <c r="Z62" s="198">
        <f>IF(Y62="","",$B62*'AEO 2017_Table 13'!AA$16/'AEO 2017_Table 13'!$C$16)</f>
        <v>7.8664246269414635</v>
      </c>
      <c r="AA62" s="198">
        <f>IF(Z62="","",$B62*'AEO 2017_Table 13'!AB$16/'AEO 2017_Table 13'!$C$16)</f>
        <v>7.9054127276013189</v>
      </c>
      <c r="AB62" s="198">
        <f>IF(AA62="","",$B62*'AEO 2017_Table 13'!AC$16/'AEO 2017_Table 13'!$C$16)</f>
        <v>7.9442556247246952</v>
      </c>
      <c r="AC62" s="198">
        <f>IF(AB62="","",$B62*'AEO 2017_Table 13'!AD$16/'AEO 2017_Table 13'!$C$16)</f>
        <v>7.967732521403148</v>
      </c>
      <c r="AD62" s="198">
        <f>IF(AC62="","",$B62*'AEO 2017_Table 13'!AE$16/'AEO 2017_Table 13'!$C$16)</f>
        <v>8.0083516783818087</v>
      </c>
      <c r="AE62" s="198">
        <f>IF(AD62="","",$B62*'AEO 2017_Table 13'!AF$16/'AEO 2017_Table 13'!$C$16)</f>
        <v>8.0668101571793276</v>
      </c>
      <c r="AF62" s="198">
        <f>IF(AE62="","",$B62*'AEO 2017_Table 13'!AG$16/'AEO 2017_Table 13'!$C$16)</f>
        <v>8.1241754879554833</v>
      </c>
      <c r="AG62" s="198">
        <f>IF(AF62="","",$B62*'AEO 2017_Table 13'!AH$16/'AEO 2017_Table 13'!$C$16)</f>
        <v>8.1740191909984095</v>
      </c>
      <c r="AH62" s="198">
        <f>IF(AG62="","",$B62*'AEO 2017_Table 13'!AI$16/'AEO 2017_Table 13'!$C$16)</f>
        <v>8.2300379544806539</v>
      </c>
      <c r="AI62" s="198">
        <f>IF(AH62="","",$B62*'AEO 2017_Table 13'!AJ$16/'AEO 2017_Table 13'!$C$16)</f>
        <v>8.2764234038643512</v>
      </c>
      <c r="AJ62" s="198">
        <f>IF(AI62="","",$B62*'AEO 2017_Table 13'!AK$16/'AEO 2017_Table 13'!$C$16)</f>
        <v>8.3234241188880667</v>
      </c>
      <c r="AK62" s="198">
        <f>IF(AJ62="","",$B62*'AEO 2017_Table 13'!AL$16/'AEO 2017_Table 13'!$C$16)</f>
        <v>8.3826705435138216</v>
      </c>
    </row>
    <row r="63" spans="1:37" x14ac:dyDescent="0.25">
      <c r="A63" s="208" t="s">
        <v>1444</v>
      </c>
      <c r="B63" s="197">
        <v>195.21199999999999</v>
      </c>
      <c r="C63" s="197">
        <f>IF(B63="","",$B63*'AEO 2017_Table 13'!D$16/'AEO 2017_Table 13'!$C$16)</f>
        <v>191.59698569701968</v>
      </c>
      <c r="D63" s="197">
        <f>IF(C63="","",$B63*'AEO 2017_Table 13'!E$16/'AEO 2017_Table 13'!$C$16)</f>
        <v>201.17171825447443</v>
      </c>
      <c r="E63" s="197">
        <f>IF(D63="","",$B63*'AEO 2017_Table 13'!F$16/'AEO 2017_Table 13'!$C$16)</f>
        <v>210.50059081484713</v>
      </c>
      <c r="F63" s="197">
        <f>IF(E63="","",$B63*'AEO 2017_Table 13'!G$16/'AEO 2017_Table 13'!$C$16)</f>
        <v>216.91117756834683</v>
      </c>
      <c r="G63" s="197">
        <f>IF(F63="","",$B63*'AEO 2017_Table 13'!H$16/'AEO 2017_Table 13'!$C$16)</f>
        <v>222.61938146464792</v>
      </c>
      <c r="H63" s="197">
        <f>IF(G63="","",$B63*'AEO 2017_Table 13'!I$16/'AEO 2017_Table 13'!$C$16)</f>
        <v>223.53197945769386</v>
      </c>
      <c r="I63" s="197">
        <f>IF(H63="","",$B63*'AEO 2017_Table 13'!J$16/'AEO 2017_Table 13'!$C$16)</f>
        <v>226.58937843450718</v>
      </c>
      <c r="J63" s="197">
        <f>IF(I63="","",$B63*'AEO 2017_Table 13'!K$16/'AEO 2017_Table 13'!$C$16)</f>
        <v>230.65573784932513</v>
      </c>
      <c r="K63" s="197">
        <f>IF(J63="","",$B63*'AEO 2017_Table 13'!L$16/'AEO 2017_Table 13'!$C$16)</f>
        <v>234.49171274064821</v>
      </c>
      <c r="L63" s="197">
        <f>IF(K63="","",$B63*'AEO 2017_Table 13'!M$16/'AEO 2017_Table 13'!$C$16)</f>
        <v>238.06927683083208</v>
      </c>
      <c r="M63" s="197">
        <f>IF(L63="","",$B63*'AEO 2017_Table 13'!N$16/'AEO 2017_Table 13'!$C$16)</f>
        <v>241.53984856606186</v>
      </c>
      <c r="N63" s="197">
        <f>IF(M63="","",$B63*'AEO 2017_Table 13'!O$16/'AEO 2017_Table 13'!$C$16)</f>
        <v>242.9034161578206</v>
      </c>
      <c r="O63" s="197">
        <f>IF(N63="","",$B63*'AEO 2017_Table 13'!P$16/'AEO 2017_Table 13'!$C$16)</f>
        <v>244.87887516509812</v>
      </c>
      <c r="P63" s="197">
        <f>IF(O63="","",$B63*'AEO 2017_Table 13'!Q$16/'AEO 2017_Table 13'!$C$16)</f>
        <v>246.35583327774575</v>
      </c>
      <c r="Q63" s="197">
        <f>IF(P63="","",$B63*'AEO 2017_Table 13'!R$16/'AEO 2017_Table 13'!$C$16)</f>
        <v>247.33434826701338</v>
      </c>
      <c r="R63" s="197">
        <f>IF(Q63="","",$B63*'AEO 2017_Table 13'!S$16/'AEO 2017_Table 13'!$C$16)</f>
        <v>248.57602574273074</v>
      </c>
      <c r="S63" s="197">
        <f>IF(R63="","",$B63*'AEO 2017_Table 13'!T$16/'AEO 2017_Table 13'!$C$16)</f>
        <v>250.40738158835126</v>
      </c>
      <c r="T63" s="197">
        <f>IF(S63="","",$B63*'AEO 2017_Table 13'!U$16/'AEO 2017_Table 13'!$C$16)</f>
        <v>252.36490262251147</v>
      </c>
      <c r="U63" s="197">
        <f>IF(T63="","",$B63*'AEO 2017_Table 13'!V$16/'AEO 2017_Table 13'!$C$16)</f>
        <v>255.02764452652534</v>
      </c>
      <c r="V63" s="197">
        <f>IF(U63="","",$B63*'AEO 2017_Table 13'!W$16/'AEO 2017_Table 13'!$C$16)</f>
        <v>258.74263919899403</v>
      </c>
      <c r="W63" s="197">
        <f>IF(V63="","",$B63*'AEO 2017_Table 13'!X$16/'AEO 2017_Table 13'!$C$16)</f>
        <v>261.70564717475406</v>
      </c>
      <c r="X63" s="197">
        <f>IF(W63="","",$B63*'AEO 2017_Table 13'!Y$16/'AEO 2017_Table 13'!$C$16)</f>
        <v>264.28467131614764</v>
      </c>
      <c r="Y63" s="197">
        <f>IF(X63="","",$B63*'AEO 2017_Table 13'!Z$16/'AEO 2017_Table 13'!$C$16)</f>
        <v>266.28979586028743</v>
      </c>
      <c r="Z63" s="197">
        <f>IF(Y63="","",$B63*'AEO 2017_Table 13'!AA$16/'AEO 2017_Table 13'!$C$16)</f>
        <v>268.76870964688015</v>
      </c>
      <c r="AA63" s="197">
        <f>IF(Z63="","",$B63*'AEO 2017_Table 13'!AB$16/'AEO 2017_Table 13'!$C$16)</f>
        <v>270.1007991288086</v>
      </c>
      <c r="AB63" s="197">
        <f>IF(AA63="","",$B63*'AEO 2017_Table 13'!AC$16/'AEO 2017_Table 13'!$C$16)</f>
        <v>271.42792750464554</v>
      </c>
      <c r="AC63" s="197">
        <f>IF(AB63="","",$B63*'AEO 2017_Table 13'!AD$16/'AEO 2017_Table 13'!$C$16)</f>
        <v>272.23005242492638</v>
      </c>
      <c r="AD63" s="197">
        <f>IF(AC63="","",$B63*'AEO 2017_Table 13'!AE$16/'AEO 2017_Table 13'!$C$16)</f>
        <v>273.61786949886226</v>
      </c>
      <c r="AE63" s="197">
        <f>IF(AD63="","",$B63*'AEO 2017_Table 13'!AF$16/'AEO 2017_Table 13'!$C$16)</f>
        <v>275.61519492425532</v>
      </c>
      <c r="AF63" s="197">
        <f>IF(AE63="","",$B63*'AEO 2017_Table 13'!AG$16/'AEO 2017_Table 13'!$C$16)</f>
        <v>277.57517123653952</v>
      </c>
      <c r="AG63" s="197">
        <f>IF(AF63="","",$B63*'AEO 2017_Table 13'!AH$16/'AEO 2017_Table 13'!$C$16)</f>
        <v>279.27815936471512</v>
      </c>
      <c r="AH63" s="197">
        <f>IF(AG63="","",$B63*'AEO 2017_Table 13'!AI$16/'AEO 2017_Table 13'!$C$16)</f>
        <v>281.19212809780021</v>
      </c>
      <c r="AI63" s="197">
        <f>IF(AH63="","",$B63*'AEO 2017_Table 13'!AJ$16/'AEO 2017_Table 13'!$C$16)</f>
        <v>282.77695957696409</v>
      </c>
      <c r="AJ63" s="197">
        <f>IF(AI63="","",$B63*'AEO 2017_Table 13'!AK$16/'AEO 2017_Table 13'!$C$16)</f>
        <v>284.3828125697126</v>
      </c>
      <c r="AK63" s="197">
        <f>IF(AJ63="","",$B63*'AEO 2017_Table 13'!AL$16/'AEO 2017_Table 13'!$C$16)</f>
        <v>286.40705939759414</v>
      </c>
    </row>
    <row r="64" spans="1:37" x14ac:dyDescent="0.25">
      <c r="A64" s="209" t="s">
        <v>1445</v>
      </c>
      <c r="B64" s="193"/>
      <c r="C64" s="193" t="str">
        <f>IF(B64="","",$B64*'AEO 2017_Table 13'!D$16/'AEO 2017_Table 13'!$C$16)</f>
        <v/>
      </c>
      <c r="D64" s="193" t="str">
        <f>IF(C64="","",$B64*'AEO 2017_Table 13'!E$16/'AEO 2017_Table 13'!$C$16)</f>
        <v/>
      </c>
      <c r="E64" s="193" t="str">
        <f>IF(D64="","",$B64*'AEO 2017_Table 13'!F$16/'AEO 2017_Table 13'!$C$16)</f>
        <v/>
      </c>
      <c r="F64" s="193" t="str">
        <f>IF(E64="","",$B64*'AEO 2017_Table 13'!G$16/'AEO 2017_Table 13'!$C$16)</f>
        <v/>
      </c>
      <c r="G64" s="193" t="str">
        <f>IF(F64="","",$B64*'AEO 2017_Table 13'!H$16/'AEO 2017_Table 13'!$C$16)</f>
        <v/>
      </c>
      <c r="H64" s="193" t="str">
        <f>IF(G64="","",$B64*'AEO 2017_Table 13'!I$16/'AEO 2017_Table 13'!$C$16)</f>
        <v/>
      </c>
      <c r="I64" s="193" t="str">
        <f>IF(H64="","",$B64*'AEO 2017_Table 13'!J$16/'AEO 2017_Table 13'!$C$16)</f>
        <v/>
      </c>
      <c r="J64" s="193" t="str">
        <f>IF(I64="","",$B64*'AEO 2017_Table 13'!K$16/'AEO 2017_Table 13'!$C$16)</f>
        <v/>
      </c>
      <c r="K64" s="193" t="str">
        <f>IF(J64="","",$B64*'AEO 2017_Table 13'!L$16/'AEO 2017_Table 13'!$C$16)</f>
        <v/>
      </c>
      <c r="L64" s="193" t="str">
        <f>IF(K64="","",$B64*'AEO 2017_Table 13'!M$16/'AEO 2017_Table 13'!$C$16)</f>
        <v/>
      </c>
      <c r="M64" s="193" t="str">
        <f>IF(L64="","",$B64*'AEO 2017_Table 13'!N$16/'AEO 2017_Table 13'!$C$16)</f>
        <v/>
      </c>
      <c r="N64" s="193" t="str">
        <f>IF(M64="","",$B64*'AEO 2017_Table 13'!O$16/'AEO 2017_Table 13'!$C$16)</f>
        <v/>
      </c>
      <c r="O64" s="193" t="str">
        <f>IF(N64="","",$B64*'AEO 2017_Table 13'!P$16/'AEO 2017_Table 13'!$C$16)</f>
        <v/>
      </c>
      <c r="P64" s="193" t="str">
        <f>IF(O64="","",$B64*'AEO 2017_Table 13'!Q$16/'AEO 2017_Table 13'!$C$16)</f>
        <v/>
      </c>
      <c r="Q64" s="193" t="str">
        <f>IF(P64="","",$B64*'AEO 2017_Table 13'!R$16/'AEO 2017_Table 13'!$C$16)</f>
        <v/>
      </c>
      <c r="R64" s="193" t="str">
        <f>IF(Q64="","",$B64*'AEO 2017_Table 13'!S$16/'AEO 2017_Table 13'!$C$16)</f>
        <v/>
      </c>
      <c r="S64" s="193" t="str">
        <f>IF(R64="","",$B64*'AEO 2017_Table 13'!T$16/'AEO 2017_Table 13'!$C$16)</f>
        <v/>
      </c>
      <c r="T64" s="193" t="str">
        <f>IF(S64="","",$B64*'AEO 2017_Table 13'!U$16/'AEO 2017_Table 13'!$C$16)</f>
        <v/>
      </c>
      <c r="U64" s="193" t="str">
        <f>IF(T64="","",$B64*'AEO 2017_Table 13'!V$16/'AEO 2017_Table 13'!$C$16)</f>
        <v/>
      </c>
      <c r="V64" s="193" t="str">
        <f>IF(U64="","",$B64*'AEO 2017_Table 13'!W$16/'AEO 2017_Table 13'!$C$16)</f>
        <v/>
      </c>
      <c r="W64" s="193" t="str">
        <f>IF(V64="","",$B64*'AEO 2017_Table 13'!X$16/'AEO 2017_Table 13'!$C$16)</f>
        <v/>
      </c>
      <c r="X64" s="193" t="str">
        <f>IF(W64="","",$B64*'AEO 2017_Table 13'!Y$16/'AEO 2017_Table 13'!$C$16)</f>
        <v/>
      </c>
      <c r="Y64" s="193" t="str">
        <f>IF(X64="","",$B64*'AEO 2017_Table 13'!Z$16/'AEO 2017_Table 13'!$C$16)</f>
        <v/>
      </c>
      <c r="Z64" s="193" t="str">
        <f>IF(Y64="","",$B64*'AEO 2017_Table 13'!AA$16/'AEO 2017_Table 13'!$C$16)</f>
        <v/>
      </c>
      <c r="AA64" s="193" t="str">
        <f>IF(Z64="","",$B64*'AEO 2017_Table 13'!AB$16/'AEO 2017_Table 13'!$C$16)</f>
        <v/>
      </c>
      <c r="AB64" s="193" t="str">
        <f>IF(AA64="","",$B64*'AEO 2017_Table 13'!AC$16/'AEO 2017_Table 13'!$C$16)</f>
        <v/>
      </c>
      <c r="AC64" s="193" t="str">
        <f>IF(AB64="","",$B64*'AEO 2017_Table 13'!AD$16/'AEO 2017_Table 13'!$C$16)</f>
        <v/>
      </c>
      <c r="AD64" s="193" t="str">
        <f>IF(AC64="","",$B64*'AEO 2017_Table 13'!AE$16/'AEO 2017_Table 13'!$C$16)</f>
        <v/>
      </c>
      <c r="AE64" s="193" t="str">
        <f>IF(AD64="","",$B64*'AEO 2017_Table 13'!AF$16/'AEO 2017_Table 13'!$C$16)</f>
        <v/>
      </c>
      <c r="AF64" s="193" t="str">
        <f>IF(AE64="","",$B64*'AEO 2017_Table 13'!AG$16/'AEO 2017_Table 13'!$C$16)</f>
        <v/>
      </c>
      <c r="AG64" s="193" t="str">
        <f>IF(AF64="","",$B64*'AEO 2017_Table 13'!AH$16/'AEO 2017_Table 13'!$C$16)</f>
        <v/>
      </c>
      <c r="AH64" s="193" t="str">
        <f>IF(AG64="","",$B64*'AEO 2017_Table 13'!AI$16/'AEO 2017_Table 13'!$C$16)</f>
        <v/>
      </c>
      <c r="AI64" s="193" t="str">
        <f>IF(AH64="","",$B64*'AEO 2017_Table 13'!AJ$16/'AEO 2017_Table 13'!$C$16)</f>
        <v/>
      </c>
      <c r="AJ64" s="193" t="str">
        <f>IF(AI64="","",$B64*'AEO 2017_Table 13'!AK$16/'AEO 2017_Table 13'!$C$16)</f>
        <v/>
      </c>
      <c r="AK64" s="193" t="str">
        <f>IF(AJ64="","",$B64*'AEO 2017_Table 13'!AL$16/'AEO 2017_Table 13'!$C$16)</f>
        <v/>
      </c>
    </row>
    <row r="65" spans="1:37" x14ac:dyDescent="0.25">
      <c r="A65" s="215" t="s">
        <v>1446</v>
      </c>
      <c r="B65" s="195">
        <v>0.702771994233787</v>
      </c>
      <c r="C65" s="195">
        <f>IF(B65="","",$B65*'AEO 2017_Table 13'!D$16/'AEO 2017_Table 13'!$C$16)</f>
        <v>0.68975777988790077</v>
      </c>
      <c r="D65" s="195">
        <f>IF(C65="","",$B65*'AEO 2017_Table 13'!E$16/'AEO 2017_Table 13'!$C$16)</f>
        <v>0.72422724843316255</v>
      </c>
      <c r="E65" s="195">
        <f>IF(D65="","",$B65*'AEO 2017_Table 13'!F$16/'AEO 2017_Table 13'!$C$16)</f>
        <v>0.75781160991302021</v>
      </c>
      <c r="F65" s="195">
        <f>IF(E65="","",$B65*'AEO 2017_Table 13'!G$16/'AEO 2017_Table 13'!$C$16)</f>
        <v>0.78089001102035827</v>
      </c>
      <c r="G65" s="195">
        <f>IF(F65="","",$B65*'AEO 2017_Table 13'!H$16/'AEO 2017_Table 13'!$C$16)</f>
        <v>0.80143980219967403</v>
      </c>
      <c r="H65" s="195">
        <f>IF(G65="","",$B65*'AEO 2017_Table 13'!I$16/'AEO 2017_Table 13'!$C$16)</f>
        <v>0.80472519608686677</v>
      </c>
      <c r="I65" s="195">
        <f>IF(H65="","",$B65*'AEO 2017_Table 13'!J$16/'AEO 2017_Table 13'!$C$16)</f>
        <v>0.81573197013817234</v>
      </c>
      <c r="J65" s="195">
        <f>IF(I65="","",$B65*'AEO 2017_Table 13'!K$16/'AEO 2017_Table 13'!$C$16)</f>
        <v>0.83037104721961674</v>
      </c>
      <c r="K65" s="195">
        <f>IF(J65="","",$B65*'AEO 2017_Table 13'!L$16/'AEO 2017_Table 13'!$C$16)</f>
        <v>0.84418072963773572</v>
      </c>
      <c r="L65" s="195">
        <f>IF(K65="","",$B65*'AEO 2017_Table 13'!M$16/'AEO 2017_Table 13'!$C$16)</f>
        <v>0.85706012153043543</v>
      </c>
      <c r="M65" s="195">
        <f>IF(L65="","",$B65*'AEO 2017_Table 13'!N$16/'AEO 2017_Table 13'!$C$16)</f>
        <v>0.86955433612533151</v>
      </c>
      <c r="N65" s="195">
        <f>IF(M65="","",$B65*'AEO 2017_Table 13'!O$16/'AEO 2017_Table 13'!$C$16)</f>
        <v>0.87446324088391647</v>
      </c>
      <c r="O65" s="195">
        <f>IF(N65="","",$B65*'AEO 2017_Table 13'!P$16/'AEO 2017_Table 13'!$C$16)</f>
        <v>0.88157498230386755</v>
      </c>
      <c r="P65" s="195">
        <f>IF(O65="","",$B65*'AEO 2017_Table 13'!Q$16/'AEO 2017_Table 13'!$C$16)</f>
        <v>0.88689209804585645</v>
      </c>
      <c r="Q65" s="195">
        <f>IF(P65="","",$B65*'AEO 2017_Table 13'!R$16/'AEO 2017_Table 13'!$C$16)</f>
        <v>0.89041479608898544</v>
      </c>
      <c r="R65" s="195">
        <f>IF(Q65="","",$B65*'AEO 2017_Table 13'!S$16/'AEO 2017_Table 13'!$C$16)</f>
        <v>0.89488489093871304</v>
      </c>
      <c r="S65" s="195">
        <f>IF(R65="","",$B65*'AEO 2017_Table 13'!T$16/'AEO 2017_Table 13'!$C$16)</f>
        <v>0.90147785448490103</v>
      </c>
      <c r="T65" s="195">
        <f>IF(S65="","",$B65*'AEO 2017_Table 13'!U$16/'AEO 2017_Table 13'!$C$16)</f>
        <v>0.90852501839353039</v>
      </c>
      <c r="U65" s="195">
        <f>IF(T65="","",$B65*'AEO 2017_Table 13'!V$16/'AEO 2017_Table 13'!$C$16)</f>
        <v>0.91811100920359179</v>
      </c>
      <c r="V65" s="195">
        <f>IF(U65="","",$B65*'AEO 2017_Table 13'!W$16/'AEO 2017_Table 13'!$C$16)</f>
        <v>0.93148515738371751</v>
      </c>
      <c r="W65" s="195">
        <f>IF(V65="","",$B65*'AEO 2017_Table 13'!X$16/'AEO 2017_Table 13'!$C$16)</f>
        <v>0.94215211957894884</v>
      </c>
      <c r="X65" s="195">
        <f>IF(W65="","",$B65*'AEO 2017_Table 13'!Y$16/'AEO 2017_Table 13'!$C$16)</f>
        <v>0.95143672267212054</v>
      </c>
      <c r="Y65" s="195">
        <f>IF(X65="","",$B65*'AEO 2017_Table 13'!Z$16/'AEO 2017_Table 13'!$C$16)</f>
        <v>0.95865526136119816</v>
      </c>
      <c r="Z65" s="195">
        <f>IF(Y65="","",$B65*'AEO 2017_Table 13'!AA$16/'AEO 2017_Table 13'!$C$16)</f>
        <v>0.96757946266714967</v>
      </c>
      <c r="AA65" s="195">
        <f>IF(Z65="","",$B65*'AEO 2017_Table 13'!AB$16/'AEO 2017_Table 13'!$C$16)</f>
        <v>0.97237504481226755</v>
      </c>
      <c r="AB65" s="195">
        <f>IF(AA65="","",$B65*'AEO 2017_Table 13'!AC$16/'AEO 2017_Table 13'!$C$16)</f>
        <v>0.9771527667519595</v>
      </c>
      <c r="AC65" s="195">
        <f>IF(AB65="","",$B65*'AEO 2017_Table 13'!AD$16/'AEO 2017_Table 13'!$C$16)</f>
        <v>0.98004045260042383</v>
      </c>
      <c r="AD65" s="195">
        <f>IF(AC65="","",$B65*'AEO 2017_Table 13'!AE$16/'AEO 2017_Table 13'!$C$16)</f>
        <v>0.9850366565872769</v>
      </c>
      <c r="AE65" s="195">
        <f>IF(AD65="","",$B65*'AEO 2017_Table 13'!AF$16/'AEO 2017_Table 13'!$C$16)</f>
        <v>0.99222711809751885</v>
      </c>
      <c r="AF65" s="195">
        <f>IF(AE65="","",$B65*'AEO 2017_Table 13'!AG$16/'AEO 2017_Table 13'!$C$16)</f>
        <v>0.99928312111800388</v>
      </c>
      <c r="AG65" s="195">
        <f>IF(AF65="","",$B65*'AEO 2017_Table 13'!AH$16/'AEO 2017_Table 13'!$C$16)</f>
        <v>1.0054139550984684</v>
      </c>
      <c r="AH65" s="195">
        <f>IF(AG65="","",$B65*'AEO 2017_Table 13'!AI$16/'AEO 2017_Table 13'!$C$16)</f>
        <v>1.012304328761211</v>
      </c>
      <c r="AI65" s="195">
        <f>IF(AH65="","",$B65*'AEO 2017_Table 13'!AJ$16/'AEO 2017_Table 13'!$C$16)</f>
        <v>1.0180097934823169</v>
      </c>
      <c r="AJ65" s="195">
        <f>IF(AI65="","",$B65*'AEO 2017_Table 13'!AK$16/'AEO 2017_Table 13'!$C$16)</f>
        <v>1.0237909365993392</v>
      </c>
      <c r="AK65" s="195">
        <f>IF(AJ65="","",$B65*'AEO 2017_Table 13'!AL$16/'AEO 2017_Table 13'!$C$16)</f>
        <v>1.0310783163713395</v>
      </c>
    </row>
    <row r="66" spans="1:37" x14ac:dyDescent="0.25">
      <c r="A66" s="208" t="s">
        <v>1447</v>
      </c>
      <c r="B66" s="197">
        <v>1.3928246988413071</v>
      </c>
      <c r="C66" s="197">
        <f>IF(B66="","",$B66*'AEO 2017_Table 13'!D$16/'AEO 2017_Table 13'!$C$16)</f>
        <v>1.367031811068754</v>
      </c>
      <c r="D66" s="197">
        <f>IF(C66="","",$B66*'AEO 2017_Table 13'!E$16/'AEO 2017_Table 13'!$C$16)</f>
        <v>1.435346894110898</v>
      </c>
      <c r="E66" s="197">
        <f>IF(D66="","",$B66*'AEO 2017_Table 13'!F$16/'AEO 2017_Table 13'!$C$16)</f>
        <v>1.5019077823474309</v>
      </c>
      <c r="F66" s="197">
        <f>IF(E66="","",$B66*'AEO 2017_Table 13'!G$16/'AEO 2017_Table 13'!$C$16)</f>
        <v>1.5476468945144046</v>
      </c>
      <c r="G66" s="197">
        <f>IF(F66="","",$B66*'AEO 2017_Table 13'!H$16/'AEO 2017_Table 13'!$C$16)</f>
        <v>1.5883745514862628</v>
      </c>
      <c r="H66" s="197">
        <f>IF(G66="","",$B66*'AEO 2017_Table 13'!I$16/'AEO 2017_Table 13'!$C$16)</f>
        <v>1.5948858777614272</v>
      </c>
      <c r="I66" s="197">
        <f>IF(H66="","",$B66*'AEO 2017_Table 13'!J$16/'AEO 2017_Table 13'!$C$16)</f>
        <v>1.6167002170905553</v>
      </c>
      <c r="J66" s="197">
        <f>IF(I66="","",$B66*'AEO 2017_Table 13'!K$16/'AEO 2017_Table 13'!$C$16)</f>
        <v>1.6457134223613599</v>
      </c>
      <c r="K66" s="197">
        <f>IF(J66="","",$B66*'AEO 2017_Table 13'!L$16/'AEO 2017_Table 13'!$C$16)</f>
        <v>1.6730828493062702</v>
      </c>
      <c r="L66" s="197">
        <f>IF(K66="","",$B66*'AEO 2017_Table 13'!M$16/'AEO 2017_Table 13'!$C$16)</f>
        <v>1.6986085322893647</v>
      </c>
      <c r="M66" s="197">
        <f>IF(L66="","",$B66*'AEO 2017_Table 13'!N$16/'AEO 2017_Table 13'!$C$16)</f>
        <v>1.7233708319017278</v>
      </c>
      <c r="N66" s="197">
        <f>IF(M66="","",$B66*'AEO 2017_Table 13'!O$16/'AEO 2017_Table 13'!$C$16)</f>
        <v>1.7330997964138537</v>
      </c>
      <c r="O66" s="197">
        <f>IF(N66="","",$B66*'AEO 2017_Table 13'!P$16/'AEO 2017_Table 13'!$C$16)</f>
        <v>1.7471945656743735</v>
      </c>
      <c r="P66" s="197">
        <f>IF(O66="","",$B66*'AEO 2017_Table 13'!Q$16/'AEO 2017_Table 13'!$C$16)</f>
        <v>1.7577325640476789</v>
      </c>
      <c r="Q66" s="197">
        <f>IF(P66="","",$B66*'AEO 2017_Table 13'!R$16/'AEO 2017_Table 13'!$C$16)</f>
        <v>1.7647142037278136</v>
      </c>
      <c r="R66" s="197">
        <f>IF(Q66="","",$B66*'AEO 2017_Table 13'!S$16/'AEO 2017_Table 13'!$C$16)</f>
        <v>1.7735734903299385</v>
      </c>
      <c r="S66" s="197">
        <f>IF(R66="","",$B66*'AEO 2017_Table 13'!T$16/'AEO 2017_Table 13'!$C$16)</f>
        <v>1.7866400930702806</v>
      </c>
      <c r="T66" s="197">
        <f>IF(S66="","",$B66*'AEO 2017_Table 13'!U$16/'AEO 2017_Table 13'!$C$16)</f>
        <v>1.8006068760799301</v>
      </c>
      <c r="U66" s="197">
        <f>IF(T66="","",$B66*'AEO 2017_Table 13'!V$16/'AEO 2017_Table 13'!$C$16)</f>
        <v>1.8196053633171405</v>
      </c>
      <c r="V66" s="197">
        <f>IF(U66="","",$B66*'AEO 2017_Table 13'!W$16/'AEO 2017_Table 13'!$C$16)</f>
        <v>1.8461116044082528</v>
      </c>
      <c r="W66" s="197">
        <f>IF(V66="","",$B66*'AEO 2017_Table 13'!X$16/'AEO 2017_Table 13'!$C$16)</f>
        <v>1.867252470192643</v>
      </c>
      <c r="X66" s="197">
        <f>IF(W66="","",$B66*'AEO 2017_Table 13'!Y$16/'AEO 2017_Table 13'!$C$16)</f>
        <v>1.8856536367348689</v>
      </c>
      <c r="Y66" s="197">
        <f>IF(X66="","",$B66*'AEO 2017_Table 13'!Z$16/'AEO 2017_Table 13'!$C$16)</f>
        <v>1.8999600676373276</v>
      </c>
      <c r="Z66" s="197">
        <f>IF(Y66="","",$B66*'AEO 2017_Table 13'!AA$16/'AEO 2017_Table 13'!$C$16)</f>
        <v>1.9176469534243927</v>
      </c>
      <c r="AA66" s="197">
        <f>IF(Z66="","",$B66*'AEO 2017_Table 13'!AB$16/'AEO 2017_Table 13'!$C$16)</f>
        <v>1.9271513237064284</v>
      </c>
      <c r="AB66" s="197">
        <f>IF(AA66="","",$B66*'AEO 2017_Table 13'!AC$16/'AEO 2017_Table 13'!$C$16)</f>
        <v>1.936620296824878</v>
      </c>
      <c r="AC66" s="197">
        <f>IF(AB66="","",$B66*'AEO 2017_Table 13'!AD$16/'AEO 2017_Table 13'!$C$16)</f>
        <v>1.9423434050381194</v>
      </c>
      <c r="AD66" s="197">
        <f>IF(AC66="","",$B66*'AEO 2017_Table 13'!AE$16/'AEO 2017_Table 13'!$C$16)</f>
        <v>1.9522453880004964</v>
      </c>
      <c r="AE66" s="197">
        <f>IF(AD66="","",$B66*'AEO 2017_Table 13'!AF$16/'AEO 2017_Table 13'!$C$16)</f>
        <v>1.9664961727069243</v>
      </c>
      <c r="AF66" s="197">
        <f>IF(AE66="","",$B66*'AEO 2017_Table 13'!AG$16/'AEO 2017_Table 13'!$C$16)</f>
        <v>1.9804804739634725</v>
      </c>
      <c r="AG66" s="197">
        <f>IF(AF66="","",$B66*'AEO 2017_Table 13'!AH$16/'AEO 2017_Table 13'!$C$16)</f>
        <v>1.9926311815365547</v>
      </c>
      <c r="AH66" s="197">
        <f>IF(AG66="","",$B66*'AEO 2017_Table 13'!AI$16/'AEO 2017_Table 13'!$C$16)</f>
        <v>2.0062872217607772</v>
      </c>
      <c r="AI66" s="197">
        <f>IF(AH66="","",$B66*'AEO 2017_Table 13'!AJ$16/'AEO 2017_Table 13'!$C$16)</f>
        <v>2.0175948894639957</v>
      </c>
      <c r="AJ66" s="197">
        <f>IF(AI66="","",$B66*'AEO 2017_Table 13'!AK$16/'AEO 2017_Table 13'!$C$16)</f>
        <v>2.0290525442752179</v>
      </c>
      <c r="AK66" s="197">
        <f>IF(AJ66="","",$B66*'AEO 2017_Table 13'!AL$16/'AEO 2017_Table 13'!$C$16)</f>
        <v>2.0434954114064632</v>
      </c>
    </row>
    <row r="67" spans="1:37" x14ac:dyDescent="0.25">
      <c r="A67" s="221" t="s">
        <v>1448</v>
      </c>
      <c r="B67" s="223"/>
      <c r="C67" s="223" t="str">
        <f>IF(B67="","",$B67*'AEO 2017_Table 13'!D$16/'AEO 2017_Table 13'!$C$16)</f>
        <v/>
      </c>
      <c r="D67" s="223" t="str">
        <f>IF(C67="","",$B67*'AEO 2017_Table 13'!E$16/'AEO 2017_Table 13'!$C$16)</f>
        <v/>
      </c>
      <c r="E67" s="223" t="str">
        <f>IF(D67="","",$B67*'AEO 2017_Table 13'!F$16/'AEO 2017_Table 13'!$C$16)</f>
        <v/>
      </c>
      <c r="F67" s="223" t="str">
        <f>IF(E67="","",$B67*'AEO 2017_Table 13'!G$16/'AEO 2017_Table 13'!$C$16)</f>
        <v/>
      </c>
      <c r="G67" s="223" t="str">
        <f>IF(F67="","",$B67*'AEO 2017_Table 13'!H$16/'AEO 2017_Table 13'!$C$16)</f>
        <v/>
      </c>
      <c r="H67" s="223" t="str">
        <f>IF(G67="","",$B67*'AEO 2017_Table 13'!I$16/'AEO 2017_Table 13'!$C$16)</f>
        <v/>
      </c>
      <c r="I67" s="223" t="str">
        <f>IF(H67="","",$B67*'AEO 2017_Table 13'!J$16/'AEO 2017_Table 13'!$C$16)</f>
        <v/>
      </c>
      <c r="J67" s="223" t="str">
        <f>IF(I67="","",$B67*'AEO 2017_Table 13'!K$16/'AEO 2017_Table 13'!$C$16)</f>
        <v/>
      </c>
      <c r="K67" s="223" t="str">
        <f>IF(J67="","",$B67*'AEO 2017_Table 13'!L$16/'AEO 2017_Table 13'!$C$16)</f>
        <v/>
      </c>
      <c r="L67" s="223" t="str">
        <f>IF(K67="","",$B67*'AEO 2017_Table 13'!M$16/'AEO 2017_Table 13'!$C$16)</f>
        <v/>
      </c>
      <c r="M67" s="223" t="str">
        <f>IF(L67="","",$B67*'AEO 2017_Table 13'!N$16/'AEO 2017_Table 13'!$C$16)</f>
        <v/>
      </c>
      <c r="N67" s="223" t="str">
        <f>IF(M67="","",$B67*'AEO 2017_Table 13'!O$16/'AEO 2017_Table 13'!$C$16)</f>
        <v/>
      </c>
      <c r="O67" s="223" t="str">
        <f>IF(N67="","",$B67*'AEO 2017_Table 13'!P$16/'AEO 2017_Table 13'!$C$16)</f>
        <v/>
      </c>
      <c r="P67" s="223" t="str">
        <f>IF(O67="","",$B67*'AEO 2017_Table 13'!Q$16/'AEO 2017_Table 13'!$C$16)</f>
        <v/>
      </c>
      <c r="Q67" s="223" t="str">
        <f>IF(P67="","",$B67*'AEO 2017_Table 13'!R$16/'AEO 2017_Table 13'!$C$16)</f>
        <v/>
      </c>
      <c r="R67" s="223" t="str">
        <f>IF(Q67="","",$B67*'AEO 2017_Table 13'!S$16/'AEO 2017_Table 13'!$C$16)</f>
        <v/>
      </c>
      <c r="S67" s="223" t="str">
        <f>IF(R67="","",$B67*'AEO 2017_Table 13'!T$16/'AEO 2017_Table 13'!$C$16)</f>
        <v/>
      </c>
      <c r="T67" s="223" t="str">
        <f>IF(S67="","",$B67*'AEO 2017_Table 13'!U$16/'AEO 2017_Table 13'!$C$16)</f>
        <v/>
      </c>
      <c r="U67" s="223" t="str">
        <f>IF(T67="","",$B67*'AEO 2017_Table 13'!V$16/'AEO 2017_Table 13'!$C$16)</f>
        <v/>
      </c>
      <c r="V67" s="223" t="str">
        <f>IF(U67="","",$B67*'AEO 2017_Table 13'!W$16/'AEO 2017_Table 13'!$C$16)</f>
        <v/>
      </c>
      <c r="W67" s="223" t="str">
        <f>IF(V67="","",$B67*'AEO 2017_Table 13'!X$16/'AEO 2017_Table 13'!$C$16)</f>
        <v/>
      </c>
      <c r="X67" s="223" t="str">
        <f>IF(W67="","",$B67*'AEO 2017_Table 13'!Y$16/'AEO 2017_Table 13'!$C$16)</f>
        <v/>
      </c>
      <c r="Y67" s="223" t="str">
        <f>IF(X67="","",$B67*'AEO 2017_Table 13'!Z$16/'AEO 2017_Table 13'!$C$16)</f>
        <v/>
      </c>
      <c r="Z67" s="223" t="str">
        <f>IF(Y67="","",$B67*'AEO 2017_Table 13'!AA$16/'AEO 2017_Table 13'!$C$16)</f>
        <v/>
      </c>
      <c r="AA67" s="223" t="str">
        <f>IF(Z67="","",$B67*'AEO 2017_Table 13'!AB$16/'AEO 2017_Table 13'!$C$16)</f>
        <v/>
      </c>
      <c r="AB67" s="223" t="str">
        <f>IF(AA67="","",$B67*'AEO 2017_Table 13'!AC$16/'AEO 2017_Table 13'!$C$16)</f>
        <v/>
      </c>
      <c r="AC67" s="223" t="str">
        <f>IF(AB67="","",$B67*'AEO 2017_Table 13'!AD$16/'AEO 2017_Table 13'!$C$16)</f>
        <v/>
      </c>
      <c r="AD67" s="223" t="str">
        <f>IF(AC67="","",$B67*'AEO 2017_Table 13'!AE$16/'AEO 2017_Table 13'!$C$16)</f>
        <v/>
      </c>
      <c r="AE67" s="223" t="str">
        <f>IF(AD67="","",$B67*'AEO 2017_Table 13'!AF$16/'AEO 2017_Table 13'!$C$16)</f>
        <v/>
      </c>
      <c r="AF67" s="223" t="str">
        <f>IF(AE67="","",$B67*'AEO 2017_Table 13'!AG$16/'AEO 2017_Table 13'!$C$16)</f>
        <v/>
      </c>
      <c r="AG67" s="223" t="str">
        <f>IF(AF67="","",$B67*'AEO 2017_Table 13'!AH$16/'AEO 2017_Table 13'!$C$16)</f>
        <v/>
      </c>
      <c r="AH67" s="223" t="str">
        <f>IF(AG67="","",$B67*'AEO 2017_Table 13'!AI$16/'AEO 2017_Table 13'!$C$16)</f>
        <v/>
      </c>
      <c r="AI67" s="223" t="str">
        <f>IF(AH67="","",$B67*'AEO 2017_Table 13'!AJ$16/'AEO 2017_Table 13'!$C$16)</f>
        <v/>
      </c>
      <c r="AJ67" s="223" t="str">
        <f>IF(AI67="","",$B67*'AEO 2017_Table 13'!AK$16/'AEO 2017_Table 13'!$C$16)</f>
        <v/>
      </c>
      <c r="AK67" s="223" t="str">
        <f>IF(AJ67="","",$B67*'AEO 2017_Table 13'!AL$16/'AEO 2017_Table 13'!$C$16)</f>
        <v/>
      </c>
    </row>
    <row r="68" spans="1:37" x14ac:dyDescent="0.25">
      <c r="A68" s="215" t="s">
        <v>1449</v>
      </c>
      <c r="B68" s="195">
        <v>123.4599692228694</v>
      </c>
      <c r="C68" s="195">
        <f>IF(B68="","",$B68*'AEO 2017_Table 13'!D$16/'AEO 2017_Table 13'!$C$16)</f>
        <v>121.1736878744575</v>
      </c>
      <c r="D68" s="195">
        <f>IF(C68="","",$B68*'AEO 2017_Table 13'!E$16/'AEO 2017_Table 13'!$C$16)</f>
        <v>127.22913624269597</v>
      </c>
      <c r="E68" s="195">
        <f>IF(D68="","",$B68*'AEO 2017_Table 13'!F$16/'AEO 2017_Table 13'!$C$16)</f>
        <v>133.12909279858232</v>
      </c>
      <c r="F68" s="195">
        <f>IF(E68="","",$B68*'AEO 2017_Table 13'!G$16/'AEO 2017_Table 13'!$C$16)</f>
        <v>137.18340730428696</v>
      </c>
      <c r="G68" s="195">
        <f>IF(F68="","",$B68*'AEO 2017_Table 13'!H$16/'AEO 2017_Table 13'!$C$16)</f>
        <v>140.79350646496965</v>
      </c>
      <c r="H68" s="195">
        <f>IF(G68="","",$B68*'AEO 2017_Table 13'!I$16/'AEO 2017_Table 13'!$C$16)</f>
        <v>141.37067036951603</v>
      </c>
      <c r="I68" s="195">
        <f>IF(H68="","",$B68*'AEO 2017_Table 13'!J$16/'AEO 2017_Table 13'!$C$16)</f>
        <v>143.30429321841572</v>
      </c>
      <c r="J68" s="195">
        <f>IF(I68="","",$B68*'AEO 2017_Table 13'!K$16/'AEO 2017_Table 13'!$C$16)</f>
        <v>145.87602348193715</v>
      </c>
      <c r="K68" s="195">
        <f>IF(J68="","",$B68*'AEO 2017_Table 13'!L$16/'AEO 2017_Table 13'!$C$16)</f>
        <v>148.30204924891072</v>
      </c>
      <c r="L68" s="195">
        <f>IF(K68="","",$B68*'AEO 2017_Table 13'!M$16/'AEO 2017_Table 13'!$C$16)</f>
        <v>150.56464556710296</v>
      </c>
      <c r="M68" s="195">
        <f>IF(L68="","",$B68*'AEO 2017_Table 13'!N$16/'AEO 2017_Table 13'!$C$16)</f>
        <v>152.75957558993574</v>
      </c>
      <c r="N68" s="195">
        <f>IF(M68="","",$B68*'AEO 2017_Table 13'!O$16/'AEO 2017_Table 13'!$C$16)</f>
        <v>153.62195091989412</v>
      </c>
      <c r="O68" s="195">
        <f>IF(N68="","",$B68*'AEO 2017_Table 13'!P$16/'AEO 2017_Table 13'!$C$16)</f>
        <v>154.87131114487784</v>
      </c>
      <c r="P68" s="195">
        <f>IF(O68="","",$B68*'AEO 2017_Table 13'!Q$16/'AEO 2017_Table 13'!$C$16)</f>
        <v>155.80539922927298</v>
      </c>
      <c r="Q68" s="195">
        <f>IF(P68="","",$B68*'AEO 2017_Table 13'!R$16/'AEO 2017_Table 13'!$C$16)</f>
        <v>156.42425170995605</v>
      </c>
      <c r="R68" s="195">
        <f>IF(Q68="","",$B68*'AEO 2017_Table 13'!S$16/'AEO 2017_Table 13'!$C$16)</f>
        <v>157.20953879751616</v>
      </c>
      <c r="S68" s="195">
        <f>IF(R68="","",$B68*'AEO 2017_Table 13'!T$16/'AEO 2017_Table 13'!$C$16)</f>
        <v>158.36776235107044</v>
      </c>
      <c r="T68" s="195">
        <f>IF(S68="","",$B68*'AEO 2017_Table 13'!U$16/'AEO 2017_Table 13'!$C$16)</f>
        <v>159.60577787588724</v>
      </c>
      <c r="U68" s="195">
        <f>IF(T68="","",$B68*'AEO 2017_Table 13'!V$16/'AEO 2017_Table 13'!$C$16)</f>
        <v>161.28980361978617</v>
      </c>
      <c r="V68" s="195">
        <f>IF(U68="","",$B68*'AEO 2017_Table 13'!W$16/'AEO 2017_Table 13'!$C$16)</f>
        <v>163.63931660016704</v>
      </c>
      <c r="W68" s="195">
        <f>IF(V68="","",$B68*'AEO 2017_Table 13'!X$16/'AEO 2017_Table 13'!$C$16)</f>
        <v>165.51324275990336</v>
      </c>
      <c r="X68" s="195">
        <f>IF(W68="","",$B68*'AEO 2017_Table 13'!Y$16/'AEO 2017_Table 13'!$C$16)</f>
        <v>167.14432200258051</v>
      </c>
      <c r="Y68" s="195">
        <f>IF(X68="","",$B68*'AEO 2017_Table 13'!Z$16/'AEO 2017_Table 13'!$C$16)</f>
        <v>168.41244391366956</v>
      </c>
      <c r="Z68" s="195">
        <f>IF(Y68="","",$B68*'AEO 2017_Table 13'!AA$16/'AEO 2017_Table 13'!$C$16)</f>
        <v>169.98020931640548</v>
      </c>
      <c r="AA68" s="195">
        <f>IF(Z68="","",$B68*'AEO 2017_Table 13'!AB$16/'AEO 2017_Table 13'!$C$16)</f>
        <v>170.82267661575693</v>
      </c>
      <c r="AB68" s="195">
        <f>IF(AA68="","",$B68*'AEO 2017_Table 13'!AC$16/'AEO 2017_Table 13'!$C$16)</f>
        <v>171.66200631083524</v>
      </c>
      <c r="AC68" s="195">
        <f>IF(AB68="","",$B68*'AEO 2017_Table 13'!AD$16/'AEO 2017_Table 13'!$C$16)</f>
        <v>172.16930257321033</v>
      </c>
      <c r="AD68" s="195">
        <f>IF(AC68="","",$B68*'AEO 2017_Table 13'!AE$16/'AEO 2017_Table 13'!$C$16)</f>
        <v>173.04701425709808</v>
      </c>
      <c r="AE68" s="195">
        <f>IF(AD68="","",$B68*'AEO 2017_Table 13'!AF$16/'AEO 2017_Table 13'!$C$16)</f>
        <v>174.31020368985369</v>
      </c>
      <c r="AF68" s="195">
        <f>IF(AE68="","",$B68*'AEO 2017_Table 13'!AG$16/'AEO 2017_Table 13'!$C$16)</f>
        <v>175.54977203192362</v>
      </c>
      <c r="AG68" s="195">
        <f>IF(AF68="","",$B68*'AEO 2017_Table 13'!AH$16/'AEO 2017_Table 13'!$C$16)</f>
        <v>176.62681064579712</v>
      </c>
      <c r="AH68" s="195">
        <f>IF(AG68="","",$B68*'AEO 2017_Table 13'!AI$16/'AEO 2017_Table 13'!$C$16)</f>
        <v>177.8372819328093</v>
      </c>
      <c r="AI68" s="195">
        <f>IF(AH68="","",$B68*'AEO 2017_Table 13'!AJ$16/'AEO 2017_Table 13'!$C$16)</f>
        <v>178.8395934999312</v>
      </c>
      <c r="AJ68" s="195">
        <f>IF(AI68="","",$B68*'AEO 2017_Table 13'!AK$16/'AEO 2017_Table 13'!$C$16)</f>
        <v>179.85519992300553</v>
      </c>
      <c r="AK68" s="195">
        <f>IF(AJ68="","",$B68*'AEO 2017_Table 13'!AL$16/'AEO 2017_Table 13'!$C$16)</f>
        <v>181.13541554023064</v>
      </c>
    </row>
    <row r="69" spans="1:37" x14ac:dyDescent="0.25">
      <c r="A69" s="208" t="s">
        <v>1450</v>
      </c>
      <c r="B69" s="197">
        <v>27.105334745076</v>
      </c>
      <c r="C69" s="197">
        <f>IF(B69="","",$B69*'AEO 2017_Table 13'!D$16/'AEO 2017_Table 13'!$C$16)</f>
        <v>26.603387258289739</v>
      </c>
      <c r="D69" s="197">
        <f>IF(C69="","",$B69*'AEO 2017_Table 13'!E$16/'AEO 2017_Table 13'!$C$16)</f>
        <v>27.932846159711726</v>
      </c>
      <c r="E69" s="197">
        <f>IF(D69="","",$B69*'AEO 2017_Table 13'!F$16/'AEO 2017_Table 13'!$C$16)</f>
        <v>29.228167213453588</v>
      </c>
      <c r="F69" s="197">
        <f>IF(E69="","",$B69*'AEO 2017_Table 13'!G$16/'AEO 2017_Table 13'!$C$16)</f>
        <v>30.118282062263905</v>
      </c>
      <c r="G69" s="197">
        <f>IF(F69="","",$B69*'AEO 2017_Table 13'!H$16/'AEO 2017_Table 13'!$C$16)</f>
        <v>30.910870516879339</v>
      </c>
      <c r="H69" s="197">
        <f>IF(G69="","",$B69*'AEO 2017_Table 13'!I$16/'AEO 2017_Table 13'!$C$16)</f>
        <v>31.037585442648226</v>
      </c>
      <c r="I69" s="197">
        <f>IF(H69="","",$B69*'AEO 2017_Table 13'!J$16/'AEO 2017_Table 13'!$C$16)</f>
        <v>31.462107617083085</v>
      </c>
      <c r="J69" s="197">
        <f>IF(I69="","",$B69*'AEO 2017_Table 13'!K$16/'AEO 2017_Table 13'!$C$16)</f>
        <v>32.0267247160956</v>
      </c>
      <c r="K69" s="197">
        <f>IF(J69="","",$B69*'AEO 2017_Table 13'!L$16/'AEO 2017_Table 13'!$C$16)</f>
        <v>32.559352748711518</v>
      </c>
      <c r="L69" s="197">
        <f>IF(K69="","",$B69*'AEO 2017_Table 13'!M$16/'AEO 2017_Table 13'!$C$16)</f>
        <v>33.056100244953534</v>
      </c>
      <c r="M69" s="197">
        <f>IF(L69="","",$B69*'AEO 2017_Table 13'!N$16/'AEO 2017_Table 13'!$C$16)</f>
        <v>33.537991771295168</v>
      </c>
      <c r="N69" s="197">
        <f>IF(M69="","",$B69*'AEO 2017_Table 13'!O$16/'AEO 2017_Table 13'!$C$16)</f>
        <v>33.72732416900719</v>
      </c>
      <c r="O69" s="197">
        <f>IF(N69="","",$B69*'AEO 2017_Table 13'!P$16/'AEO 2017_Table 13'!$C$16)</f>
        <v>34.001618155378061</v>
      </c>
      <c r="P69" s="197">
        <f>IF(O69="","",$B69*'AEO 2017_Table 13'!Q$16/'AEO 2017_Table 13'!$C$16)</f>
        <v>34.206694913199151</v>
      </c>
      <c r="Q69" s="197">
        <f>IF(P69="","",$B69*'AEO 2017_Table 13'!R$16/'AEO 2017_Table 13'!$C$16)</f>
        <v>34.342562464052449</v>
      </c>
      <c r="R69" s="197">
        <f>IF(Q69="","",$B69*'AEO 2017_Table 13'!S$16/'AEO 2017_Table 13'!$C$16)</f>
        <v>34.514970326400764</v>
      </c>
      <c r="S69" s="197">
        <f>IF(R69="","",$B69*'AEO 2017_Table 13'!T$16/'AEO 2017_Table 13'!$C$16)</f>
        <v>34.769255479121377</v>
      </c>
      <c r="T69" s="197">
        <f>IF(S69="","",$B69*'AEO 2017_Table 13'!U$16/'AEO 2017_Table 13'!$C$16)</f>
        <v>35.041058764275157</v>
      </c>
      <c r="U69" s="197">
        <f>IF(T69="","",$B69*'AEO 2017_Table 13'!V$16/'AEO 2017_Table 13'!$C$16)</f>
        <v>35.410782503840537</v>
      </c>
      <c r="V69" s="197">
        <f>IF(U69="","",$B69*'AEO 2017_Table 13'!W$16/'AEO 2017_Table 13'!$C$16)</f>
        <v>35.926612341009552</v>
      </c>
      <c r="W69" s="197">
        <f>IF(V69="","",$B69*'AEO 2017_Table 13'!X$16/'AEO 2017_Table 13'!$C$16)</f>
        <v>36.338028253122054</v>
      </c>
      <c r="X69" s="197">
        <f>IF(W69="","",$B69*'AEO 2017_Table 13'!Y$16/'AEO 2017_Table 13'!$C$16)</f>
        <v>36.696127717643215</v>
      </c>
      <c r="Y69" s="197">
        <f>IF(X69="","",$B69*'AEO 2017_Table 13'!Z$16/'AEO 2017_Table 13'!$C$16)</f>
        <v>36.974540786381183</v>
      </c>
      <c r="Z69" s="197">
        <f>IF(Y69="","",$B69*'AEO 2017_Table 13'!AA$16/'AEO 2017_Table 13'!$C$16)</f>
        <v>37.318739851960039</v>
      </c>
      <c r="AA69" s="197">
        <f>IF(Z69="","",$B69*'AEO 2017_Table 13'!AB$16/'AEO 2017_Table 13'!$C$16)</f>
        <v>37.503701490169099</v>
      </c>
      <c r="AB69" s="197">
        <f>IF(AA69="","",$B69*'AEO 2017_Table 13'!AC$16/'AEO 2017_Table 13'!$C$16)</f>
        <v>37.687974275022228</v>
      </c>
      <c r="AC69" s="197">
        <f>IF(AB69="","",$B69*'AEO 2017_Table 13'!AD$16/'AEO 2017_Table 13'!$C$16)</f>
        <v>37.799349930574039</v>
      </c>
      <c r="AD69" s="197">
        <f>IF(AC69="","",$B69*'AEO 2017_Table 13'!AE$16/'AEO 2017_Table 13'!$C$16)</f>
        <v>37.992049387338803</v>
      </c>
      <c r="AE69" s="197">
        <f>IF(AD69="","",$B69*'AEO 2017_Table 13'!AF$16/'AEO 2017_Table 13'!$C$16)</f>
        <v>38.269379542504112</v>
      </c>
      <c r="AF69" s="197">
        <f>IF(AE69="","",$B69*'AEO 2017_Table 13'!AG$16/'AEO 2017_Table 13'!$C$16)</f>
        <v>38.54152374489373</v>
      </c>
      <c r="AG69" s="197">
        <f>IF(AF69="","",$B69*'AEO 2017_Table 13'!AH$16/'AEO 2017_Table 13'!$C$16)</f>
        <v>38.777984942366686</v>
      </c>
      <c r="AH69" s="197">
        <f>IF(AG69="","",$B69*'AEO 2017_Table 13'!AI$16/'AEO 2017_Table 13'!$C$16)</f>
        <v>39.043740957375398</v>
      </c>
      <c r="AI69" s="197">
        <f>IF(AH69="","",$B69*'AEO 2017_Table 13'!AJ$16/'AEO 2017_Table 13'!$C$16)</f>
        <v>39.26379601422267</v>
      </c>
      <c r="AJ69" s="197">
        <f>IF(AI69="","",$B69*'AEO 2017_Table 13'!AK$16/'AEO 2017_Table 13'!$C$16)</f>
        <v>39.486769924227339</v>
      </c>
      <c r="AK69" s="197">
        <f>IF(AJ69="","",$B69*'AEO 2017_Table 13'!AL$16/'AEO 2017_Table 13'!$C$16)</f>
        <v>39.767838136613811</v>
      </c>
    </row>
    <row r="71" spans="1:37" x14ac:dyDescent="0.25">
      <c r="A71" s="56" t="s">
        <v>1538</v>
      </c>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row>
    <row r="72" spans="1:37" x14ac:dyDescent="0.25">
      <c r="A72" s="174" t="s">
        <v>1389</v>
      </c>
      <c r="B72" s="175">
        <v>2015</v>
      </c>
      <c r="C72" s="175">
        <v>2016</v>
      </c>
      <c r="D72" s="175">
        <v>2017</v>
      </c>
      <c r="E72" s="175">
        <v>2018</v>
      </c>
      <c r="F72" s="175">
        <v>2019</v>
      </c>
      <c r="G72" s="175">
        <v>2020</v>
      </c>
      <c r="H72" s="175">
        <v>2021</v>
      </c>
      <c r="I72" s="175">
        <v>2022</v>
      </c>
      <c r="J72" s="175">
        <v>2023</v>
      </c>
      <c r="K72" s="175">
        <v>2024</v>
      </c>
      <c r="L72" s="175">
        <v>2025</v>
      </c>
      <c r="M72" s="175">
        <v>2026</v>
      </c>
      <c r="N72" s="175">
        <v>2027</v>
      </c>
      <c r="O72" s="175">
        <v>2028</v>
      </c>
      <c r="P72" s="175">
        <v>2029</v>
      </c>
      <c r="Q72" s="175">
        <v>2030</v>
      </c>
      <c r="R72" s="175">
        <v>2031</v>
      </c>
      <c r="S72" s="175">
        <v>2032</v>
      </c>
      <c r="T72" s="175">
        <v>2033</v>
      </c>
      <c r="U72" s="175">
        <v>2034</v>
      </c>
      <c r="V72" s="175">
        <v>2035</v>
      </c>
      <c r="W72" s="175">
        <v>2036</v>
      </c>
      <c r="X72" s="175">
        <v>2037</v>
      </c>
      <c r="Y72" s="175">
        <v>2038</v>
      </c>
      <c r="Z72" s="175">
        <v>2039</v>
      </c>
      <c r="AA72" s="175">
        <v>2040</v>
      </c>
      <c r="AB72" s="175">
        <v>2041</v>
      </c>
      <c r="AC72" s="175">
        <v>2042</v>
      </c>
      <c r="AD72" s="175">
        <v>2043</v>
      </c>
      <c r="AE72" s="175">
        <v>2044</v>
      </c>
      <c r="AF72" s="175">
        <v>2045</v>
      </c>
      <c r="AG72" s="175">
        <v>2046</v>
      </c>
      <c r="AH72" s="175">
        <v>2047</v>
      </c>
      <c r="AI72" s="175">
        <v>2048</v>
      </c>
      <c r="AJ72" s="175">
        <v>2049</v>
      </c>
      <c r="AK72" s="175">
        <v>2050</v>
      </c>
    </row>
    <row r="73" spans="1:37" x14ac:dyDescent="0.25">
      <c r="A73" s="224" t="s">
        <v>1451</v>
      </c>
      <c r="B73" s="226"/>
      <c r="C73" s="226" t="str">
        <f>IF(B73="","",$B73*'AEO 2017_Table 13'!D$16/'AEO 2017_Table 13'!$C$16)</f>
        <v/>
      </c>
      <c r="D73" s="226" t="str">
        <f>IF(C73="","",$B73*'AEO 2017_Table 13'!E$16/'AEO 2017_Table 13'!$C$16)</f>
        <v/>
      </c>
      <c r="E73" s="226" t="str">
        <f>IF(D73="","",$B73*'AEO 2017_Table 13'!F$16/'AEO 2017_Table 13'!$C$16)</f>
        <v/>
      </c>
      <c r="F73" s="226" t="str">
        <f>IF(E73="","",$B73*'AEO 2017_Table 13'!G$16/'AEO 2017_Table 13'!$C$16)</f>
        <v/>
      </c>
      <c r="G73" s="226" t="str">
        <f>IF(F73="","",$B73*'AEO 2017_Table 13'!H$16/'AEO 2017_Table 13'!$C$16)</f>
        <v/>
      </c>
      <c r="H73" s="226" t="str">
        <f>IF(G73="","",$B73*'AEO 2017_Table 13'!I$16/'AEO 2017_Table 13'!$C$16)</f>
        <v/>
      </c>
      <c r="I73" s="226" t="str">
        <f>IF(H73="","",$B73*'AEO 2017_Table 13'!J$16/'AEO 2017_Table 13'!$C$16)</f>
        <v/>
      </c>
      <c r="J73" s="226" t="str">
        <f>IF(I73="","",$B73*'AEO 2017_Table 13'!K$16/'AEO 2017_Table 13'!$C$16)</f>
        <v/>
      </c>
      <c r="K73" s="226" t="str">
        <f>IF(J73="","",$B73*'AEO 2017_Table 13'!L$16/'AEO 2017_Table 13'!$C$16)</f>
        <v/>
      </c>
      <c r="L73" s="226" t="str">
        <f>IF(K73="","",$B73*'AEO 2017_Table 13'!M$16/'AEO 2017_Table 13'!$C$16)</f>
        <v/>
      </c>
      <c r="M73" s="226" t="str">
        <f>IF(L73="","",$B73*'AEO 2017_Table 13'!N$16/'AEO 2017_Table 13'!$C$16)</f>
        <v/>
      </c>
      <c r="N73" s="226" t="str">
        <f>IF(M73="","",$B73*'AEO 2017_Table 13'!O$16/'AEO 2017_Table 13'!$C$16)</f>
        <v/>
      </c>
      <c r="O73" s="226" t="str">
        <f>IF(N73="","",$B73*'AEO 2017_Table 13'!P$16/'AEO 2017_Table 13'!$C$16)</f>
        <v/>
      </c>
      <c r="P73" s="226" t="str">
        <f>IF(O73="","",$B73*'AEO 2017_Table 13'!Q$16/'AEO 2017_Table 13'!$C$16)</f>
        <v/>
      </c>
      <c r="Q73" s="226" t="str">
        <f>IF(P73="","",$B73*'AEO 2017_Table 13'!R$16/'AEO 2017_Table 13'!$C$16)</f>
        <v/>
      </c>
      <c r="R73" s="226" t="str">
        <f>IF(Q73="","",$B73*'AEO 2017_Table 13'!S$16/'AEO 2017_Table 13'!$C$16)</f>
        <v/>
      </c>
      <c r="S73" s="226" t="str">
        <f>IF(R73="","",$B73*'AEO 2017_Table 13'!T$16/'AEO 2017_Table 13'!$C$16)</f>
        <v/>
      </c>
      <c r="T73" s="226" t="str">
        <f>IF(S73="","",$B73*'AEO 2017_Table 13'!U$16/'AEO 2017_Table 13'!$C$16)</f>
        <v/>
      </c>
      <c r="U73" s="226" t="str">
        <f>IF(T73="","",$B73*'AEO 2017_Table 13'!V$16/'AEO 2017_Table 13'!$C$16)</f>
        <v/>
      </c>
      <c r="V73" s="226" t="str">
        <f>IF(U73="","",$B73*'AEO 2017_Table 13'!W$16/'AEO 2017_Table 13'!$C$16)</f>
        <v/>
      </c>
      <c r="W73" s="226" t="str">
        <f>IF(V73="","",$B73*'AEO 2017_Table 13'!X$16/'AEO 2017_Table 13'!$C$16)</f>
        <v/>
      </c>
      <c r="X73" s="226" t="str">
        <f>IF(W73="","",$B73*'AEO 2017_Table 13'!Y$16/'AEO 2017_Table 13'!$C$16)</f>
        <v/>
      </c>
      <c r="Y73" s="226" t="str">
        <f>IF(X73="","",$B73*'AEO 2017_Table 13'!Z$16/'AEO 2017_Table 13'!$C$16)</f>
        <v/>
      </c>
      <c r="Z73" s="226" t="str">
        <f>IF(Y73="","",$B73*'AEO 2017_Table 13'!AA$16/'AEO 2017_Table 13'!$C$16)</f>
        <v/>
      </c>
      <c r="AA73" s="226" t="str">
        <f>IF(Z73="","",$B73*'AEO 2017_Table 13'!AB$16/'AEO 2017_Table 13'!$C$16)</f>
        <v/>
      </c>
      <c r="AB73" s="226" t="str">
        <f>IF(AA73="","",$B73*'AEO 2017_Table 13'!AC$16/'AEO 2017_Table 13'!$C$16)</f>
        <v/>
      </c>
      <c r="AC73" s="226" t="str">
        <f>IF(AB73="","",$B73*'AEO 2017_Table 13'!AD$16/'AEO 2017_Table 13'!$C$16)</f>
        <v/>
      </c>
      <c r="AD73" s="226" t="str">
        <f>IF(AC73="","",$B73*'AEO 2017_Table 13'!AE$16/'AEO 2017_Table 13'!$C$16)</f>
        <v/>
      </c>
      <c r="AE73" s="226" t="str">
        <f>IF(AD73="","",$B73*'AEO 2017_Table 13'!AF$16/'AEO 2017_Table 13'!$C$16)</f>
        <v/>
      </c>
      <c r="AF73" s="226" t="str">
        <f>IF(AE73="","",$B73*'AEO 2017_Table 13'!AG$16/'AEO 2017_Table 13'!$C$16)</f>
        <v/>
      </c>
      <c r="AG73" s="226" t="str">
        <f>IF(AF73="","",$B73*'AEO 2017_Table 13'!AH$16/'AEO 2017_Table 13'!$C$16)</f>
        <v/>
      </c>
      <c r="AH73" s="226" t="str">
        <f>IF(AG73="","",$B73*'AEO 2017_Table 13'!AI$16/'AEO 2017_Table 13'!$C$16)</f>
        <v/>
      </c>
      <c r="AI73" s="226" t="str">
        <f>IF(AH73="","",$B73*'AEO 2017_Table 13'!AJ$16/'AEO 2017_Table 13'!$C$16)</f>
        <v/>
      </c>
      <c r="AJ73" s="226" t="str">
        <f>IF(AI73="","",$B73*'AEO 2017_Table 13'!AK$16/'AEO 2017_Table 13'!$C$16)</f>
        <v/>
      </c>
      <c r="AK73" s="226" t="str">
        <f>IF(AJ73="","",$B73*'AEO 2017_Table 13'!AL$16/'AEO 2017_Table 13'!$C$16)</f>
        <v/>
      </c>
    </row>
    <row r="74" spans="1:37" x14ac:dyDescent="0.25">
      <c r="A74" s="254" t="s">
        <v>1393</v>
      </c>
      <c r="B74" s="255">
        <f>SUM(B80,B89,B90,B91,B92,B94)-B75</f>
        <v>444.83720211705565</v>
      </c>
      <c r="C74" s="255">
        <f t="shared" ref="C74:AK74" si="7">SUM(C80,C89,C90,C91,C92,C94)-C75</f>
        <v>436.59952795690708</v>
      </c>
      <c r="D74" s="255">
        <f t="shared" si="7"/>
        <v>454.53725691095707</v>
      </c>
      <c r="E74" s="255">
        <f t="shared" si="7"/>
        <v>475.89496859122164</v>
      </c>
      <c r="F74" s="255">
        <f t="shared" si="7"/>
        <v>491.68578837252102</v>
      </c>
      <c r="G74" s="255">
        <f t="shared" si="7"/>
        <v>504.9779673462981</v>
      </c>
      <c r="H74" s="255">
        <f t="shared" si="7"/>
        <v>509.00117335950966</v>
      </c>
      <c r="I74" s="255">
        <f t="shared" si="7"/>
        <v>515.09891137980139</v>
      </c>
      <c r="J74" s="255">
        <f t="shared" si="7"/>
        <v>523.95615700444921</v>
      </c>
      <c r="K74" s="255">
        <f t="shared" si="7"/>
        <v>532.79071629160148</v>
      </c>
      <c r="L74" s="255">
        <f t="shared" si="7"/>
        <v>541.04778370231486</v>
      </c>
      <c r="M74" s="255">
        <f t="shared" si="7"/>
        <v>548.99967437445389</v>
      </c>
      <c r="N74" s="255">
        <f t="shared" si="7"/>
        <v>552.96084653574917</v>
      </c>
      <c r="O74" s="255">
        <f t="shared" si="7"/>
        <v>557.21440575434576</v>
      </c>
      <c r="P74" s="255">
        <f t="shared" si="7"/>
        <v>560.78204757985702</v>
      </c>
      <c r="Q74" s="255">
        <f t="shared" si="7"/>
        <v>563.21384419510309</v>
      </c>
      <c r="R74" s="255">
        <f t="shared" si="7"/>
        <v>565.93664476829099</v>
      </c>
      <c r="S74" s="255">
        <f t="shared" si="7"/>
        <v>569.87083331737449</v>
      </c>
      <c r="T74" s="255">
        <f t="shared" si="7"/>
        <v>574.28037881154285</v>
      </c>
      <c r="U74" s="255">
        <f t="shared" si="7"/>
        <v>580.06225045930205</v>
      </c>
      <c r="V74" s="255">
        <f t="shared" si="7"/>
        <v>588.10128138496543</v>
      </c>
      <c r="W74" s="255">
        <f t="shared" si="7"/>
        <v>595.15797945953341</v>
      </c>
      <c r="X74" s="255">
        <f t="shared" si="7"/>
        <v>601.19052900005681</v>
      </c>
      <c r="Y74" s="255">
        <f t="shared" si="7"/>
        <v>605.99228297335696</v>
      </c>
      <c r="Z74" s="255">
        <f t="shared" si="7"/>
        <v>611.44905631390816</v>
      </c>
      <c r="AA74" s="255">
        <f t="shared" si="7"/>
        <v>614.94934233862887</v>
      </c>
      <c r="AB74" s="255">
        <f t="shared" si="7"/>
        <v>617.97553226659466</v>
      </c>
      <c r="AC74" s="255">
        <f t="shared" si="7"/>
        <v>620.01614670859874</v>
      </c>
      <c r="AD74" s="255">
        <f t="shared" si="7"/>
        <v>622.94124174259116</v>
      </c>
      <c r="AE74" s="255">
        <f t="shared" si="7"/>
        <v>627.2455946645207</v>
      </c>
      <c r="AF74" s="255">
        <f t="shared" si="7"/>
        <v>631.72700656631287</v>
      </c>
      <c r="AG74" s="255">
        <f t="shared" si="7"/>
        <v>635.71182800215877</v>
      </c>
      <c r="AH74" s="255">
        <f t="shared" si="7"/>
        <v>639.98775393493509</v>
      </c>
      <c r="AI74" s="255">
        <f t="shared" si="7"/>
        <v>643.73256883494435</v>
      </c>
      <c r="AJ74" s="255">
        <f t="shared" si="7"/>
        <v>647.38336880766587</v>
      </c>
      <c r="AK74" s="255">
        <f t="shared" si="7"/>
        <v>651.8265262685361</v>
      </c>
    </row>
    <row r="75" spans="1:37" x14ac:dyDescent="0.25">
      <c r="A75" s="247" t="s">
        <v>1533</v>
      </c>
      <c r="B75" s="248">
        <v>0</v>
      </c>
      <c r="C75" s="248">
        <f>SUM(C76:C78)</f>
        <v>0</v>
      </c>
      <c r="D75" s="248">
        <f t="shared" ref="D75:AK75" si="8">SUM(D76:D78)</f>
        <v>3.8805877574086094</v>
      </c>
      <c r="E75" s="248">
        <f t="shared" si="8"/>
        <v>3.7809420191085601</v>
      </c>
      <c r="F75" s="248">
        <f t="shared" si="8"/>
        <v>2.5981764319952867</v>
      </c>
      <c r="G75" s="248">
        <f t="shared" si="8"/>
        <v>2.3135044267666198</v>
      </c>
      <c r="H75" s="248">
        <f t="shared" si="8"/>
        <v>0.3698710724293402</v>
      </c>
      <c r="I75" s="248">
        <f t="shared" si="8"/>
        <v>1.2391474088430707</v>
      </c>
      <c r="J75" s="248">
        <f t="shared" si="8"/>
        <v>1.6480736634340394</v>
      </c>
      <c r="K75" s="248">
        <f t="shared" si="8"/>
        <v>1.5547000515857958</v>
      </c>
      <c r="L75" s="248">
        <f t="shared" si="8"/>
        <v>1.4499675397098293</v>
      </c>
      <c r="M75" s="248">
        <f t="shared" si="8"/>
        <v>1.4066041120339472</v>
      </c>
      <c r="N75" s="248">
        <f t="shared" si="8"/>
        <v>0.55264663229243727</v>
      </c>
      <c r="O75" s="248">
        <f t="shared" si="8"/>
        <v>0.80064294150283544</v>
      </c>
      <c r="P75" s="248">
        <f t="shared" si="8"/>
        <v>0.59860320230911446</v>
      </c>
      <c r="Q75" s="248">
        <f t="shared" si="8"/>
        <v>0.39658687749315091</v>
      </c>
      <c r="R75" s="248">
        <f t="shared" si="8"/>
        <v>0.50324522194273058</v>
      </c>
      <c r="S75" s="248">
        <f t="shared" si="8"/>
        <v>0.74223870289102967</v>
      </c>
      <c r="T75" s="248">
        <f t="shared" si="8"/>
        <v>0.79337277719757504</v>
      </c>
      <c r="U75" s="248">
        <f t="shared" si="8"/>
        <v>1.0791950137354067</v>
      </c>
      <c r="V75" s="248">
        <f t="shared" si="8"/>
        <v>1.5056674176863145</v>
      </c>
      <c r="W75" s="248">
        <f t="shared" si="8"/>
        <v>1.2008912423236602</v>
      </c>
      <c r="X75" s="248">
        <f t="shared" si="8"/>
        <v>1.0452646535135732</v>
      </c>
      <c r="Y75" s="248">
        <f t="shared" si="8"/>
        <v>0.81266622450045811</v>
      </c>
      <c r="Z75" s="248">
        <f t="shared" si="8"/>
        <v>1.0046904635924778</v>
      </c>
      <c r="AA75" s="248">
        <f t="shared" si="8"/>
        <v>0.53988872319150161</v>
      </c>
      <c r="AB75" s="248">
        <f t="shared" si="8"/>
        <v>0.53787801349842512</v>
      </c>
      <c r="AC75" s="248">
        <f t="shared" si="8"/>
        <v>0.32509692849130239</v>
      </c>
      <c r="AD75" s="248">
        <f t="shared" si="8"/>
        <v>0.56247481737178306</v>
      </c>
      <c r="AE75" s="248">
        <f t="shared" si="8"/>
        <v>0.80950528349816098</v>
      </c>
      <c r="AF75" s="248">
        <f t="shared" si="8"/>
        <v>0.79436788825385618</v>
      </c>
      <c r="AG75" s="248">
        <f t="shared" si="8"/>
        <v>0.69021195543107661</v>
      </c>
      <c r="AH75" s="248">
        <f t="shared" si="8"/>
        <v>0.77572126313753764</v>
      </c>
      <c r="AI75" s="248">
        <f t="shared" si="8"/>
        <v>0.64232369924638366</v>
      </c>
      <c r="AJ75" s="248">
        <f t="shared" si="8"/>
        <v>0.65084360596641211</v>
      </c>
      <c r="AK75" s="248">
        <f t="shared" si="8"/>
        <v>0.82041638355052116</v>
      </c>
    </row>
    <row r="76" spans="1:37" x14ac:dyDescent="0.25">
      <c r="A76" s="253" t="s">
        <v>1537</v>
      </c>
      <c r="B76" s="248">
        <v>0</v>
      </c>
      <c r="C76" s="252">
        <f>MAX(0,0.799*(C82-B82))</f>
        <v>0</v>
      </c>
      <c r="D76" s="252">
        <f t="shared" ref="D76:AK76" si="9">MAX(0,0.799*(D82-C82))</f>
        <v>2.7783726709422689</v>
      </c>
      <c r="E76" s="252">
        <f t="shared" si="9"/>
        <v>2.7070296132984502</v>
      </c>
      <c r="F76" s="252">
        <f t="shared" si="9"/>
        <v>1.860208515877644</v>
      </c>
      <c r="G76" s="252">
        <f t="shared" si="9"/>
        <v>1.6563927619368388</v>
      </c>
      <c r="H76" s="252">
        <f t="shared" si="9"/>
        <v>0.2648154722046609</v>
      </c>
      <c r="I76" s="252">
        <f t="shared" si="9"/>
        <v>0.88718861966868134</v>
      </c>
      <c r="J76" s="252">
        <f t="shared" si="9"/>
        <v>1.1799663124337147</v>
      </c>
      <c r="K76" s="252">
        <f t="shared" si="9"/>
        <v>1.1131138901811672</v>
      </c>
      <c r="L76" s="252">
        <f t="shared" si="9"/>
        <v>1.0381288706567982</v>
      </c>
      <c r="M76" s="252">
        <f t="shared" si="9"/>
        <v>1.0070820885957479</v>
      </c>
      <c r="N76" s="252">
        <f t="shared" si="9"/>
        <v>0.39567673657635366</v>
      </c>
      <c r="O76" s="252">
        <f t="shared" si="9"/>
        <v>0.57323390344862912</v>
      </c>
      <c r="P76" s="252">
        <f t="shared" si="9"/>
        <v>0.42858012291024383</v>
      </c>
      <c r="Q76" s="252">
        <f t="shared" si="9"/>
        <v>0.28394310629303071</v>
      </c>
      <c r="R76" s="252">
        <f t="shared" si="9"/>
        <v>0.36030695833603743</v>
      </c>
      <c r="S76" s="252">
        <f t="shared" si="9"/>
        <v>0.53141839750718445</v>
      </c>
      <c r="T76" s="252">
        <f t="shared" si="9"/>
        <v>0.56802870591626342</v>
      </c>
      <c r="U76" s="252">
        <f t="shared" si="9"/>
        <v>0.77266798748597498</v>
      </c>
      <c r="V76" s="252">
        <f t="shared" si="9"/>
        <v>1.0780081436997104</v>
      </c>
      <c r="W76" s="252">
        <f t="shared" si="9"/>
        <v>0.85979846791921244</v>
      </c>
      <c r="X76" s="252">
        <f t="shared" si="9"/>
        <v>0.74837497017807453</v>
      </c>
      <c r="Y76" s="252">
        <f t="shared" si="9"/>
        <v>0.58184217698446661</v>
      </c>
      <c r="Z76" s="252">
        <f t="shared" si="9"/>
        <v>0.71932519022987962</v>
      </c>
      <c r="AA76" s="252">
        <f t="shared" si="9"/>
        <v>0.38654249501288163</v>
      </c>
      <c r="AB76" s="252">
        <f t="shared" si="9"/>
        <v>0.3851028932799323</v>
      </c>
      <c r="AC76" s="252">
        <f t="shared" si="9"/>
        <v>0.23275866389134001</v>
      </c>
      <c r="AD76" s="252">
        <f t="shared" si="9"/>
        <v>0.40271339249974408</v>
      </c>
      <c r="AE76" s="252">
        <f t="shared" si="9"/>
        <v>0.57957904762256551</v>
      </c>
      <c r="AF76" s="252">
        <f t="shared" si="9"/>
        <v>0.56874117256723944</v>
      </c>
      <c r="AG76" s="252">
        <f t="shared" si="9"/>
        <v>0.49416896460238829</v>
      </c>
      <c r="AH76" s="252">
        <f t="shared" si="9"/>
        <v>0.5553908048221502</v>
      </c>
      <c r="AI76" s="252">
        <f t="shared" si="9"/>
        <v>0.45988255476960149</v>
      </c>
      <c r="AJ76" s="252">
        <f t="shared" si="9"/>
        <v>0.46598252659595751</v>
      </c>
      <c r="AK76" s="252">
        <f t="shared" si="9"/>
        <v>0.58739103490142985</v>
      </c>
    </row>
    <row r="77" spans="1:37" x14ac:dyDescent="0.25">
      <c r="A77" s="253" t="s">
        <v>1539</v>
      </c>
      <c r="B77" s="248">
        <v>0</v>
      </c>
      <c r="C77" s="252">
        <f>MAX(0,0.95*(C83-B83))</f>
        <v>0</v>
      </c>
      <c r="D77" s="252">
        <f t="shared" ref="D77:AK77" si="10">MAX(0,0.95*(D83-C83))</f>
        <v>0.99842611026903816</v>
      </c>
      <c r="E77" s="252">
        <f t="shared" si="10"/>
        <v>0.97278852310047392</v>
      </c>
      <c r="F77" s="252">
        <f t="shared" si="10"/>
        <v>0.66847790874906121</v>
      </c>
      <c r="G77" s="252">
        <f t="shared" si="10"/>
        <v>0.59523540512566409</v>
      </c>
      <c r="H77" s="252">
        <f t="shared" si="10"/>
        <v>9.5163145181200184E-2</v>
      </c>
      <c r="I77" s="252">
        <f t="shared" si="10"/>
        <v>0.31881694341253902</v>
      </c>
      <c r="J77" s="252">
        <f t="shared" si="10"/>
        <v>0.42402849261115561</v>
      </c>
      <c r="K77" s="252">
        <f t="shared" si="10"/>
        <v>0.40000464418731485</v>
      </c>
      <c r="L77" s="252">
        <f t="shared" si="10"/>
        <v>0.3730582945650438</v>
      </c>
      <c r="M77" s="252">
        <f t="shared" si="10"/>
        <v>0.36190143350972742</v>
      </c>
      <c r="N77" s="252">
        <f t="shared" si="10"/>
        <v>0.14218898319709386</v>
      </c>
      <c r="O77" s="252">
        <f t="shared" si="10"/>
        <v>0.20599529446870654</v>
      </c>
      <c r="P77" s="252">
        <f t="shared" si="10"/>
        <v>0.15401302695321295</v>
      </c>
      <c r="Q77" s="252">
        <f t="shared" si="10"/>
        <v>0.10203678366074181</v>
      </c>
      <c r="R77" s="252">
        <f t="shared" si="10"/>
        <v>0.12947862562739337</v>
      </c>
      <c r="S77" s="252">
        <f t="shared" si="10"/>
        <v>0.19096862314318519</v>
      </c>
      <c r="T77" s="252">
        <f t="shared" si="10"/>
        <v>0.20412477321726408</v>
      </c>
      <c r="U77" s="252">
        <f t="shared" si="10"/>
        <v>0.27766321679711564</v>
      </c>
      <c r="V77" s="252">
        <f t="shared" si="10"/>
        <v>0.38738916813035756</v>
      </c>
      <c r="W77" s="252">
        <f t="shared" si="10"/>
        <v>0.30897411600608465</v>
      </c>
      <c r="X77" s="252">
        <f t="shared" si="10"/>
        <v>0.26893336459582212</v>
      </c>
      <c r="Y77" s="252">
        <f t="shared" si="10"/>
        <v>0.20908873299565814</v>
      </c>
      <c r="Z77" s="252">
        <f t="shared" si="10"/>
        <v>0.25849413910919133</v>
      </c>
      <c r="AA77" s="252">
        <f t="shared" si="10"/>
        <v>0.13890653467251646</v>
      </c>
      <c r="AB77" s="252">
        <f t="shared" si="10"/>
        <v>0.13838920451965125</v>
      </c>
      <c r="AC77" s="252">
        <f t="shared" si="10"/>
        <v>8.3643324688196866E-2</v>
      </c>
      <c r="AD77" s="252">
        <f t="shared" si="10"/>
        <v>0.14471765081479013</v>
      </c>
      <c r="AE77" s="252">
        <f t="shared" si="10"/>
        <v>0.20827546288632845</v>
      </c>
      <c r="AF77" s="252">
        <f t="shared" si="10"/>
        <v>0.20438080269612247</v>
      </c>
      <c r="AG77" s="252">
        <f t="shared" si="10"/>
        <v>0.17758279956602063</v>
      </c>
      <c r="AH77" s="252">
        <f t="shared" si="10"/>
        <v>0.19958326207898869</v>
      </c>
      <c r="AI77" s="252">
        <f t="shared" si="10"/>
        <v>0.16526175740976629</v>
      </c>
      <c r="AJ77" s="252">
        <f t="shared" si="10"/>
        <v>0.16745382156553815</v>
      </c>
      <c r="AK77" s="252">
        <f t="shared" si="10"/>
        <v>0.21108275081925532</v>
      </c>
    </row>
    <row r="78" spans="1:37" ht="15" customHeight="1" x14ac:dyDescent="0.25">
      <c r="A78" s="253" t="s">
        <v>1540</v>
      </c>
      <c r="B78" s="246">
        <v>0</v>
      </c>
      <c r="C78" s="252">
        <f>MAX(0,C92-B92)</f>
        <v>0</v>
      </c>
      <c r="D78" s="252">
        <f t="shared" ref="D78:AK78" si="11">MAX(0,D92-C92)</f>
        <v>0.10378897619730232</v>
      </c>
      <c r="E78" s="252">
        <f t="shared" si="11"/>
        <v>0.1011238827096359</v>
      </c>
      <c r="F78" s="252">
        <f t="shared" si="11"/>
        <v>6.9490007368581352E-2</v>
      </c>
      <c r="G78" s="252">
        <f t="shared" si="11"/>
        <v>6.1876259704117142E-2</v>
      </c>
      <c r="H78" s="252">
        <f t="shared" si="11"/>
        <v>9.8924550434791314E-3</v>
      </c>
      <c r="I78" s="252">
        <f t="shared" si="11"/>
        <v>3.3141845761850419E-2</v>
      </c>
      <c r="J78" s="252">
        <f t="shared" si="11"/>
        <v>4.4078858389168918E-2</v>
      </c>
      <c r="K78" s="252">
        <f t="shared" si="11"/>
        <v>4.1581517217313735E-2</v>
      </c>
      <c r="L78" s="252">
        <f t="shared" si="11"/>
        <v>3.8780374487987324E-2</v>
      </c>
      <c r="M78" s="252">
        <f t="shared" si="11"/>
        <v>3.7620589928471837E-2</v>
      </c>
      <c r="N78" s="252">
        <f t="shared" si="11"/>
        <v>1.4780912518989719E-2</v>
      </c>
      <c r="O78" s="252">
        <f t="shared" si="11"/>
        <v>2.1413743585499745E-2</v>
      </c>
      <c r="P78" s="252">
        <f t="shared" si="11"/>
        <v>1.6010052445657674E-2</v>
      </c>
      <c r="Q78" s="252">
        <f t="shared" si="11"/>
        <v>1.0606987539378387E-2</v>
      </c>
      <c r="R78" s="252">
        <f t="shared" si="11"/>
        <v>1.3459637979299721E-2</v>
      </c>
      <c r="S78" s="252">
        <f t="shared" si="11"/>
        <v>1.9851682240660029E-2</v>
      </c>
      <c r="T78" s="252">
        <f t="shared" si="11"/>
        <v>2.1219298064047543E-2</v>
      </c>
      <c r="U78" s="252">
        <f t="shared" si="11"/>
        <v>2.8863809452316147E-2</v>
      </c>
      <c r="V78" s="252">
        <f t="shared" si="11"/>
        <v>4.0270105856246463E-2</v>
      </c>
      <c r="W78" s="252">
        <f t="shared" si="11"/>
        <v>3.2118658398363031E-2</v>
      </c>
      <c r="X78" s="252">
        <f t="shared" si="11"/>
        <v>2.7956318739676522E-2</v>
      </c>
      <c r="Y78" s="252">
        <f t="shared" si="11"/>
        <v>2.1735314520333393E-2</v>
      </c>
      <c r="Z78" s="252">
        <f t="shared" si="11"/>
        <v>2.6871134253406925E-2</v>
      </c>
      <c r="AA78" s="252">
        <f t="shared" si="11"/>
        <v>1.4439693506103524E-2</v>
      </c>
      <c r="AB78" s="252">
        <f t="shared" si="11"/>
        <v>1.4385915698841512E-2</v>
      </c>
      <c r="AC78" s="252">
        <f t="shared" si="11"/>
        <v>8.6949399117655091E-3</v>
      </c>
      <c r="AD78" s="252">
        <f t="shared" si="11"/>
        <v>1.5043774057248882E-2</v>
      </c>
      <c r="AE78" s="252">
        <f t="shared" si="11"/>
        <v>2.1650772989266986E-2</v>
      </c>
      <c r="AF78" s="252">
        <f t="shared" si="11"/>
        <v>2.1245912990494276E-2</v>
      </c>
      <c r="AG78" s="252">
        <f t="shared" si="11"/>
        <v>1.8460191262667625E-2</v>
      </c>
      <c r="AH78" s="252">
        <f t="shared" si="11"/>
        <v>2.0747196236398757E-2</v>
      </c>
      <c r="AI78" s="252">
        <f t="shared" si="11"/>
        <v>1.7179387067015828E-2</v>
      </c>
      <c r="AJ78" s="252">
        <f t="shared" si="11"/>
        <v>1.7407257804916476E-2</v>
      </c>
      <c r="AK78" s="252">
        <f t="shared" si="11"/>
        <v>2.1942597829835986E-2</v>
      </c>
    </row>
    <row r="79" spans="1:37" x14ac:dyDescent="0.25">
      <c r="A79" s="221" t="s">
        <v>1452</v>
      </c>
      <c r="B79" s="223"/>
      <c r="C79" s="223" t="str">
        <f>IF(B79="","",$B79*'AEO 2017_Table 13'!D$16/'AEO 2017_Table 13'!$C$16)</f>
        <v/>
      </c>
      <c r="D79" s="223" t="str">
        <f>IF(C79="","",$B79*'AEO 2017_Table 13'!E$16/'AEO 2017_Table 13'!$C$16)</f>
        <v/>
      </c>
      <c r="E79" s="223" t="str">
        <f>IF(D79="","",$B79*'AEO 2017_Table 13'!F$16/'AEO 2017_Table 13'!$C$16)</f>
        <v/>
      </c>
      <c r="F79" s="223" t="str">
        <f>IF(E79="","",$B79*'AEO 2017_Table 13'!G$16/'AEO 2017_Table 13'!$C$16)</f>
        <v/>
      </c>
      <c r="G79" s="223" t="str">
        <f>IF(F79="","",$B79*'AEO 2017_Table 13'!H$16/'AEO 2017_Table 13'!$C$16)</f>
        <v/>
      </c>
      <c r="H79" s="223" t="str">
        <f>IF(G79="","",$B79*'AEO 2017_Table 13'!I$16/'AEO 2017_Table 13'!$C$16)</f>
        <v/>
      </c>
      <c r="I79" s="223" t="str">
        <f>IF(H79="","",$B79*'AEO 2017_Table 13'!J$16/'AEO 2017_Table 13'!$C$16)</f>
        <v/>
      </c>
      <c r="J79" s="223" t="str">
        <f>IF(I79="","",$B79*'AEO 2017_Table 13'!K$16/'AEO 2017_Table 13'!$C$16)</f>
        <v/>
      </c>
      <c r="K79" s="223" t="str">
        <f>IF(J79="","",$B79*'AEO 2017_Table 13'!L$16/'AEO 2017_Table 13'!$C$16)</f>
        <v/>
      </c>
      <c r="L79" s="223" t="str">
        <f>IF(K79="","",$B79*'AEO 2017_Table 13'!M$16/'AEO 2017_Table 13'!$C$16)</f>
        <v/>
      </c>
      <c r="M79" s="223" t="str">
        <f>IF(L79="","",$B79*'AEO 2017_Table 13'!N$16/'AEO 2017_Table 13'!$C$16)</f>
        <v/>
      </c>
      <c r="N79" s="223" t="str">
        <f>IF(M79="","",$B79*'AEO 2017_Table 13'!O$16/'AEO 2017_Table 13'!$C$16)</f>
        <v/>
      </c>
      <c r="O79" s="223" t="str">
        <f>IF(N79="","",$B79*'AEO 2017_Table 13'!P$16/'AEO 2017_Table 13'!$C$16)</f>
        <v/>
      </c>
      <c r="P79" s="223" t="str">
        <f>IF(O79="","",$B79*'AEO 2017_Table 13'!Q$16/'AEO 2017_Table 13'!$C$16)</f>
        <v/>
      </c>
      <c r="Q79" s="223" t="str">
        <f>IF(P79="","",$B79*'AEO 2017_Table 13'!R$16/'AEO 2017_Table 13'!$C$16)</f>
        <v/>
      </c>
      <c r="R79" s="223" t="str">
        <f>IF(Q79="","",$B79*'AEO 2017_Table 13'!S$16/'AEO 2017_Table 13'!$C$16)</f>
        <v/>
      </c>
      <c r="S79" s="223" t="str">
        <f>IF(R79="","",$B79*'AEO 2017_Table 13'!T$16/'AEO 2017_Table 13'!$C$16)</f>
        <v/>
      </c>
      <c r="T79" s="223" t="str">
        <f>IF(S79="","",$B79*'AEO 2017_Table 13'!U$16/'AEO 2017_Table 13'!$C$16)</f>
        <v/>
      </c>
      <c r="U79" s="223" t="str">
        <f>IF(T79="","",$B79*'AEO 2017_Table 13'!V$16/'AEO 2017_Table 13'!$C$16)</f>
        <v/>
      </c>
      <c r="V79" s="223" t="str">
        <f>IF(U79="","",$B79*'AEO 2017_Table 13'!W$16/'AEO 2017_Table 13'!$C$16)</f>
        <v/>
      </c>
      <c r="W79" s="223" t="str">
        <f>IF(V79="","",$B79*'AEO 2017_Table 13'!X$16/'AEO 2017_Table 13'!$C$16)</f>
        <v/>
      </c>
      <c r="X79" s="223" t="str">
        <f>IF(W79="","",$B79*'AEO 2017_Table 13'!Y$16/'AEO 2017_Table 13'!$C$16)</f>
        <v/>
      </c>
      <c r="Y79" s="223" t="str">
        <f>IF(X79="","",$B79*'AEO 2017_Table 13'!Z$16/'AEO 2017_Table 13'!$C$16)</f>
        <v/>
      </c>
      <c r="Z79" s="223" t="str">
        <f>IF(Y79="","",$B79*'AEO 2017_Table 13'!AA$16/'AEO 2017_Table 13'!$C$16)</f>
        <v/>
      </c>
      <c r="AA79" s="223" t="str">
        <f>IF(Z79="","",$B79*'AEO 2017_Table 13'!AB$16/'AEO 2017_Table 13'!$C$16)</f>
        <v/>
      </c>
      <c r="AB79" s="223" t="str">
        <f>IF(AA79="","",$B79*'AEO 2017_Table 13'!AC$16/'AEO 2017_Table 13'!$C$16)</f>
        <v/>
      </c>
      <c r="AC79" s="223" t="str">
        <f>IF(AB79="","",$B79*'AEO 2017_Table 13'!AD$16/'AEO 2017_Table 13'!$C$16)</f>
        <v/>
      </c>
      <c r="AD79" s="223" t="str">
        <f>IF(AC79="","",$B79*'AEO 2017_Table 13'!AE$16/'AEO 2017_Table 13'!$C$16)</f>
        <v/>
      </c>
      <c r="AE79" s="223" t="str">
        <f>IF(AD79="","",$B79*'AEO 2017_Table 13'!AF$16/'AEO 2017_Table 13'!$C$16)</f>
        <v/>
      </c>
      <c r="AF79" s="223" t="str">
        <f>IF(AE79="","",$B79*'AEO 2017_Table 13'!AG$16/'AEO 2017_Table 13'!$C$16)</f>
        <v/>
      </c>
      <c r="AG79" s="223" t="str">
        <f>IF(AF79="","",$B79*'AEO 2017_Table 13'!AH$16/'AEO 2017_Table 13'!$C$16)</f>
        <v/>
      </c>
      <c r="AH79" s="223" t="str">
        <f>IF(AG79="","",$B79*'AEO 2017_Table 13'!AI$16/'AEO 2017_Table 13'!$C$16)</f>
        <v/>
      </c>
      <c r="AI79" s="223" t="str">
        <f>IF(AH79="","",$B79*'AEO 2017_Table 13'!AJ$16/'AEO 2017_Table 13'!$C$16)</f>
        <v/>
      </c>
      <c r="AJ79" s="223" t="str">
        <f>IF(AI79="","",$B79*'AEO 2017_Table 13'!AK$16/'AEO 2017_Table 13'!$C$16)</f>
        <v/>
      </c>
      <c r="AK79" s="223" t="str">
        <f>IF(AJ79="","",$B79*'AEO 2017_Table 13'!AL$16/'AEO 2017_Table 13'!$C$16)</f>
        <v/>
      </c>
    </row>
    <row r="80" spans="1:37" x14ac:dyDescent="0.25">
      <c r="A80" s="210" t="s">
        <v>1453</v>
      </c>
      <c r="B80" s="230">
        <v>156.25227176042827</v>
      </c>
      <c r="C80" s="230">
        <f>IF(B80="","",$B80*'AEO 2017_Table 13'!D$16/'AEO 2017_Table 13'!$C$16)</f>
        <v>153.35872936914538</v>
      </c>
      <c r="D80" s="230">
        <f>IF(C80="","",$B80*'AEO 2017_Table 13'!E$16/'AEO 2017_Table 13'!$C$16)</f>
        <v>161.02257028876528</v>
      </c>
      <c r="E80" s="230">
        <f>IF(D80="","",$B80*'AEO 2017_Table 13'!F$16/'AEO 2017_Table 13'!$C$16)</f>
        <v>168.48961908966768</v>
      </c>
      <c r="F80" s="230">
        <f>IF(E80="","",$B80*'AEO 2017_Table 13'!G$16/'AEO 2017_Table 13'!$C$16)</f>
        <v>173.62080335882959</v>
      </c>
      <c r="G80" s="230">
        <f>IF(F80="","",$B80*'AEO 2017_Table 13'!H$16/'AEO 2017_Table 13'!$C$16)</f>
        <v>178.18978388496924</v>
      </c>
      <c r="H80" s="230">
        <f>IF(G80="","",$B80*'AEO 2017_Table 13'!I$16/'AEO 2017_Table 13'!$C$16)</f>
        <v>178.92024876221777</v>
      </c>
      <c r="I80" s="230">
        <f>IF(H80="","",$B80*'AEO 2017_Table 13'!J$16/'AEO 2017_Table 13'!$C$16)</f>
        <v>181.36746274396626</v>
      </c>
      <c r="J80" s="230">
        <f>IF(I80="","",$B80*'AEO 2017_Table 13'!K$16/'AEO 2017_Table 13'!$C$16)</f>
        <v>184.62227236816821</v>
      </c>
      <c r="K80" s="230">
        <f>IF(J80="","",$B80*'AEO 2017_Table 13'!L$16/'AEO 2017_Table 13'!$C$16)</f>
        <v>187.69267680634408</v>
      </c>
      <c r="L80" s="230">
        <f>IF(K80="","",$B80*'AEO 2017_Table 13'!M$16/'AEO 2017_Table 13'!$C$16)</f>
        <v>190.55624316732479</v>
      </c>
      <c r="M80" s="230">
        <f>IF(L80="","",$B80*'AEO 2017_Table 13'!N$16/'AEO 2017_Table 13'!$C$16)</f>
        <v>193.33417033336573</v>
      </c>
      <c r="N80" s="230">
        <f>IF(M80="","",$B80*'AEO 2017_Table 13'!O$16/'AEO 2017_Table 13'!$C$16)</f>
        <v>194.42560187400466</v>
      </c>
      <c r="O80" s="230">
        <f>IF(N80="","",$B80*'AEO 2017_Table 13'!P$16/'AEO 2017_Table 13'!$C$16)</f>
        <v>196.00680568143812</v>
      </c>
      <c r="P80" s="230">
        <f>IF(O80="","",$B80*'AEO 2017_Table 13'!Q$16/'AEO 2017_Table 13'!$C$16)</f>
        <v>197.18899765937078</v>
      </c>
      <c r="Q80" s="230">
        <f>IF(P80="","",$B80*'AEO 2017_Table 13'!R$16/'AEO 2017_Table 13'!$C$16)</f>
        <v>197.97222404926842</v>
      </c>
      <c r="R80" s="230">
        <f>IF(Q80="","",$B80*'AEO 2017_Table 13'!S$16/'AEO 2017_Table 13'!$C$16)</f>
        <v>198.96609187693574</v>
      </c>
      <c r="S80" s="230">
        <f>IF(R80="","",$B80*'AEO 2017_Table 13'!T$16/'AEO 2017_Table 13'!$C$16)</f>
        <v>200.43195212773972</v>
      </c>
      <c r="T80" s="230">
        <f>IF(S80="","",$B80*'AEO 2017_Table 13'!U$16/'AEO 2017_Table 13'!$C$16)</f>
        <v>201.9987979599957</v>
      </c>
      <c r="U80" s="230">
        <f>IF(T80="","",$B80*'AEO 2017_Table 13'!V$16/'AEO 2017_Table 13'!$C$16)</f>
        <v>204.13011914728878</v>
      </c>
      <c r="V80" s="230">
        <f>IF(U80="","",$B80*'AEO 2017_Table 13'!W$16/'AEO 2017_Table 13'!$C$16)</f>
        <v>207.10368817558168</v>
      </c>
      <c r="W80" s="230">
        <f>IF(V80="","",$B80*'AEO 2017_Table 13'!X$16/'AEO 2017_Table 13'!$C$16)</f>
        <v>209.47534938215085</v>
      </c>
      <c r="X80" s="230">
        <f>IF(W80="","",$B80*'AEO 2017_Table 13'!Y$16/'AEO 2017_Table 13'!$C$16)</f>
        <v>211.53966090509888</v>
      </c>
      <c r="Y80" s="230">
        <f>IF(X80="","",$B80*'AEO 2017_Table 13'!Z$16/'AEO 2017_Table 13'!$C$16)</f>
        <v>213.1446097052978</v>
      </c>
      <c r="Z80" s="230">
        <f>IF(Y80="","",$B80*'AEO 2017_Table 13'!AA$16/'AEO 2017_Table 13'!$C$16)</f>
        <v>215.1287905479374</v>
      </c>
      <c r="AA80" s="230">
        <f>IF(Z80="","",$B80*'AEO 2017_Table 13'!AB$16/'AEO 2017_Table 13'!$C$16)</f>
        <v>216.19502626981668</v>
      </c>
      <c r="AB80" s="230">
        <f>IF(AA80="","",$B80*'AEO 2017_Table 13'!AC$16/'AEO 2017_Table 13'!$C$16)</f>
        <v>217.25729100580753</v>
      </c>
      <c r="AC80" s="230">
        <f>IF(AB80="","",$B80*'AEO 2017_Table 13'!AD$16/'AEO 2017_Table 13'!$C$16)</f>
        <v>217.89933063979282</v>
      </c>
      <c r="AD80" s="230">
        <f>IF(AC80="","",$B80*'AEO 2017_Table 13'!AE$16/'AEO 2017_Table 13'!$C$16)</f>
        <v>219.0101720357643</v>
      </c>
      <c r="AE80" s="230">
        <f>IF(AD80="","",$B80*'AEO 2017_Table 13'!AF$16/'AEO 2017_Table 13'!$C$16)</f>
        <v>220.60887823805996</v>
      </c>
      <c r="AF80" s="230">
        <f>IF(AE80="","",$B80*'AEO 2017_Table 13'!AG$16/'AEO 2017_Table 13'!$C$16)</f>
        <v>222.17768933261883</v>
      </c>
      <c r="AG80" s="230">
        <f>IF(AF80="","",$B80*'AEO 2017_Table 13'!AH$16/'AEO 2017_Table 13'!$C$16)</f>
        <v>223.54080104608153</v>
      </c>
      <c r="AH80" s="230">
        <f>IF(AG80="","",$B80*'AEO 2017_Table 13'!AI$16/'AEO 2017_Table 13'!$C$16)</f>
        <v>225.07278659319425</v>
      </c>
      <c r="AI80" s="230">
        <f>IF(AH80="","",$B80*'AEO 2017_Table 13'!AJ$16/'AEO 2017_Table 13'!$C$16)</f>
        <v>226.3413229484224</v>
      </c>
      <c r="AJ80" s="230">
        <f>IF(AI80="","",$B80*'AEO 2017_Table 13'!AK$16/'AEO 2017_Table 13'!$C$16)</f>
        <v>227.62668541707308</v>
      </c>
      <c r="AK80" s="230">
        <f>IF(AJ80="","",$B80*'AEO 2017_Table 13'!AL$16/'AEO 2017_Table 13'!$C$16)</f>
        <v>229.2469401425015</v>
      </c>
    </row>
    <row r="81" spans="1:37" x14ac:dyDescent="0.25">
      <c r="A81" s="231" t="s">
        <v>1454</v>
      </c>
      <c r="B81" s="212">
        <v>16.097480835117771</v>
      </c>
      <c r="C81" s="212">
        <f>IF(B81="","",$B81*'AEO 2017_Table 13'!D$16/'AEO 2017_Table 13'!$C$16)</f>
        <v>15.799381212856321</v>
      </c>
      <c r="D81" s="212">
        <f>IF(C81="","",$B81*'AEO 2017_Table 13'!E$16/'AEO 2017_Table 13'!$C$16)</f>
        <v>16.588928340312652</v>
      </c>
      <c r="E81" s="212">
        <f>IF(D81="","",$B81*'AEO 2017_Table 13'!F$16/'AEO 2017_Table 13'!$C$16)</f>
        <v>17.358201475436807</v>
      </c>
      <c r="F81" s="212">
        <f>IF(E81="","",$B81*'AEO 2017_Table 13'!G$16/'AEO 2017_Table 13'!$C$16)</f>
        <v>17.886828288370033</v>
      </c>
      <c r="G81" s="212">
        <f>IF(F81="","",$B81*'AEO 2017_Table 13'!H$16/'AEO 2017_Table 13'!$C$16)</f>
        <v>18.357535533947413</v>
      </c>
      <c r="H81" s="212">
        <f>IF(G81="","",$B81*'AEO 2017_Table 13'!I$16/'AEO 2017_Table 13'!$C$16)</f>
        <v>18.432789763724397</v>
      </c>
      <c r="I81" s="212">
        <f>IF(H81="","",$B81*'AEO 2017_Table 13'!J$16/'AEO 2017_Table 13'!$C$16)</f>
        <v>18.684907571208367</v>
      </c>
      <c r="J81" s="212">
        <f>IF(I81="","",$B81*'AEO 2017_Table 13'!K$16/'AEO 2017_Table 13'!$C$16)</f>
        <v>19.020225803431448</v>
      </c>
      <c r="K81" s="212">
        <f>IF(J81="","",$B81*'AEO 2017_Table 13'!L$16/'AEO 2017_Table 13'!$C$16)</f>
        <v>19.336546174602621</v>
      </c>
      <c r="L81" s="212">
        <f>IF(K81="","",$B81*'AEO 2017_Table 13'!M$16/'AEO 2017_Table 13'!$C$16)</f>
        <v>19.631557594895124</v>
      </c>
      <c r="M81" s="212">
        <f>IF(L81="","",$B81*'AEO 2017_Table 13'!N$16/'AEO 2017_Table 13'!$C$16)</f>
        <v>19.917746261548622</v>
      </c>
      <c r="N81" s="212">
        <f>IF(M81="","",$B81*'AEO 2017_Table 13'!O$16/'AEO 2017_Table 13'!$C$16)</f>
        <v>20.030188135899198</v>
      </c>
      <c r="O81" s="212">
        <f>IF(N81="","",$B81*'AEO 2017_Table 13'!P$16/'AEO 2017_Table 13'!$C$16)</f>
        <v>20.193087514575762</v>
      </c>
      <c r="P81" s="212">
        <f>IF(O81="","",$B81*'AEO 2017_Table 13'!Q$16/'AEO 2017_Table 13'!$C$16)</f>
        <v>20.314879745138523</v>
      </c>
      <c r="Q81" s="212">
        <f>IF(P81="","",$B81*'AEO 2017_Table 13'!R$16/'AEO 2017_Table 13'!$C$16)</f>
        <v>20.395569591493313</v>
      </c>
      <c r="R81" s="212">
        <f>IF(Q81="","",$B81*'AEO 2017_Table 13'!S$16/'AEO 2017_Table 13'!$C$16)</f>
        <v>20.497960219983145</v>
      </c>
      <c r="S81" s="212">
        <f>IF(R81="","",$B81*'AEO 2017_Table 13'!T$16/'AEO 2017_Table 13'!$C$16)</f>
        <v>20.648976630998643</v>
      </c>
      <c r="T81" s="212">
        <f>IF(S81="","",$B81*'AEO 2017_Table 13'!U$16/'AEO 2017_Table 13'!$C$16)</f>
        <v>20.810396816907986</v>
      </c>
      <c r="U81" s="212">
        <f>IF(T81="","",$B81*'AEO 2017_Table 13'!V$16/'AEO 2017_Table 13'!$C$16)</f>
        <v>21.02997059704818</v>
      </c>
      <c r="V81" s="212">
        <f>IF(U81="","",$B81*'AEO 2017_Table 13'!W$16/'AEO 2017_Table 13'!$C$16)</f>
        <v>21.336314753875779</v>
      </c>
      <c r="W81" s="212">
        <f>IF(V81="","",$B81*'AEO 2017_Table 13'!X$16/'AEO 2017_Table 13'!$C$16)</f>
        <v>21.580648934684838</v>
      </c>
      <c r="X81" s="212">
        <f>IF(W81="","",$B81*'AEO 2017_Table 13'!Y$16/'AEO 2017_Table 13'!$C$16)</f>
        <v>21.793319219756398</v>
      </c>
      <c r="Y81" s="212">
        <f>IF(X81="","",$B81*'AEO 2017_Table 13'!Z$16/'AEO 2017_Table 13'!$C$16)</f>
        <v>21.958664864088274</v>
      </c>
      <c r="Z81" s="212">
        <f>IF(Y81="","",$B81*'AEO 2017_Table 13'!AA$16/'AEO 2017_Table 13'!$C$16)</f>
        <v>22.163079895805513</v>
      </c>
      <c r="AA81" s="212">
        <f>IF(Z81="","",$B81*'AEO 2017_Table 13'!AB$16/'AEO 2017_Table 13'!$C$16)</f>
        <v>22.272926036954654</v>
      </c>
      <c r="AB81" s="212">
        <f>IF(AA81="","",$B81*'AEO 2017_Table 13'!AC$16/'AEO 2017_Table 13'!$C$16)</f>
        <v>22.382363077688705</v>
      </c>
      <c r="AC81" s="212">
        <f>IF(AB81="","",$B81*'AEO 2017_Table 13'!AD$16/'AEO 2017_Table 13'!$C$16)</f>
        <v>22.448507528499064</v>
      </c>
      <c r="AD81" s="212">
        <f>IF(AC81="","",$B81*'AEO 2017_Table 13'!AE$16/'AEO 2017_Table 13'!$C$16)</f>
        <v>22.562949052331263</v>
      </c>
      <c r="AE81" s="212">
        <f>IF(AD81="","",$B81*'AEO 2017_Table 13'!AF$16/'AEO 2017_Table 13'!$C$16)</f>
        <v>22.727651569373037</v>
      </c>
      <c r="AF81" s="212">
        <f>IF(AE81="","",$B81*'AEO 2017_Table 13'!AG$16/'AEO 2017_Table 13'!$C$16)</f>
        <v>22.889274221281113</v>
      </c>
      <c r="AG81" s="212">
        <f>IF(AF81="","",$B81*'AEO 2017_Table 13'!AH$16/'AEO 2017_Table 13'!$C$16)</f>
        <v>23.029705233492145</v>
      </c>
      <c r="AH81" s="212">
        <f>IF(AG81="","",$B81*'AEO 2017_Table 13'!AI$16/'AEO 2017_Table 13'!$C$16)</f>
        <v>23.187534029876854</v>
      </c>
      <c r="AI81" s="212">
        <f>IF(AH81="","",$B81*'AEO 2017_Table 13'!AJ$16/'AEO 2017_Table 13'!$C$16)</f>
        <v>23.31822166364287</v>
      </c>
      <c r="AJ81" s="212">
        <f>IF(AI81="","",$B81*'AEO 2017_Table 13'!AK$16/'AEO 2017_Table 13'!$C$16)</f>
        <v>23.450642763650993</v>
      </c>
      <c r="AK81" s="212">
        <f>IF(AJ81="","",$B81*'AEO 2017_Table 13'!AL$16/'AEO 2017_Table 13'!$C$16)</f>
        <v>23.617565260820079</v>
      </c>
    </row>
    <row r="82" spans="1:37" x14ac:dyDescent="0.25">
      <c r="A82" s="231" t="s">
        <v>1456</v>
      </c>
      <c r="B82" s="212">
        <v>70.896301241969994</v>
      </c>
      <c r="C82" s="212">
        <f>IF(B82="","",$B82*'AEO 2017_Table 13'!D$16/'AEO 2017_Table 13'!$C$16)</f>
        <v>69.583415030988476</v>
      </c>
      <c r="D82" s="212">
        <f>IF(C82="","",$B82*'AEO 2017_Table 13'!E$16/'AEO 2017_Table 13'!$C$16)</f>
        <v>73.060727510265409</v>
      </c>
      <c r="E82" s="212">
        <f>IF(D82="","",$B82*'AEO 2017_Table 13'!F$16/'AEO 2017_Table 13'!$C$16)</f>
        <v>76.448749554443694</v>
      </c>
      <c r="F82" s="212">
        <f>IF(E82="","",$B82*'AEO 2017_Table 13'!G$16/'AEO 2017_Table 13'!$C$16)</f>
        <v>78.776920412863774</v>
      </c>
      <c r="G82" s="212">
        <f>IF(F82="","",$B82*'AEO 2017_Table 13'!H$16/'AEO 2017_Table 13'!$C$16)</f>
        <v>80.850002718166451</v>
      </c>
      <c r="H82" s="212">
        <f>IF(G82="","",$B82*'AEO 2017_Table 13'!I$16/'AEO 2017_Table 13'!$C$16)</f>
        <v>81.181436350462647</v>
      </c>
      <c r="I82" s="212">
        <f>IF(H82="","",$B82*'AEO 2017_Table 13'!J$16/'AEO 2017_Table 13'!$C$16)</f>
        <v>82.291810092225703</v>
      </c>
      <c r="J82" s="212">
        <f>IF(I82="","",$B82*'AEO 2017_Table 13'!K$16/'AEO 2017_Table 13'!$C$16)</f>
        <v>83.76861398763711</v>
      </c>
      <c r="K82" s="212">
        <f>IF(J82="","",$B82*'AEO 2017_Table 13'!L$16/'AEO 2017_Table 13'!$C$16)</f>
        <v>85.161747767588508</v>
      </c>
      <c r="L82" s="212">
        <f>IF(K82="","",$B82*'AEO 2017_Table 13'!M$16/'AEO 2017_Table 13'!$C$16)</f>
        <v>86.461032962403024</v>
      </c>
      <c r="M82" s="212">
        <f>IF(L82="","",$B82*'AEO 2017_Table 13'!N$16/'AEO 2017_Table 13'!$C$16)</f>
        <v>87.721461108330118</v>
      </c>
      <c r="N82" s="212">
        <f>IF(M82="","",$B82*'AEO 2017_Table 13'!O$16/'AEO 2017_Table 13'!$C$16)</f>
        <v>88.216676047724803</v>
      </c>
      <c r="O82" s="212">
        <f>IF(N82="","",$B82*'AEO 2017_Table 13'!P$16/'AEO 2017_Table 13'!$C$16)</f>
        <v>88.934115226008444</v>
      </c>
      <c r="P82" s="212">
        <f>IF(O82="","",$B82*'AEO 2017_Table 13'!Q$16/'AEO 2017_Table 13'!$C$16)</f>
        <v>89.470510874206497</v>
      </c>
      <c r="Q82" s="212">
        <f>IF(P82="","",$B82*'AEO 2017_Table 13'!R$16/'AEO 2017_Table 13'!$C$16)</f>
        <v>89.825883973446835</v>
      </c>
      <c r="R82" s="212">
        <f>IF(Q82="","",$B82*'AEO 2017_Table 13'!S$16/'AEO 2017_Table 13'!$C$16)</f>
        <v>90.276831355594567</v>
      </c>
      <c r="S82" s="212">
        <f>IF(R82="","",$B82*'AEO 2017_Table 13'!T$16/'AEO 2017_Table 13'!$C$16)</f>
        <v>90.941935732950242</v>
      </c>
      <c r="T82" s="212">
        <f>IF(S82="","",$B82*'AEO 2017_Table 13'!U$16/'AEO 2017_Table 13'!$C$16)</f>
        <v>91.652860271018156</v>
      </c>
      <c r="U82" s="212">
        <f>IF(T82="","",$B82*'AEO 2017_Table 13'!V$16/'AEO 2017_Table 13'!$C$16)</f>
        <v>92.619904060111992</v>
      </c>
      <c r="V82" s="212">
        <f>IF(U82="","",$B82*'AEO 2017_Table 13'!W$16/'AEO 2017_Table 13'!$C$16)</f>
        <v>93.969100735580966</v>
      </c>
      <c r="W82" s="212">
        <f>IF(V82="","",$B82*'AEO 2017_Table 13'!X$16/'AEO 2017_Table 13'!$C$16)</f>
        <v>95.045193936981732</v>
      </c>
      <c r="X82" s="212">
        <f>IF(W82="","",$B82*'AEO 2017_Table 13'!Y$16/'AEO 2017_Table 13'!$C$16)</f>
        <v>95.981833449094466</v>
      </c>
      <c r="Y82" s="212">
        <f>IF(X82="","",$B82*'AEO 2017_Table 13'!Z$16/'AEO 2017_Table 13'!$C$16)</f>
        <v>96.710046436559381</v>
      </c>
      <c r="Z82" s="212">
        <f>IF(Y82="","",$B82*'AEO 2017_Table 13'!AA$16/'AEO 2017_Table 13'!$C$16)</f>
        <v>97.61032827664684</v>
      </c>
      <c r="AA82" s="212">
        <f>IF(Z82="","",$B82*'AEO 2017_Table 13'!AB$16/'AEO 2017_Table 13'!$C$16)</f>
        <v>98.094111123972098</v>
      </c>
      <c r="AB82" s="212">
        <f>IF(AA82="","",$B82*'AEO 2017_Table 13'!AC$16/'AEO 2017_Table 13'!$C$16)</f>
        <v>98.576092216938221</v>
      </c>
      <c r="AC82" s="212">
        <f>IF(AB82="","",$B82*'AEO 2017_Table 13'!AD$16/'AEO 2017_Table 13'!$C$16)</f>
        <v>98.867404687390462</v>
      </c>
      <c r="AD82" s="212">
        <f>IF(AC82="","",$B82*'AEO 2017_Table 13'!AE$16/'AEO 2017_Table 13'!$C$16)</f>
        <v>99.371426455224935</v>
      </c>
      <c r="AE82" s="212">
        <f>IF(AD82="","",$B82*'AEO 2017_Table 13'!AF$16/'AEO 2017_Table 13'!$C$16)</f>
        <v>100.09680699042214</v>
      </c>
      <c r="AF82" s="212">
        <f>IF(AE82="","",$B82*'AEO 2017_Table 13'!AG$16/'AEO 2017_Table 13'!$C$16)</f>
        <v>100.80862322642619</v>
      </c>
      <c r="AG82" s="212">
        <f>IF(AF82="","",$B82*'AEO 2017_Table 13'!AH$16/'AEO 2017_Table 13'!$C$16)</f>
        <v>101.42710753756811</v>
      </c>
      <c r="AH82" s="212">
        <f>IF(AG82="","",$B82*'AEO 2017_Table 13'!AI$16/'AEO 2017_Table 13'!$C$16)</f>
        <v>102.12221492783362</v>
      </c>
      <c r="AI82" s="212">
        <f>IF(AH82="","",$B82*'AEO 2017_Table 13'!AJ$16/'AEO 2017_Table 13'!$C$16)</f>
        <v>102.69778758711973</v>
      </c>
      <c r="AJ82" s="212">
        <f>IF(AI82="","",$B82*'AEO 2017_Table 13'!AK$16/'AEO 2017_Table 13'!$C$16)</f>
        <v>103.28099475432369</v>
      </c>
      <c r="AK82" s="212">
        <f>IF(AJ82="","",$B82*'AEO 2017_Table 13'!AL$16/'AEO 2017_Table 13'!$C$16)</f>
        <v>104.01615249512648</v>
      </c>
    </row>
    <row r="83" spans="1:37" x14ac:dyDescent="0.25">
      <c r="A83" s="231" t="s">
        <v>1457</v>
      </c>
      <c r="B83" s="212">
        <v>21.427533537473256</v>
      </c>
      <c r="C83" s="212">
        <f>IF(B83="","",$B83*'AEO 2017_Table 13'!D$16/'AEO 2017_Table 13'!$C$16)</f>
        <v>21.030729856267403</v>
      </c>
      <c r="D83" s="212">
        <f>IF(C83="","",$B83*'AEO 2017_Table 13'!E$16/'AEO 2017_Table 13'!$C$16)</f>
        <v>22.08170470918218</v>
      </c>
      <c r="E83" s="212">
        <f>IF(D83="","",$B83*'AEO 2017_Table 13'!F$16/'AEO 2017_Table 13'!$C$16)</f>
        <v>23.10569262823531</v>
      </c>
      <c r="F83" s="212">
        <f>IF(E83="","",$B83*'AEO 2017_Table 13'!G$16/'AEO 2017_Table 13'!$C$16)</f>
        <v>23.80935358481327</v>
      </c>
      <c r="G83" s="212">
        <f>IF(F83="","",$B83*'AEO 2017_Table 13'!H$16/'AEO 2017_Table 13'!$C$16)</f>
        <v>24.435917169156074</v>
      </c>
      <c r="H83" s="212">
        <f>IF(G83="","",$B83*'AEO 2017_Table 13'!I$16/'AEO 2017_Table 13'!$C$16)</f>
        <v>24.536088900925758</v>
      </c>
      <c r="I83" s="212">
        <f>IF(H83="","",$B83*'AEO 2017_Table 13'!J$16/'AEO 2017_Table 13'!$C$16)</f>
        <v>24.871685683465273</v>
      </c>
      <c r="J83" s="212">
        <f>IF(I83="","",$B83*'AEO 2017_Table 13'!K$16/'AEO 2017_Table 13'!$C$16)</f>
        <v>25.318031465161226</v>
      </c>
      <c r="K83" s="212">
        <f>IF(J83="","",$B83*'AEO 2017_Table 13'!L$16/'AEO 2017_Table 13'!$C$16)</f>
        <v>25.7390889853584</v>
      </c>
      <c r="L83" s="212">
        <f>IF(K83="","",$B83*'AEO 2017_Table 13'!M$16/'AEO 2017_Table 13'!$C$16)</f>
        <v>26.131781927005814</v>
      </c>
      <c r="M83" s="212">
        <f>IF(L83="","",$B83*'AEO 2017_Table 13'!N$16/'AEO 2017_Table 13'!$C$16)</f>
        <v>26.512730804384475</v>
      </c>
      <c r="N83" s="212">
        <f>IF(M83="","",$B83*'AEO 2017_Table 13'!O$16/'AEO 2017_Table 13'!$C$16)</f>
        <v>26.662403418276153</v>
      </c>
      <c r="O83" s="212">
        <f>IF(N83="","",$B83*'AEO 2017_Table 13'!P$16/'AEO 2017_Table 13'!$C$16)</f>
        <v>26.879240570348475</v>
      </c>
      <c r="P83" s="212">
        <f>IF(O83="","",$B83*'AEO 2017_Table 13'!Q$16/'AEO 2017_Table 13'!$C$16)</f>
        <v>27.0413595460887</v>
      </c>
      <c r="Q83" s="212">
        <f>IF(P83="","",$B83*'AEO 2017_Table 13'!R$16/'AEO 2017_Table 13'!$C$16)</f>
        <v>27.148766686784217</v>
      </c>
      <c r="R83" s="212">
        <f>IF(Q83="","",$B83*'AEO 2017_Table 13'!S$16/'AEO 2017_Table 13'!$C$16)</f>
        <v>27.285059976918316</v>
      </c>
      <c r="S83" s="212">
        <f>IF(R83="","",$B83*'AEO 2017_Table 13'!T$16/'AEO 2017_Table 13'!$C$16)</f>
        <v>27.486079580226932</v>
      </c>
      <c r="T83" s="212">
        <f>IF(S83="","",$B83*'AEO 2017_Table 13'!U$16/'AEO 2017_Table 13'!$C$16)</f>
        <v>27.700947762560894</v>
      </c>
      <c r="U83" s="212">
        <f>IF(T83="","",$B83*'AEO 2017_Table 13'!V$16/'AEO 2017_Table 13'!$C$16)</f>
        <v>27.993224832873647</v>
      </c>
      <c r="V83" s="212">
        <f>IF(U83="","",$B83*'AEO 2017_Table 13'!W$16/'AEO 2017_Table 13'!$C$16)</f>
        <v>28.401002904589813</v>
      </c>
      <c r="W83" s="212">
        <f>IF(V83="","",$B83*'AEO 2017_Table 13'!X$16/'AEO 2017_Table 13'!$C$16)</f>
        <v>28.726238816175165</v>
      </c>
      <c r="X83" s="212">
        <f>IF(W83="","",$B83*'AEO 2017_Table 13'!Y$16/'AEO 2017_Table 13'!$C$16)</f>
        <v>29.009326568381294</v>
      </c>
      <c r="Y83" s="212">
        <f>IF(X83="","",$B83*'AEO 2017_Table 13'!Z$16/'AEO 2017_Table 13'!$C$16)</f>
        <v>29.229419971534618</v>
      </c>
      <c r="Z83" s="212">
        <f>IF(Y83="","",$B83*'AEO 2017_Table 13'!AA$16/'AEO 2017_Table 13'!$C$16)</f>
        <v>29.501519065333767</v>
      </c>
      <c r="AA83" s="212">
        <f>IF(Z83="","",$B83*'AEO 2017_Table 13'!AB$16/'AEO 2017_Table 13'!$C$16)</f>
        <v>29.647736470252205</v>
      </c>
      <c r="AB83" s="212">
        <f>IF(AA83="","",$B83*'AEO 2017_Table 13'!AC$16/'AEO 2017_Table 13'!$C$16)</f>
        <v>29.793409317114996</v>
      </c>
      <c r="AC83" s="212">
        <f>IF(AB83="","",$B83*'AEO 2017_Table 13'!AD$16/'AEO 2017_Table 13'!$C$16)</f>
        <v>29.88145492204994</v>
      </c>
      <c r="AD83" s="212">
        <f>IF(AC83="","",$B83*'AEO 2017_Table 13'!AE$16/'AEO 2017_Table 13'!$C$16)</f>
        <v>30.033789291328667</v>
      </c>
      <c r="AE83" s="212">
        <f>IF(AD83="","",$B83*'AEO 2017_Table 13'!AF$16/'AEO 2017_Table 13'!$C$16)</f>
        <v>30.253026620682697</v>
      </c>
      <c r="AF83" s="212">
        <f>IF(AE83="","",$B83*'AEO 2017_Table 13'!AG$16/'AEO 2017_Table 13'!$C$16)</f>
        <v>30.468164307731247</v>
      </c>
      <c r="AG83" s="212">
        <f>IF(AF83="","",$B83*'AEO 2017_Table 13'!AH$16/'AEO 2017_Table 13'!$C$16)</f>
        <v>30.655093570432321</v>
      </c>
      <c r="AH83" s="212">
        <f>IF(AG83="","",$B83*'AEO 2017_Table 13'!AI$16/'AEO 2017_Table 13'!$C$16)</f>
        <v>30.865181214725993</v>
      </c>
      <c r="AI83" s="212">
        <f>IF(AH83="","",$B83*'AEO 2017_Table 13'!AJ$16/'AEO 2017_Table 13'!$C$16)</f>
        <v>31.039140959367852</v>
      </c>
      <c r="AJ83" s="212">
        <f>IF(AI83="","",$B83*'AEO 2017_Table 13'!AK$16/'AEO 2017_Table 13'!$C$16)</f>
        <v>31.215408139963156</v>
      </c>
      <c r="AK83" s="212">
        <f>IF(AJ83="","",$B83*'AEO 2017_Table 13'!AL$16/'AEO 2017_Table 13'!$C$16)</f>
        <v>31.437600509246582</v>
      </c>
    </row>
    <row r="84" spans="1:37" x14ac:dyDescent="0.25">
      <c r="A84" s="231" t="s">
        <v>1458</v>
      </c>
      <c r="B84" s="212">
        <v>9.1650189916916496</v>
      </c>
      <c r="C84" s="212">
        <f>IF(B84="","",$B84*'AEO 2017_Table 13'!D$16/'AEO 2017_Table 13'!$C$16)</f>
        <v>8.9952974851139214</v>
      </c>
      <c r="D84" s="212">
        <f>IF(C84="","",$B84*'AEO 2017_Table 13'!E$16/'AEO 2017_Table 13'!$C$16)</f>
        <v>9.4448221338519129</v>
      </c>
      <c r="E84" s="212">
        <f>IF(D84="","",$B84*'AEO 2017_Table 13'!F$16/'AEO 2017_Table 13'!$C$16)</f>
        <v>9.8828038879801792</v>
      </c>
      <c r="F84" s="212">
        <f>IF(E84="","",$B84*'AEO 2017_Table 13'!G$16/'AEO 2017_Table 13'!$C$16)</f>
        <v>10.183774880253768</v>
      </c>
      <c r="G84" s="212">
        <f>IF(F84="","",$B84*'AEO 2017_Table 13'!H$16/'AEO 2017_Table 13'!$C$16)</f>
        <v>10.451769660892497</v>
      </c>
      <c r="H84" s="212">
        <f>IF(G84="","",$B84*'AEO 2017_Table 13'!I$16/'AEO 2017_Table 13'!$C$16)</f>
        <v>10.494615274574269</v>
      </c>
      <c r="I84" s="212">
        <f>IF(H84="","",$B84*'AEO 2017_Table 13'!J$16/'AEO 2017_Table 13'!$C$16)</f>
        <v>10.638157268343468</v>
      </c>
      <c r="J84" s="212">
        <f>IF(I84="","",$B84*'AEO 2017_Table 13'!K$16/'AEO 2017_Table 13'!$C$16)</f>
        <v>10.829069001555823</v>
      </c>
      <c r="K84" s="212">
        <f>IF(J84="","",$B84*'AEO 2017_Table 13'!L$16/'AEO 2017_Table 13'!$C$16)</f>
        <v>11.00916439902436</v>
      </c>
      <c r="L84" s="212">
        <f>IF(K84="","",$B84*'AEO 2017_Table 13'!M$16/'AEO 2017_Table 13'!$C$16)</f>
        <v>11.177127653488888</v>
      </c>
      <c r="M84" s="212">
        <f>IF(L84="","",$B84*'AEO 2017_Table 13'!N$16/'AEO 2017_Table 13'!$C$16)</f>
        <v>11.340067717959359</v>
      </c>
      <c r="N84" s="212">
        <f>IF(M84="","",$B84*'AEO 2017_Table 13'!O$16/'AEO 2017_Table 13'!$C$16)</f>
        <v>11.404085928289277</v>
      </c>
      <c r="O84" s="212">
        <f>IF(N84="","",$B84*'AEO 2017_Table 13'!P$16/'AEO 2017_Table 13'!$C$16)</f>
        <v>11.496831862550524</v>
      </c>
      <c r="P84" s="212">
        <f>IF(O84="","",$B84*'AEO 2017_Table 13'!Q$16/'AEO 2017_Table 13'!$C$16)</f>
        <v>11.566173650721069</v>
      </c>
      <c r="Q84" s="212">
        <f>IF(P84="","",$B84*'AEO 2017_Table 13'!R$16/'AEO 2017_Table 13'!$C$16)</f>
        <v>11.612114005106523</v>
      </c>
      <c r="R84" s="212">
        <f>IF(Q84="","",$B84*'AEO 2017_Table 13'!S$16/'AEO 2017_Table 13'!$C$16)</f>
        <v>11.670409589632602</v>
      </c>
      <c r="S84" s="212">
        <f>IF(R84="","",$B84*'AEO 2017_Table 13'!T$16/'AEO 2017_Table 13'!$C$16)</f>
        <v>11.756390016582062</v>
      </c>
      <c r="T84" s="212">
        <f>IF(S84="","",$B84*'AEO 2017_Table 13'!U$16/'AEO 2017_Table 13'!$C$16)</f>
        <v>11.848293779950678</v>
      </c>
      <c r="U84" s="212">
        <f>IF(T84="","",$B84*'AEO 2017_Table 13'!V$16/'AEO 2017_Table 13'!$C$16)</f>
        <v>11.973306996967358</v>
      </c>
      <c r="V84" s="212">
        <f>IF(U84="","",$B84*'AEO 2017_Table 13'!W$16/'AEO 2017_Table 13'!$C$16)</f>
        <v>12.147722487445446</v>
      </c>
      <c r="W84" s="212">
        <f>IF(V84="","",$B84*'AEO 2017_Table 13'!X$16/'AEO 2017_Table 13'!$C$16)</f>
        <v>12.286832912882277</v>
      </c>
      <c r="X84" s="212">
        <f>IF(W84="","",$B84*'AEO 2017_Table 13'!Y$16/'AEO 2017_Table 13'!$C$16)</f>
        <v>12.407915660028474</v>
      </c>
      <c r="Y84" s="212">
        <f>IF(X84="","",$B84*'AEO 2017_Table 13'!Z$16/'AEO 2017_Table 13'!$C$16)</f>
        <v>12.502054363221658</v>
      </c>
      <c r="Z84" s="212">
        <f>IF(Y84="","",$B84*'AEO 2017_Table 13'!AA$16/'AEO 2017_Table 13'!$C$16)</f>
        <v>12.618437023779865</v>
      </c>
      <c r="AA84" s="212">
        <f>IF(Z84="","",$B84*'AEO 2017_Table 13'!AB$16/'AEO 2017_Table 13'!$C$16)</f>
        <v>12.680977366589259</v>
      </c>
      <c r="AB84" s="212">
        <f>IF(AA84="","",$B84*'AEO 2017_Table 13'!AC$16/'AEO 2017_Table 13'!$C$16)</f>
        <v>12.743284790154195</v>
      </c>
      <c r="AC84" s="212">
        <f>IF(AB84="","",$B84*'AEO 2017_Table 13'!AD$16/'AEO 2017_Table 13'!$C$16)</f>
        <v>12.780943797428765</v>
      </c>
      <c r="AD84" s="212">
        <f>IF(AC84="","",$B84*'AEO 2017_Table 13'!AE$16/'AEO 2017_Table 13'!$C$16)</f>
        <v>12.846100498039464</v>
      </c>
      <c r="AE84" s="212">
        <f>IF(AD84="","",$B84*'AEO 2017_Table 13'!AF$16/'AEO 2017_Table 13'!$C$16)</f>
        <v>12.93987303997498</v>
      </c>
      <c r="AF84" s="212">
        <f>IF(AE84="","",$B84*'AEO 2017_Table 13'!AG$16/'AEO 2017_Table 13'!$C$16)</f>
        <v>13.031892076332122</v>
      </c>
      <c r="AG84" s="212">
        <f>IF(AF84="","",$B84*'AEO 2017_Table 13'!AH$16/'AEO 2017_Table 13'!$C$16)</f>
        <v>13.111845760210958</v>
      </c>
      <c r="AH84" s="212">
        <f>IF(AG84="","",$B84*'AEO 2017_Table 13'!AI$16/'AEO 2017_Table 13'!$C$16)</f>
        <v>13.201704784186067</v>
      </c>
      <c r="AI84" s="212">
        <f>IF(AH84="","",$B84*'AEO 2017_Table 13'!AJ$16/'AEO 2017_Table 13'!$C$16)</f>
        <v>13.276111125011258</v>
      </c>
      <c r="AJ84" s="212">
        <f>IF(AI84="","",$B84*'AEO 2017_Table 13'!AK$16/'AEO 2017_Table 13'!$C$16)</f>
        <v>13.351504406041137</v>
      </c>
      <c r="AK84" s="212">
        <f>IF(AJ84="","",$B84*'AEO 2017_Table 13'!AL$16/'AEO 2017_Table 13'!$C$16)</f>
        <v>13.446540882392011</v>
      </c>
    </row>
    <row r="85" spans="1:37" x14ac:dyDescent="0.25">
      <c r="A85" s="231" t="s">
        <v>1401</v>
      </c>
      <c r="B85" s="212">
        <v>16.898874907922913</v>
      </c>
      <c r="C85" s="212">
        <f>IF(B85="","",$B85*'AEO 2017_Table 13'!D$16/'AEO 2017_Table 13'!$C$16)</f>
        <v>16.585934748012576</v>
      </c>
      <c r="D85" s="212">
        <f>IF(C85="","",$B85*'AEO 2017_Table 13'!E$16/'AEO 2017_Table 13'!$C$16)</f>
        <v>17.414788546781324</v>
      </c>
      <c r="E85" s="212">
        <f>IF(D85="","",$B85*'AEO 2017_Table 13'!F$16/'AEO 2017_Table 13'!$C$16)</f>
        <v>18.222359036452517</v>
      </c>
      <c r="F85" s="212">
        <f>IF(E85="","",$B85*'AEO 2017_Table 13'!G$16/'AEO 2017_Table 13'!$C$16)</f>
        <v>18.777302910977543</v>
      </c>
      <c r="G85" s="212">
        <f>IF(F85="","",$B85*'AEO 2017_Table 13'!H$16/'AEO 2017_Table 13'!$C$16)</f>
        <v>19.271443760886921</v>
      </c>
      <c r="H85" s="212">
        <f>IF(G85="","",$B85*'AEO 2017_Table 13'!I$16/'AEO 2017_Table 13'!$C$16)</f>
        <v>19.350444433620694</v>
      </c>
      <c r="I85" s="212">
        <f>IF(H85="","",$B85*'AEO 2017_Table 13'!J$16/'AEO 2017_Table 13'!$C$16)</f>
        <v>19.615113628407798</v>
      </c>
      <c r="J85" s="212">
        <f>IF(I85="","",$B85*'AEO 2017_Table 13'!K$16/'AEO 2017_Table 13'!$C$16)</f>
        <v>19.967125282822806</v>
      </c>
      <c r="K85" s="212">
        <f>IF(J85="","",$B85*'AEO 2017_Table 13'!L$16/'AEO 2017_Table 13'!$C$16)</f>
        <v>20.299193290109255</v>
      </c>
      <c r="L85" s="212">
        <f>IF(K85="","",$B85*'AEO 2017_Table 13'!M$16/'AEO 2017_Table 13'!$C$16)</f>
        <v>20.608891505562681</v>
      </c>
      <c r="M85" s="212">
        <f>IF(L85="","",$B85*'AEO 2017_Table 13'!N$16/'AEO 2017_Table 13'!$C$16)</f>
        <v>20.909327737006553</v>
      </c>
      <c r="N85" s="212">
        <f>IF(M85="","",$B85*'AEO 2017_Table 13'!O$16/'AEO 2017_Table 13'!$C$16)</f>
        <v>21.027367397281683</v>
      </c>
      <c r="O85" s="212">
        <f>IF(N85="","",$B85*'AEO 2017_Table 13'!P$16/'AEO 2017_Table 13'!$C$16)</f>
        <v>21.198376529147101</v>
      </c>
      <c r="P85" s="212">
        <f>IF(O85="","",$B85*'AEO 2017_Table 13'!Q$16/'AEO 2017_Table 13'!$C$16)</f>
        <v>21.32623204207599</v>
      </c>
      <c r="Q85" s="212">
        <f>IF(P85="","",$B85*'AEO 2017_Table 13'!R$16/'AEO 2017_Table 13'!$C$16)</f>
        <v>21.410938937139623</v>
      </c>
      <c r="R85" s="212">
        <f>IF(Q85="","",$B85*'AEO 2017_Table 13'!S$16/'AEO 2017_Table 13'!$C$16)</f>
        <v>21.518426962149011</v>
      </c>
      <c r="S85" s="212">
        <f>IF(R85="","",$B85*'AEO 2017_Table 13'!T$16/'AEO 2017_Table 13'!$C$16)</f>
        <v>21.676961546841728</v>
      </c>
      <c r="T85" s="212">
        <f>IF(S85="","",$B85*'AEO 2017_Table 13'!U$16/'AEO 2017_Table 13'!$C$16)</f>
        <v>21.846417846074875</v>
      </c>
      <c r="U85" s="212">
        <f>IF(T85="","",$B85*'AEO 2017_Table 13'!V$16/'AEO 2017_Table 13'!$C$16)</f>
        <v>22.076922847550271</v>
      </c>
      <c r="V85" s="212">
        <f>IF(U85="","",$B85*'AEO 2017_Table 13'!W$16/'AEO 2017_Table 13'!$C$16)</f>
        <v>22.398517986443622</v>
      </c>
      <c r="W85" s="212">
        <f>IF(V85="","",$B85*'AEO 2017_Table 13'!X$16/'AEO 2017_Table 13'!$C$16)</f>
        <v>22.655016055893999</v>
      </c>
      <c r="X85" s="212">
        <f>IF(W85="","",$B85*'AEO 2017_Table 13'!Y$16/'AEO 2017_Table 13'!$C$16)</f>
        <v>22.87827387995155</v>
      </c>
      <c r="Y85" s="212">
        <f>IF(X85="","",$B85*'AEO 2017_Table 13'!Z$16/'AEO 2017_Table 13'!$C$16)</f>
        <v>23.051851061918967</v>
      </c>
      <c r="Z85" s="212">
        <f>IF(Y85="","",$B85*'AEO 2017_Table 13'!AA$16/'AEO 2017_Table 13'!$C$16)</f>
        <v>23.266442654583127</v>
      </c>
      <c r="AA85" s="212">
        <f>IF(Z85="","",$B85*'AEO 2017_Table 13'!AB$16/'AEO 2017_Table 13'!$C$16)</f>
        <v>23.381757356144863</v>
      </c>
      <c r="AB85" s="212">
        <f>IF(AA85="","",$B85*'AEO 2017_Table 13'!AC$16/'AEO 2017_Table 13'!$C$16)</f>
        <v>23.496642590710479</v>
      </c>
      <c r="AC85" s="212">
        <f>IF(AB85="","",$B85*'AEO 2017_Table 13'!AD$16/'AEO 2017_Table 13'!$C$16)</f>
        <v>23.566079964890111</v>
      </c>
      <c r="AD85" s="212">
        <f>IF(AC85="","",$B85*'AEO 2017_Table 13'!AE$16/'AEO 2017_Table 13'!$C$16)</f>
        <v>23.686218824834789</v>
      </c>
      <c r="AE85" s="212">
        <f>IF(AD85="","",$B85*'AEO 2017_Table 13'!AF$16/'AEO 2017_Table 13'!$C$16)</f>
        <v>23.859120862179484</v>
      </c>
      <c r="AF85" s="212">
        <f>IF(AE85="","",$B85*'AEO 2017_Table 13'!AG$16/'AEO 2017_Table 13'!$C$16)</f>
        <v>24.028789706942007</v>
      </c>
      <c r="AG85" s="212">
        <f>IF(AF85="","",$B85*'AEO 2017_Table 13'!AH$16/'AEO 2017_Table 13'!$C$16)</f>
        <v>24.176211911251773</v>
      </c>
      <c r="AH85" s="212">
        <f>IF(AG85="","",$B85*'AEO 2017_Table 13'!AI$16/'AEO 2017_Table 13'!$C$16)</f>
        <v>24.341898027874116</v>
      </c>
      <c r="AI85" s="212">
        <f>IF(AH85="","",$B85*'AEO 2017_Table 13'!AJ$16/'AEO 2017_Table 13'!$C$16)</f>
        <v>24.479091791149571</v>
      </c>
      <c r="AJ85" s="212">
        <f>IF(AI85="","",$B85*'AEO 2017_Table 13'!AK$16/'AEO 2017_Table 13'!$C$16)</f>
        <v>24.618105319236832</v>
      </c>
      <c r="AK85" s="212">
        <f>IF(AJ85="","",$B85*'AEO 2017_Table 13'!AL$16/'AEO 2017_Table 13'!$C$16)</f>
        <v>24.793337855797756</v>
      </c>
    </row>
    <row r="86" spans="1:37" x14ac:dyDescent="0.25">
      <c r="A86" s="232" t="s">
        <v>1459</v>
      </c>
      <c r="B86" s="233">
        <v>21.767062246252685</v>
      </c>
      <c r="C86" s="233">
        <f>IF(B86="","",$B86*'AEO 2017_Table 13'!D$16/'AEO 2017_Table 13'!$C$16)</f>
        <v>21.363971035906669</v>
      </c>
      <c r="D86" s="233">
        <f>IF(C86="","",$B86*'AEO 2017_Table 13'!E$16/'AEO 2017_Table 13'!$C$16)</f>
        <v>22.43159904837178</v>
      </c>
      <c r="E86" s="233">
        <f>IF(D86="","",$B86*'AEO 2017_Table 13'!F$16/'AEO 2017_Table 13'!$C$16)</f>
        <v>23.47181250711915</v>
      </c>
      <c r="F86" s="233">
        <f>IF(E86="","",$B86*'AEO 2017_Table 13'!G$16/'AEO 2017_Table 13'!$C$16)</f>
        <v>24.186623281551213</v>
      </c>
      <c r="G86" s="233">
        <f>IF(F86="","",$B86*'AEO 2017_Table 13'!H$16/'AEO 2017_Table 13'!$C$16)</f>
        <v>24.823115041919873</v>
      </c>
      <c r="H86" s="233">
        <f>IF(G86="","",$B86*'AEO 2017_Table 13'!I$16/'AEO 2017_Table 13'!$C$16)</f>
        <v>24.924874038910005</v>
      </c>
      <c r="I86" s="233">
        <f>IF(H86="","",$B86*'AEO 2017_Table 13'!J$16/'AEO 2017_Table 13'!$C$16)</f>
        <v>25.265788500315679</v>
      </c>
      <c r="J86" s="233">
        <f>IF(I86="","",$B86*'AEO 2017_Table 13'!K$16/'AEO 2017_Table 13'!$C$16)</f>
        <v>25.719206827559788</v>
      </c>
      <c r="K86" s="233">
        <f>IF(J86="","",$B86*'AEO 2017_Table 13'!L$16/'AEO 2017_Table 13'!$C$16)</f>
        <v>26.146936189660948</v>
      </c>
      <c r="L86" s="233">
        <f>IF(K86="","",$B86*'AEO 2017_Table 13'!M$16/'AEO 2017_Table 13'!$C$16)</f>
        <v>26.545851523969244</v>
      </c>
      <c r="M86" s="233">
        <f>IF(L86="","",$B86*'AEO 2017_Table 13'!N$16/'AEO 2017_Table 13'!$C$16)</f>
        <v>26.932836704136612</v>
      </c>
      <c r="N86" s="233">
        <f>IF(M86="","",$B86*'AEO 2017_Table 13'!O$16/'AEO 2017_Table 13'!$C$16)</f>
        <v>27.08488094653352</v>
      </c>
      <c r="O86" s="233">
        <f>IF(N86="","",$B86*'AEO 2017_Table 13'!P$16/'AEO 2017_Table 13'!$C$16)</f>
        <v>27.305153978807816</v>
      </c>
      <c r="P86" s="233">
        <f>IF(O86="","",$B86*'AEO 2017_Table 13'!Q$16/'AEO 2017_Table 13'!$C$16)</f>
        <v>27.469841801139996</v>
      </c>
      <c r="Q86" s="233">
        <f>IF(P86="","",$B86*'AEO 2017_Table 13'!R$16/'AEO 2017_Table 13'!$C$16)</f>
        <v>27.57895085529794</v>
      </c>
      <c r="R86" s="233">
        <f>IF(Q86="","",$B86*'AEO 2017_Table 13'!S$16/'AEO 2017_Table 13'!$C$16)</f>
        <v>27.717403772658084</v>
      </c>
      <c r="S86" s="233">
        <f>IF(R86="","",$B86*'AEO 2017_Table 13'!T$16/'AEO 2017_Table 13'!$C$16)</f>
        <v>27.921608620140109</v>
      </c>
      <c r="T86" s="233">
        <f>IF(S86="","",$B86*'AEO 2017_Table 13'!U$16/'AEO 2017_Table 13'!$C$16)</f>
        <v>28.139881483483109</v>
      </c>
      <c r="U86" s="233">
        <f>IF(T86="","",$B86*'AEO 2017_Table 13'!V$16/'AEO 2017_Table 13'!$C$16)</f>
        <v>28.436789812737334</v>
      </c>
      <c r="V86" s="233">
        <f>IF(U86="","",$B86*'AEO 2017_Table 13'!W$16/'AEO 2017_Table 13'!$C$16)</f>
        <v>28.851029307646062</v>
      </c>
      <c r="W86" s="233">
        <f>IF(V86="","",$B86*'AEO 2017_Table 13'!X$16/'AEO 2017_Table 13'!$C$16)</f>
        <v>29.181418725532833</v>
      </c>
      <c r="X86" s="233">
        <f>IF(W86="","",$B86*'AEO 2017_Table 13'!Y$16/'AEO 2017_Table 13'!$C$16)</f>
        <v>29.468992127886693</v>
      </c>
      <c r="Y86" s="233">
        <f>IF(X86="","",$B86*'AEO 2017_Table 13'!Z$16/'AEO 2017_Table 13'!$C$16)</f>
        <v>29.6925730079749</v>
      </c>
      <c r="Z86" s="233">
        <f>IF(Y86="","",$B86*'AEO 2017_Table 13'!AA$16/'AEO 2017_Table 13'!$C$16)</f>
        <v>29.968983631788284</v>
      </c>
      <c r="AA86" s="233">
        <f>IF(Z86="","",$B86*'AEO 2017_Table 13'!AB$16/'AEO 2017_Table 13'!$C$16)</f>
        <v>30.117517915903584</v>
      </c>
      <c r="AB86" s="233">
        <f>IF(AA86="","",$B86*'AEO 2017_Table 13'!AC$16/'AEO 2017_Table 13'!$C$16)</f>
        <v>30.265499013200934</v>
      </c>
      <c r="AC86" s="233">
        <f>IF(AB86="","",$B86*'AEO 2017_Table 13'!AD$16/'AEO 2017_Table 13'!$C$16)</f>
        <v>30.35493973953448</v>
      </c>
      <c r="AD86" s="233">
        <f>IF(AC86="","",$B86*'AEO 2017_Table 13'!AE$16/'AEO 2017_Table 13'!$C$16)</f>
        <v>30.509687914005177</v>
      </c>
      <c r="AE86" s="233">
        <f>IF(AD86="","",$B86*'AEO 2017_Table 13'!AF$16/'AEO 2017_Table 13'!$C$16)</f>
        <v>30.732399155427601</v>
      </c>
      <c r="AF86" s="233">
        <f>IF(AE86="","",$B86*'AEO 2017_Table 13'!AG$16/'AEO 2017_Table 13'!$C$16)</f>
        <v>30.950945793906129</v>
      </c>
      <c r="AG86" s="233">
        <f>IF(AF86="","",$B86*'AEO 2017_Table 13'!AH$16/'AEO 2017_Table 13'!$C$16)</f>
        <v>31.1408370331262</v>
      </c>
      <c r="AH86" s="233">
        <f>IF(AG86="","",$B86*'AEO 2017_Table 13'!AI$16/'AEO 2017_Table 13'!$C$16)</f>
        <v>31.354253608697601</v>
      </c>
      <c r="AI86" s="233">
        <f>IF(AH86="","",$B86*'AEO 2017_Table 13'!AJ$16/'AEO 2017_Table 13'!$C$16)</f>
        <v>31.530969822131102</v>
      </c>
      <c r="AJ86" s="233">
        <f>IF(AI86="","",$B86*'AEO 2017_Table 13'!AK$16/'AEO 2017_Table 13'!$C$16)</f>
        <v>31.710030033857269</v>
      </c>
      <c r="AK86" s="233">
        <f>IF(AJ86="","",$B86*'AEO 2017_Table 13'!AL$16/'AEO 2017_Table 13'!$C$16)</f>
        <v>31.93574313911861</v>
      </c>
    </row>
    <row r="87" spans="1:37" x14ac:dyDescent="0.25">
      <c r="A87" s="209" t="s">
        <v>1419</v>
      </c>
      <c r="B87" s="235"/>
      <c r="C87" s="235" t="str">
        <f>IF(B87="","",$B87*'AEO 2017_Table 13'!D$16/'AEO 2017_Table 13'!$C$16)</f>
        <v/>
      </c>
      <c r="D87" s="235" t="str">
        <f>IF(C87="","",$B87*'AEO 2017_Table 13'!E$16/'AEO 2017_Table 13'!$C$16)</f>
        <v/>
      </c>
      <c r="E87" s="235" t="str">
        <f>IF(D87="","",$B87*'AEO 2017_Table 13'!F$16/'AEO 2017_Table 13'!$C$16)</f>
        <v/>
      </c>
      <c r="F87" s="235" t="str">
        <f>IF(E87="","",$B87*'AEO 2017_Table 13'!G$16/'AEO 2017_Table 13'!$C$16)</f>
        <v/>
      </c>
      <c r="G87" s="235" t="str">
        <f>IF(F87="","",$B87*'AEO 2017_Table 13'!H$16/'AEO 2017_Table 13'!$C$16)</f>
        <v/>
      </c>
      <c r="H87" s="235" t="str">
        <f>IF(G87="","",$B87*'AEO 2017_Table 13'!I$16/'AEO 2017_Table 13'!$C$16)</f>
        <v/>
      </c>
      <c r="I87" s="235" t="str">
        <f>IF(H87="","",$B87*'AEO 2017_Table 13'!J$16/'AEO 2017_Table 13'!$C$16)</f>
        <v/>
      </c>
      <c r="J87" s="235" t="str">
        <f>IF(I87="","",$B87*'AEO 2017_Table 13'!K$16/'AEO 2017_Table 13'!$C$16)</f>
        <v/>
      </c>
      <c r="K87" s="235" t="str">
        <f>IF(J87="","",$B87*'AEO 2017_Table 13'!L$16/'AEO 2017_Table 13'!$C$16)</f>
        <v/>
      </c>
      <c r="L87" s="235" t="str">
        <f>IF(K87="","",$B87*'AEO 2017_Table 13'!M$16/'AEO 2017_Table 13'!$C$16)</f>
        <v/>
      </c>
      <c r="M87" s="235" t="str">
        <f>IF(L87="","",$B87*'AEO 2017_Table 13'!N$16/'AEO 2017_Table 13'!$C$16)</f>
        <v/>
      </c>
      <c r="N87" s="235" t="str">
        <f>IF(M87="","",$B87*'AEO 2017_Table 13'!O$16/'AEO 2017_Table 13'!$C$16)</f>
        <v/>
      </c>
      <c r="O87" s="235" t="str">
        <f>IF(N87="","",$B87*'AEO 2017_Table 13'!P$16/'AEO 2017_Table 13'!$C$16)</f>
        <v/>
      </c>
      <c r="P87" s="235" t="str">
        <f>IF(O87="","",$B87*'AEO 2017_Table 13'!Q$16/'AEO 2017_Table 13'!$C$16)</f>
        <v/>
      </c>
      <c r="Q87" s="235" t="str">
        <f>IF(P87="","",$B87*'AEO 2017_Table 13'!R$16/'AEO 2017_Table 13'!$C$16)</f>
        <v/>
      </c>
      <c r="R87" s="235" t="str">
        <f>IF(Q87="","",$B87*'AEO 2017_Table 13'!S$16/'AEO 2017_Table 13'!$C$16)</f>
        <v/>
      </c>
      <c r="S87" s="235" t="str">
        <f>IF(R87="","",$B87*'AEO 2017_Table 13'!T$16/'AEO 2017_Table 13'!$C$16)</f>
        <v/>
      </c>
      <c r="T87" s="235" t="str">
        <f>IF(S87="","",$B87*'AEO 2017_Table 13'!U$16/'AEO 2017_Table 13'!$C$16)</f>
        <v/>
      </c>
      <c r="U87" s="235" t="str">
        <f>IF(T87="","",$B87*'AEO 2017_Table 13'!V$16/'AEO 2017_Table 13'!$C$16)</f>
        <v/>
      </c>
      <c r="V87" s="235" t="str">
        <f>IF(U87="","",$B87*'AEO 2017_Table 13'!W$16/'AEO 2017_Table 13'!$C$16)</f>
        <v/>
      </c>
      <c r="W87" s="235" t="str">
        <f>IF(V87="","",$B87*'AEO 2017_Table 13'!X$16/'AEO 2017_Table 13'!$C$16)</f>
        <v/>
      </c>
      <c r="X87" s="235" t="str">
        <f>IF(W87="","",$B87*'AEO 2017_Table 13'!Y$16/'AEO 2017_Table 13'!$C$16)</f>
        <v/>
      </c>
      <c r="Y87" s="235" t="str">
        <f>IF(X87="","",$B87*'AEO 2017_Table 13'!Z$16/'AEO 2017_Table 13'!$C$16)</f>
        <v/>
      </c>
      <c r="Z87" s="235" t="str">
        <f>IF(Y87="","",$B87*'AEO 2017_Table 13'!AA$16/'AEO 2017_Table 13'!$C$16)</f>
        <v/>
      </c>
      <c r="AA87" s="235" t="str">
        <f>IF(Z87="","",$B87*'AEO 2017_Table 13'!AB$16/'AEO 2017_Table 13'!$C$16)</f>
        <v/>
      </c>
      <c r="AB87" s="235" t="str">
        <f>IF(AA87="","",$B87*'AEO 2017_Table 13'!AC$16/'AEO 2017_Table 13'!$C$16)</f>
        <v/>
      </c>
      <c r="AC87" s="235" t="str">
        <f>IF(AB87="","",$B87*'AEO 2017_Table 13'!AD$16/'AEO 2017_Table 13'!$C$16)</f>
        <v/>
      </c>
      <c r="AD87" s="235" t="str">
        <f>IF(AC87="","",$B87*'AEO 2017_Table 13'!AE$16/'AEO 2017_Table 13'!$C$16)</f>
        <v/>
      </c>
      <c r="AE87" s="235" t="str">
        <f>IF(AD87="","",$B87*'AEO 2017_Table 13'!AF$16/'AEO 2017_Table 13'!$C$16)</f>
        <v/>
      </c>
      <c r="AF87" s="235" t="str">
        <f>IF(AE87="","",$B87*'AEO 2017_Table 13'!AG$16/'AEO 2017_Table 13'!$C$16)</f>
        <v/>
      </c>
      <c r="AG87" s="235" t="str">
        <f>IF(AF87="","",$B87*'AEO 2017_Table 13'!AH$16/'AEO 2017_Table 13'!$C$16)</f>
        <v/>
      </c>
      <c r="AH87" s="235" t="str">
        <f>IF(AG87="","",$B87*'AEO 2017_Table 13'!AI$16/'AEO 2017_Table 13'!$C$16)</f>
        <v/>
      </c>
      <c r="AI87" s="235" t="str">
        <f>IF(AH87="","",$B87*'AEO 2017_Table 13'!AJ$16/'AEO 2017_Table 13'!$C$16)</f>
        <v/>
      </c>
      <c r="AJ87" s="235" t="str">
        <f>IF(AI87="","",$B87*'AEO 2017_Table 13'!AK$16/'AEO 2017_Table 13'!$C$16)</f>
        <v/>
      </c>
      <c r="AK87" s="235" t="str">
        <f>IF(AJ87="","",$B87*'AEO 2017_Table 13'!AL$16/'AEO 2017_Table 13'!$C$16)</f>
        <v/>
      </c>
    </row>
    <row r="88" spans="1:37" x14ac:dyDescent="0.25">
      <c r="A88" s="236" t="s">
        <v>1460</v>
      </c>
      <c r="B88" s="238"/>
      <c r="C88" s="238" t="str">
        <f>IF(B88="","",$B88*'AEO 2017_Table 13'!D$16/'AEO 2017_Table 13'!$C$16)</f>
        <v/>
      </c>
      <c r="D88" s="238" t="str">
        <f>IF(C88="","",$B88*'AEO 2017_Table 13'!E$16/'AEO 2017_Table 13'!$C$16)</f>
        <v/>
      </c>
      <c r="E88" s="238" t="str">
        <f>IF(D88="","",$B88*'AEO 2017_Table 13'!F$16/'AEO 2017_Table 13'!$C$16)</f>
        <v/>
      </c>
      <c r="F88" s="238" t="str">
        <f>IF(E88="","",$B88*'AEO 2017_Table 13'!G$16/'AEO 2017_Table 13'!$C$16)</f>
        <v/>
      </c>
      <c r="G88" s="238" t="str">
        <f>IF(F88="","",$B88*'AEO 2017_Table 13'!H$16/'AEO 2017_Table 13'!$C$16)</f>
        <v/>
      </c>
      <c r="H88" s="238" t="str">
        <f>IF(G88="","",$B88*'AEO 2017_Table 13'!I$16/'AEO 2017_Table 13'!$C$16)</f>
        <v/>
      </c>
      <c r="I88" s="238" t="str">
        <f>IF(H88="","",$B88*'AEO 2017_Table 13'!J$16/'AEO 2017_Table 13'!$C$16)</f>
        <v/>
      </c>
      <c r="J88" s="238" t="str">
        <f>IF(I88="","",$B88*'AEO 2017_Table 13'!K$16/'AEO 2017_Table 13'!$C$16)</f>
        <v/>
      </c>
      <c r="K88" s="238" t="str">
        <f>IF(J88="","",$B88*'AEO 2017_Table 13'!L$16/'AEO 2017_Table 13'!$C$16)</f>
        <v/>
      </c>
      <c r="L88" s="238" t="str">
        <f>IF(K88="","",$B88*'AEO 2017_Table 13'!M$16/'AEO 2017_Table 13'!$C$16)</f>
        <v/>
      </c>
      <c r="M88" s="238" t="str">
        <f>IF(L88="","",$B88*'AEO 2017_Table 13'!N$16/'AEO 2017_Table 13'!$C$16)</f>
        <v/>
      </c>
      <c r="N88" s="238" t="str">
        <f>IF(M88="","",$B88*'AEO 2017_Table 13'!O$16/'AEO 2017_Table 13'!$C$16)</f>
        <v/>
      </c>
      <c r="O88" s="238" t="str">
        <f>IF(N88="","",$B88*'AEO 2017_Table 13'!P$16/'AEO 2017_Table 13'!$C$16)</f>
        <v/>
      </c>
      <c r="P88" s="238" t="str">
        <f>IF(O88="","",$B88*'AEO 2017_Table 13'!Q$16/'AEO 2017_Table 13'!$C$16)</f>
        <v/>
      </c>
      <c r="Q88" s="238" t="str">
        <f>IF(P88="","",$B88*'AEO 2017_Table 13'!R$16/'AEO 2017_Table 13'!$C$16)</f>
        <v/>
      </c>
      <c r="R88" s="238" t="str">
        <f>IF(Q88="","",$B88*'AEO 2017_Table 13'!S$16/'AEO 2017_Table 13'!$C$16)</f>
        <v/>
      </c>
      <c r="S88" s="238" t="str">
        <f>IF(R88="","",$B88*'AEO 2017_Table 13'!T$16/'AEO 2017_Table 13'!$C$16)</f>
        <v/>
      </c>
      <c r="T88" s="238" t="str">
        <f>IF(S88="","",$B88*'AEO 2017_Table 13'!U$16/'AEO 2017_Table 13'!$C$16)</f>
        <v/>
      </c>
      <c r="U88" s="238" t="str">
        <f>IF(T88="","",$B88*'AEO 2017_Table 13'!V$16/'AEO 2017_Table 13'!$C$16)</f>
        <v/>
      </c>
      <c r="V88" s="238" t="str">
        <f>IF(U88="","",$B88*'AEO 2017_Table 13'!W$16/'AEO 2017_Table 13'!$C$16)</f>
        <v/>
      </c>
      <c r="W88" s="238" t="str">
        <f>IF(V88="","",$B88*'AEO 2017_Table 13'!X$16/'AEO 2017_Table 13'!$C$16)</f>
        <v/>
      </c>
      <c r="X88" s="238" t="str">
        <f>IF(W88="","",$B88*'AEO 2017_Table 13'!Y$16/'AEO 2017_Table 13'!$C$16)</f>
        <v/>
      </c>
      <c r="Y88" s="238" t="str">
        <f>IF(X88="","",$B88*'AEO 2017_Table 13'!Z$16/'AEO 2017_Table 13'!$C$16)</f>
        <v/>
      </c>
      <c r="Z88" s="238" t="str">
        <f>IF(Y88="","",$B88*'AEO 2017_Table 13'!AA$16/'AEO 2017_Table 13'!$C$16)</f>
        <v/>
      </c>
      <c r="AA88" s="238" t="str">
        <f>IF(Z88="","",$B88*'AEO 2017_Table 13'!AB$16/'AEO 2017_Table 13'!$C$16)</f>
        <v/>
      </c>
      <c r="AB88" s="238" t="str">
        <f>IF(AA88="","",$B88*'AEO 2017_Table 13'!AC$16/'AEO 2017_Table 13'!$C$16)</f>
        <v/>
      </c>
      <c r="AC88" s="238" t="str">
        <f>IF(AB88="","",$B88*'AEO 2017_Table 13'!AD$16/'AEO 2017_Table 13'!$C$16)</f>
        <v/>
      </c>
      <c r="AD88" s="238" t="str">
        <f>IF(AC88="","",$B88*'AEO 2017_Table 13'!AE$16/'AEO 2017_Table 13'!$C$16)</f>
        <v/>
      </c>
      <c r="AE88" s="238" t="str">
        <f>IF(AD88="","",$B88*'AEO 2017_Table 13'!AF$16/'AEO 2017_Table 13'!$C$16)</f>
        <v/>
      </c>
      <c r="AF88" s="238" t="str">
        <f>IF(AE88="","",$B88*'AEO 2017_Table 13'!AG$16/'AEO 2017_Table 13'!$C$16)</f>
        <v/>
      </c>
      <c r="AG88" s="238" t="str">
        <f>IF(AF88="","",$B88*'AEO 2017_Table 13'!AH$16/'AEO 2017_Table 13'!$C$16)</f>
        <v/>
      </c>
      <c r="AH88" s="238" t="str">
        <f>IF(AG88="","",$B88*'AEO 2017_Table 13'!AI$16/'AEO 2017_Table 13'!$C$16)</f>
        <v/>
      </c>
      <c r="AI88" s="238" t="str">
        <f>IF(AH88="","",$B88*'AEO 2017_Table 13'!AJ$16/'AEO 2017_Table 13'!$C$16)</f>
        <v/>
      </c>
      <c r="AJ88" s="238" t="str">
        <f>IF(AI88="","",$B88*'AEO 2017_Table 13'!AK$16/'AEO 2017_Table 13'!$C$16)</f>
        <v/>
      </c>
      <c r="AK88" s="238" t="str">
        <f>IF(AJ88="","",$B88*'AEO 2017_Table 13'!AL$16/'AEO 2017_Table 13'!$C$16)</f>
        <v/>
      </c>
    </row>
    <row r="89" spans="1:37" x14ac:dyDescent="0.25">
      <c r="A89" s="215" t="s">
        <v>1461</v>
      </c>
      <c r="B89" s="195">
        <v>232.24126946372908</v>
      </c>
      <c r="C89" s="195">
        <f>IF(B89="","",$B89*'AEO 2017_Table 13'!D$16/'AEO 2017_Table 13'!$C$16)</f>
        <v>227.94053226082309</v>
      </c>
      <c r="D89" s="195">
        <f>IF(C89="","",$B89*'AEO 2017_Table 13'!E$16/'AEO 2017_Table 13'!$C$16)</f>
        <v>239.33147156741788</v>
      </c>
      <c r="E89" s="195">
        <f>IF(D89="","",$B89*'AEO 2017_Table 13'!F$16/'AEO 2017_Table 13'!$C$16)</f>
        <v>250.42991431728117</v>
      </c>
      <c r="F89" s="195">
        <f>IF(E89="","",$B89*'AEO 2017_Table 13'!G$16/'AEO 2017_Table 13'!$C$16)</f>
        <v>258.05650902273032</v>
      </c>
      <c r="G89" s="195">
        <f>IF(F89="","",$B89*'AEO 2017_Table 13'!H$16/'AEO 2017_Table 13'!$C$16)</f>
        <v>264.8474876471733</v>
      </c>
      <c r="H89" s="195">
        <f>IF(G89="","",$B89*'AEO 2017_Table 13'!I$16/'AEO 2017_Table 13'!$C$16)</f>
        <v>265.93319404029995</v>
      </c>
      <c r="I89" s="195">
        <f>IF(H89="","",$B89*'AEO 2017_Table 13'!J$16/'AEO 2017_Table 13'!$C$16)</f>
        <v>269.57054327924141</v>
      </c>
      <c r="J89" s="195">
        <f>IF(I89="","",$B89*'AEO 2017_Table 13'!K$16/'AEO 2017_Table 13'!$C$16)</f>
        <v>274.40824010419635</v>
      </c>
      <c r="K89" s="195">
        <f>IF(J89="","",$B89*'AEO 2017_Table 13'!L$16/'AEO 2017_Table 13'!$C$16)</f>
        <v>278.97185134936495</v>
      </c>
      <c r="L89" s="195">
        <f>IF(K89="","",$B89*'AEO 2017_Table 13'!M$16/'AEO 2017_Table 13'!$C$16)</f>
        <v>283.22803450353661</v>
      </c>
      <c r="M89" s="195">
        <f>IF(L89="","",$B89*'AEO 2017_Table 13'!N$16/'AEO 2017_Table 13'!$C$16)</f>
        <v>287.35693019414327</v>
      </c>
      <c r="N89" s="195">
        <f>IF(M89="","",$B89*'AEO 2017_Table 13'!O$16/'AEO 2017_Table 13'!$C$16)</f>
        <v>288.97914946606124</v>
      </c>
      <c r="O89" s="195">
        <f>IF(N89="","",$B89*'AEO 2017_Table 13'!P$16/'AEO 2017_Table 13'!$C$16)</f>
        <v>291.32932828510764</v>
      </c>
      <c r="P89" s="195">
        <f>IF(O89="","",$B89*'AEO 2017_Table 13'!Q$16/'AEO 2017_Table 13'!$C$16)</f>
        <v>293.08644683840373</v>
      </c>
      <c r="Q89" s="195">
        <f>IF(P89="","",$B89*'AEO 2017_Table 13'!R$16/'AEO 2017_Table 13'!$C$16)</f>
        <v>294.25057385568141</v>
      </c>
      <c r="R89" s="195">
        <f>IF(Q89="","",$B89*'AEO 2017_Table 13'!S$16/'AEO 2017_Table 13'!$C$16)</f>
        <v>295.72778198440864</v>
      </c>
      <c r="S89" s="195">
        <f>IF(R89="","",$B89*'AEO 2017_Table 13'!T$16/'AEO 2017_Table 13'!$C$16)</f>
        <v>297.90652307833079</v>
      </c>
      <c r="T89" s="195">
        <f>IF(S89="","",$B89*'AEO 2017_Table 13'!U$16/'AEO 2017_Table 13'!$C$16)</f>
        <v>300.2353613156078</v>
      </c>
      <c r="U89" s="195">
        <f>IF(T89="","",$B89*'AEO 2017_Table 13'!V$16/'AEO 2017_Table 13'!$C$16)</f>
        <v>303.4031919819729</v>
      </c>
      <c r="V89" s="195">
        <f>IF(U89="","",$B89*'AEO 2017_Table 13'!W$16/'AEO 2017_Table 13'!$C$16)</f>
        <v>307.82287457722884</v>
      </c>
      <c r="W89" s="195">
        <f>IF(V89="","",$B89*'AEO 2017_Table 13'!X$16/'AEO 2017_Table 13'!$C$16)</f>
        <v>311.34792802538612</v>
      </c>
      <c r="X89" s="195">
        <f>IF(W89="","",$B89*'AEO 2017_Table 13'!Y$16/'AEO 2017_Table 13'!$C$16)</f>
        <v>314.41616071894413</v>
      </c>
      <c r="Y89" s="195">
        <f>IF(X89="","",$B89*'AEO 2017_Table 13'!Z$16/'AEO 2017_Table 13'!$C$16)</f>
        <v>316.80163225534506</v>
      </c>
      <c r="Z89" s="195">
        <f>IF(Y89="","",$B89*'AEO 2017_Table 13'!AA$16/'AEO 2017_Table 13'!$C$16)</f>
        <v>319.75076491465614</v>
      </c>
      <c r="AA89" s="195">
        <f>IF(Z89="","",$B89*'AEO 2017_Table 13'!AB$16/'AEO 2017_Table 13'!$C$16)</f>
        <v>321.33553507387973</v>
      </c>
      <c r="AB89" s="195">
        <f>IF(AA89="","",$B89*'AEO 2017_Table 13'!AC$16/'AEO 2017_Table 13'!$C$16)</f>
        <v>322.91440306737246</v>
      </c>
      <c r="AC89" s="195">
        <f>IF(AB89="","",$B89*'AEO 2017_Table 13'!AD$16/'AEO 2017_Table 13'!$C$16)</f>
        <v>323.8686810305843</v>
      </c>
      <c r="AD89" s="195">
        <f>IF(AC89="","",$B89*'AEO 2017_Table 13'!AE$16/'AEO 2017_Table 13'!$C$16)</f>
        <v>325.51974960748686</v>
      </c>
      <c r="AE89" s="195">
        <f>IF(AD89="","",$B89*'AEO 2017_Table 13'!AF$16/'AEO 2017_Table 13'!$C$16)</f>
        <v>327.89594263007501</v>
      </c>
      <c r="AF89" s="195">
        <f>IF(AE89="","",$B89*'AEO 2017_Table 13'!AG$16/'AEO 2017_Table 13'!$C$16)</f>
        <v>330.22770188095973</v>
      </c>
      <c r="AG89" s="195">
        <f>IF(AF89="","",$B89*'AEO 2017_Table 13'!AH$16/'AEO 2017_Table 13'!$C$16)</f>
        <v>332.25372551049668</v>
      </c>
      <c r="AH89" s="195">
        <f>IF(AG89="","",$B89*'AEO 2017_Table 13'!AI$16/'AEO 2017_Table 13'!$C$16)</f>
        <v>334.53075012110241</v>
      </c>
      <c r="AI89" s="195">
        <f>IF(AH89="","",$B89*'AEO 2017_Table 13'!AJ$16/'AEO 2017_Table 13'!$C$16)</f>
        <v>336.41620426637576</v>
      </c>
      <c r="AJ89" s="195">
        <f>IF(AI89="","",$B89*'AEO 2017_Table 13'!AK$16/'AEO 2017_Table 13'!$C$16)</f>
        <v>338.32666744286098</v>
      </c>
      <c r="AK89" s="195">
        <f>IF(AJ89="","",$B89*'AEO 2017_Table 13'!AL$16/'AEO 2017_Table 13'!$C$16)</f>
        <v>340.73488852053629</v>
      </c>
    </row>
    <row r="90" spans="1:37" x14ac:dyDescent="0.25">
      <c r="A90" s="214" t="s">
        <v>1462</v>
      </c>
      <c r="B90" s="198">
        <v>4.2740964336827938</v>
      </c>
      <c r="C90" s="198">
        <f>IF(B90="","",$B90*'AEO 2017_Table 13'!D$16/'AEO 2017_Table 13'!$C$16)</f>
        <v>4.1949469974796889</v>
      </c>
      <c r="D90" s="198">
        <f>IF(C90="","",$B90*'AEO 2017_Table 13'!E$16/'AEO 2017_Table 13'!$C$16)</f>
        <v>4.4045823184501405</v>
      </c>
      <c r="E90" s="198">
        <f>IF(D90="","",$B90*'AEO 2017_Table 13'!F$16/'AEO 2017_Table 13'!$C$16)</f>
        <v>4.6088346233318607</v>
      </c>
      <c r="F90" s="198">
        <f>IF(E90="","",$B90*'AEO 2017_Table 13'!G$16/'AEO 2017_Table 13'!$C$16)</f>
        <v>4.749192111503425</v>
      </c>
      <c r="G90" s="198">
        <f>IF(F90="","",$B90*'AEO 2017_Table 13'!H$16/'AEO 2017_Table 13'!$C$16)</f>
        <v>4.8741711799823841</v>
      </c>
      <c r="H90" s="198">
        <f>IF(G90="","",$B90*'AEO 2017_Table 13'!I$16/'AEO 2017_Table 13'!$C$16)</f>
        <v>4.8941521843646134</v>
      </c>
      <c r="I90" s="198">
        <f>IF(H90="","",$B90*'AEO 2017_Table 13'!J$16/'AEO 2017_Table 13'!$C$16)</f>
        <v>4.9610928338284959</v>
      </c>
      <c r="J90" s="198">
        <f>IF(I90="","",$B90*'AEO 2017_Table 13'!K$16/'AEO 2017_Table 13'!$C$16)</f>
        <v>5.0501243087016876</v>
      </c>
      <c r="K90" s="198">
        <f>IF(J90="","",$B90*'AEO 2017_Table 13'!L$16/'AEO 2017_Table 13'!$C$16)</f>
        <v>5.1341115974067915</v>
      </c>
      <c r="L90" s="198">
        <f>IF(K90="","",$B90*'AEO 2017_Table 13'!M$16/'AEO 2017_Table 13'!$C$16)</f>
        <v>5.2124410746885488</v>
      </c>
      <c r="M90" s="198">
        <f>IF(L90="","",$B90*'AEO 2017_Table 13'!N$16/'AEO 2017_Table 13'!$C$16)</f>
        <v>5.2884279928922773</v>
      </c>
      <c r="N90" s="198">
        <f>IF(M90="","",$B90*'AEO 2017_Table 13'!O$16/'AEO 2017_Table 13'!$C$16)</f>
        <v>5.3182828142199696</v>
      </c>
      <c r="O90" s="198">
        <f>IF(N90="","",$B90*'AEO 2017_Table 13'!P$16/'AEO 2017_Table 13'!$C$16)</f>
        <v>5.3615347777155096</v>
      </c>
      <c r="P90" s="198">
        <f>IF(O90="","",$B90*'AEO 2017_Table 13'!Q$16/'AEO 2017_Table 13'!$C$16)</f>
        <v>5.3938722436600521</v>
      </c>
      <c r="Q90" s="198">
        <f>IF(P90="","",$B90*'AEO 2017_Table 13'!R$16/'AEO 2017_Table 13'!$C$16)</f>
        <v>5.4152964769343077</v>
      </c>
      <c r="R90" s="198">
        <f>IF(Q90="","",$B90*'AEO 2017_Table 13'!S$16/'AEO 2017_Table 13'!$C$16)</f>
        <v>5.442482558070445</v>
      </c>
      <c r="S90" s="198">
        <f>IF(R90="","",$B90*'AEO 2017_Table 13'!T$16/'AEO 2017_Table 13'!$C$16)</f>
        <v>5.4825794347407877</v>
      </c>
      <c r="T90" s="198">
        <f>IF(S90="","",$B90*'AEO 2017_Table 13'!U$16/'AEO 2017_Table 13'!$C$16)</f>
        <v>5.5254386527753514</v>
      </c>
      <c r="U90" s="198">
        <f>IF(T90="","",$B90*'AEO 2017_Table 13'!V$16/'AEO 2017_Table 13'!$C$16)</f>
        <v>5.5837384277674795</v>
      </c>
      <c r="V90" s="198">
        <f>IF(U90="","",$B90*'AEO 2017_Table 13'!W$16/'AEO 2017_Table 13'!$C$16)</f>
        <v>5.6650768981522353</v>
      </c>
      <c r="W90" s="198">
        <f>IF(V90="","",$B90*'AEO 2017_Table 13'!X$16/'AEO 2017_Table 13'!$C$16)</f>
        <v>5.7299508906433205</v>
      </c>
      <c r="X90" s="198">
        <f>IF(W90="","",$B90*'AEO 2017_Table 13'!Y$16/'AEO 2017_Table 13'!$C$16)</f>
        <v>5.7864176953741362</v>
      </c>
      <c r="Y90" s="198">
        <f>IF(X90="","",$B90*'AEO 2017_Table 13'!Z$16/'AEO 2017_Table 13'!$C$16)</f>
        <v>5.8303191751151235</v>
      </c>
      <c r="Z90" s="198">
        <f>IF(Y90="","",$B90*'AEO 2017_Table 13'!AA$16/'AEO 2017_Table 13'!$C$16)</f>
        <v>5.8845940996826869</v>
      </c>
      <c r="AA90" s="198">
        <f>IF(Z90="","",$B90*'AEO 2017_Table 13'!AB$16/'AEO 2017_Table 13'!$C$16)</f>
        <v>5.9137597191326021</v>
      </c>
      <c r="AB90" s="198">
        <f>IF(AA90="","",$B90*'AEO 2017_Table 13'!AC$16/'AEO 2017_Table 13'!$C$16)</f>
        <v>5.9428167169514046</v>
      </c>
      <c r="AC90" s="198">
        <f>IF(AB90="","",$B90*'AEO 2017_Table 13'!AD$16/'AEO 2017_Table 13'!$C$16)</f>
        <v>5.9603789531927234</v>
      </c>
      <c r="AD90" s="198">
        <f>IF(AC90="","",$B90*'AEO 2017_Table 13'!AE$16/'AEO 2017_Table 13'!$C$16)</f>
        <v>5.9907647081991433</v>
      </c>
      <c r="AE90" s="198">
        <f>IF(AD90="","",$B90*'AEO 2017_Table 13'!AF$16/'AEO 2017_Table 13'!$C$16)</f>
        <v>6.0344954290440542</v>
      </c>
      <c r="AF90" s="198">
        <f>IF(AE90="","",$B90*'AEO 2017_Table 13'!AG$16/'AEO 2017_Table 13'!$C$16)</f>
        <v>6.0774084045088639</v>
      </c>
      <c r="AG90" s="198">
        <f>IF(AF90="","",$B90*'AEO 2017_Table 13'!AH$16/'AEO 2017_Table 13'!$C$16)</f>
        <v>6.114694716237854</v>
      </c>
      <c r="AH90" s="198">
        <f>IF(AG90="","",$B90*'AEO 2017_Table 13'!AI$16/'AEO 2017_Table 13'!$C$16)</f>
        <v>6.1566003723258982</v>
      </c>
      <c r="AI90" s="198">
        <f>IF(AH90="","",$B90*'AEO 2017_Table 13'!AJ$16/'AEO 2017_Table 13'!$C$16)</f>
        <v>6.1912996867793257</v>
      </c>
      <c r="AJ90" s="198">
        <f>IF(AI90="","",$B90*'AEO 2017_Table 13'!AK$16/'AEO 2017_Table 13'!$C$16)</f>
        <v>6.2264592597017137</v>
      </c>
      <c r="AK90" s="198">
        <f>IF(AJ90="","",$B90*'AEO 2017_Table 13'!AL$16/'AEO 2017_Table 13'!$C$16)</f>
        <v>6.270779414958267</v>
      </c>
    </row>
    <row r="91" spans="1:37" x14ac:dyDescent="0.25">
      <c r="A91" s="214" t="s">
        <v>1463</v>
      </c>
      <c r="B91" s="198">
        <v>14.456249203329101</v>
      </c>
      <c r="C91" s="198">
        <f>IF(B91="","",$B91*'AEO 2017_Table 13'!D$16/'AEO 2017_Table 13'!$C$16)</f>
        <v>14.188542568299068</v>
      </c>
      <c r="D91" s="198">
        <f>IF(C91="","",$B91*'AEO 2017_Table 13'!E$16/'AEO 2017_Table 13'!$C$16)</f>
        <v>14.897590782065611</v>
      </c>
      <c r="E91" s="198">
        <f>IF(D91="","",$B91*'AEO 2017_Table 13'!F$16/'AEO 2017_Table 13'!$C$16)</f>
        <v>15.588432054727367</v>
      </c>
      <c r="F91" s="198">
        <f>IF(E91="","",$B91*'AEO 2017_Table 13'!G$16/'AEO 2017_Table 13'!$C$16)</f>
        <v>16.0631622949183</v>
      </c>
      <c r="G91" s="198">
        <f>IF(F91="","",$B91*'AEO 2017_Table 13'!H$16/'AEO 2017_Table 13'!$C$16)</f>
        <v>16.485878203921551</v>
      </c>
      <c r="H91" s="198">
        <f>IF(G91="","",$B91*'AEO 2017_Table 13'!I$16/'AEO 2017_Table 13'!$C$16)</f>
        <v>16.553459828052908</v>
      </c>
      <c r="I91" s="198">
        <f>IF(H91="","",$B91*'AEO 2017_Table 13'!J$16/'AEO 2017_Table 13'!$C$16)</f>
        <v>16.779872761288654</v>
      </c>
      <c r="J91" s="198">
        <f>IF(I91="","",$B91*'AEO 2017_Table 13'!K$16/'AEO 2017_Table 13'!$C$16)</f>
        <v>17.081003352906546</v>
      </c>
      <c r="K91" s="198">
        <f>IF(J91="","",$B91*'AEO 2017_Table 13'!L$16/'AEO 2017_Table 13'!$C$16)</f>
        <v>17.365073025706781</v>
      </c>
      <c r="L91" s="198">
        <f>IF(K91="","",$B91*'AEO 2017_Table 13'!M$16/'AEO 2017_Table 13'!$C$16)</f>
        <v>17.630006318888444</v>
      </c>
      <c r="M91" s="198">
        <f>IF(L91="","",$B91*'AEO 2017_Table 13'!N$16/'AEO 2017_Table 13'!$C$16)</f>
        <v>17.887016389388787</v>
      </c>
      <c r="N91" s="198">
        <f>IF(M91="","",$B91*'AEO 2017_Table 13'!O$16/'AEO 2017_Table 13'!$C$16)</f>
        <v>17.987994161821057</v>
      </c>
      <c r="O91" s="198">
        <f>IF(N91="","",$B91*'AEO 2017_Table 13'!P$16/'AEO 2017_Table 13'!$C$16)</f>
        <v>18.134285003061162</v>
      </c>
      <c r="P91" s="198">
        <f>IF(O91="","",$B91*'AEO 2017_Table 13'!Q$16/'AEO 2017_Table 13'!$C$16)</f>
        <v>18.243659808602384</v>
      </c>
      <c r="Q91" s="198">
        <f>IF(P91="","",$B91*'AEO 2017_Table 13'!R$16/'AEO 2017_Table 13'!$C$16)</f>
        <v>18.316122856642703</v>
      </c>
      <c r="R91" s="198">
        <f>IF(Q91="","",$B91*'AEO 2017_Table 13'!S$16/'AEO 2017_Table 13'!$C$16)</f>
        <v>18.408074166086436</v>
      </c>
      <c r="S91" s="198">
        <f>IF(R91="","",$B91*'AEO 2017_Table 13'!T$16/'AEO 2017_Table 13'!$C$16)</f>
        <v>18.543693577210053</v>
      </c>
      <c r="T91" s="198">
        <f>IF(S91="","",$B91*'AEO 2017_Table 13'!U$16/'AEO 2017_Table 13'!$C$16)</f>
        <v>18.688656037973626</v>
      </c>
      <c r="U91" s="198">
        <f>IF(T91="","",$B91*'AEO 2017_Table 13'!V$16/'AEO 2017_Table 13'!$C$16)</f>
        <v>18.885842996401244</v>
      </c>
      <c r="V91" s="198">
        <f>IF(U91="","",$B91*'AEO 2017_Table 13'!W$16/'AEO 2017_Table 13'!$C$16)</f>
        <v>19.160953587831315</v>
      </c>
      <c r="W91" s="198">
        <f>IF(V91="","",$B91*'AEO 2017_Table 13'!X$16/'AEO 2017_Table 13'!$C$16)</f>
        <v>19.380376480322752</v>
      </c>
      <c r="X91" s="198">
        <f>IF(W91="","",$B91*'AEO 2017_Table 13'!Y$16/'AEO 2017_Table 13'!$C$16)</f>
        <v>19.571363795085102</v>
      </c>
      <c r="Y91" s="198">
        <f>IF(X91="","",$B91*'AEO 2017_Table 13'!Z$16/'AEO 2017_Table 13'!$C$16)</f>
        <v>19.719851490994142</v>
      </c>
      <c r="Z91" s="198">
        <f>IF(Y91="","",$B91*'AEO 2017_Table 13'!AA$16/'AEO 2017_Table 13'!$C$16)</f>
        <v>19.903425223410963</v>
      </c>
      <c r="AA91" s="198">
        <f>IF(Z91="","",$B91*'AEO 2017_Table 13'!AB$16/'AEO 2017_Table 13'!$C$16)</f>
        <v>20.002071912712299</v>
      </c>
      <c r="AB91" s="198">
        <f>IF(AA91="","",$B91*'AEO 2017_Table 13'!AC$16/'AEO 2017_Table 13'!$C$16)</f>
        <v>20.100351211761065</v>
      </c>
      <c r="AC91" s="198">
        <f>IF(AB91="","",$B91*'AEO 2017_Table 13'!AD$16/'AEO 2017_Table 13'!$C$16)</f>
        <v>20.159751851782069</v>
      </c>
      <c r="AD91" s="198">
        <f>IF(AC91="","",$B91*'AEO 2017_Table 13'!AE$16/'AEO 2017_Table 13'!$C$16)</f>
        <v>20.262525397821513</v>
      </c>
      <c r="AE91" s="198">
        <f>IF(AD91="","",$B91*'AEO 2017_Table 13'!AF$16/'AEO 2017_Table 13'!$C$16)</f>
        <v>20.410435537001625</v>
      </c>
      <c r="AF91" s="198">
        <f>IF(AE91="","",$B91*'AEO 2017_Table 13'!AG$16/'AEO 2017_Table 13'!$C$16)</f>
        <v>20.555579821179862</v>
      </c>
      <c r="AG91" s="198">
        <f>IF(AF91="","",$B91*'AEO 2017_Table 13'!AH$16/'AEO 2017_Table 13'!$C$16)</f>
        <v>20.681693076365082</v>
      </c>
      <c r="AH91" s="198">
        <f>IF(AG91="","",$B91*'AEO 2017_Table 13'!AI$16/'AEO 2017_Table 13'!$C$16)</f>
        <v>20.823430310617372</v>
      </c>
      <c r="AI91" s="198">
        <f>IF(AH91="","",$B91*'AEO 2017_Table 13'!AJ$16/'AEO 2017_Table 13'!$C$16)</f>
        <v>20.940793581359305</v>
      </c>
      <c r="AJ91" s="198">
        <f>IF(AI91="","",$B91*'AEO 2017_Table 13'!AK$16/'AEO 2017_Table 13'!$C$16)</f>
        <v>21.059713581395595</v>
      </c>
      <c r="AK91" s="198">
        <f>IF(AJ91="","",$B91*'AEO 2017_Table 13'!AL$16/'AEO 2017_Table 13'!$C$16)</f>
        <v>21.209617360840014</v>
      </c>
    </row>
    <row r="92" spans="1:37" x14ac:dyDescent="0.25">
      <c r="A92" s="208" t="s">
        <v>1464</v>
      </c>
      <c r="B92" s="197">
        <v>2.1160751488200003</v>
      </c>
      <c r="C92" s="197">
        <f>IF(B92="","",$B92*'AEO 2017_Table 13'!D$16/'AEO 2017_Table 13'!$C$16)</f>
        <v>2.0768888184245045</v>
      </c>
      <c r="D92" s="197">
        <f>IF(C92="","",$B92*'AEO 2017_Table 13'!E$16/'AEO 2017_Table 13'!$C$16)</f>
        <v>2.1806777946218068</v>
      </c>
      <c r="E92" s="197">
        <f>IF(D92="","",$B92*'AEO 2017_Table 13'!F$16/'AEO 2017_Table 13'!$C$16)</f>
        <v>2.2818016773314427</v>
      </c>
      <c r="F92" s="197">
        <f>IF(E92="","",$B92*'AEO 2017_Table 13'!G$16/'AEO 2017_Table 13'!$C$16)</f>
        <v>2.351291684700024</v>
      </c>
      <c r="G92" s="197">
        <f>IF(F92="","",$B92*'AEO 2017_Table 13'!H$16/'AEO 2017_Table 13'!$C$16)</f>
        <v>2.4131679444041412</v>
      </c>
      <c r="H92" s="197">
        <f>IF(G92="","",$B92*'AEO 2017_Table 13'!I$16/'AEO 2017_Table 13'!$C$16)</f>
        <v>2.4230603994476203</v>
      </c>
      <c r="I92" s="197">
        <f>IF(H92="","",$B92*'AEO 2017_Table 13'!J$16/'AEO 2017_Table 13'!$C$16)</f>
        <v>2.4562022452094707</v>
      </c>
      <c r="J92" s="197">
        <f>IF(I92="","",$B92*'AEO 2017_Table 13'!K$16/'AEO 2017_Table 13'!$C$16)</f>
        <v>2.5002811035986396</v>
      </c>
      <c r="K92" s="197">
        <f>IF(J92="","",$B92*'AEO 2017_Table 13'!L$16/'AEO 2017_Table 13'!$C$16)</f>
        <v>2.5418626208159534</v>
      </c>
      <c r="L92" s="197">
        <f>IF(K92="","",$B92*'AEO 2017_Table 13'!M$16/'AEO 2017_Table 13'!$C$16)</f>
        <v>2.5806429953039407</v>
      </c>
      <c r="M92" s="197">
        <f>IF(L92="","",$B92*'AEO 2017_Table 13'!N$16/'AEO 2017_Table 13'!$C$16)</f>
        <v>2.6182635852324125</v>
      </c>
      <c r="N92" s="197">
        <f>IF(M92="","",$B92*'AEO 2017_Table 13'!O$16/'AEO 2017_Table 13'!$C$16)</f>
        <v>2.6330444977514023</v>
      </c>
      <c r="O92" s="197">
        <f>IF(N92="","",$B92*'AEO 2017_Table 13'!P$16/'AEO 2017_Table 13'!$C$16)</f>
        <v>2.654458241336902</v>
      </c>
      <c r="P92" s="197">
        <f>IF(O92="","",$B92*'AEO 2017_Table 13'!Q$16/'AEO 2017_Table 13'!$C$16)</f>
        <v>2.6704682937825597</v>
      </c>
      <c r="Q92" s="197">
        <f>IF(P92="","",$B92*'AEO 2017_Table 13'!R$16/'AEO 2017_Table 13'!$C$16)</f>
        <v>2.6810752813219381</v>
      </c>
      <c r="R92" s="197">
        <f>IF(Q92="","",$B92*'AEO 2017_Table 13'!S$16/'AEO 2017_Table 13'!$C$16)</f>
        <v>2.6945349193012378</v>
      </c>
      <c r="S92" s="197">
        <f>IF(R92="","",$B92*'AEO 2017_Table 13'!T$16/'AEO 2017_Table 13'!$C$16)</f>
        <v>2.7143866015418978</v>
      </c>
      <c r="T92" s="197">
        <f>IF(S92="","",$B92*'AEO 2017_Table 13'!U$16/'AEO 2017_Table 13'!$C$16)</f>
        <v>2.7356058996059454</v>
      </c>
      <c r="U92" s="197">
        <f>IF(T92="","",$B92*'AEO 2017_Table 13'!V$16/'AEO 2017_Table 13'!$C$16)</f>
        <v>2.7644697090582615</v>
      </c>
      <c r="V92" s="197">
        <f>IF(U92="","",$B92*'AEO 2017_Table 13'!W$16/'AEO 2017_Table 13'!$C$16)</f>
        <v>2.804739814914508</v>
      </c>
      <c r="W92" s="197">
        <f>IF(V92="","",$B92*'AEO 2017_Table 13'!X$16/'AEO 2017_Table 13'!$C$16)</f>
        <v>2.836858473312871</v>
      </c>
      <c r="X92" s="197">
        <f>IF(W92="","",$B92*'AEO 2017_Table 13'!Y$16/'AEO 2017_Table 13'!$C$16)</f>
        <v>2.8648147920525475</v>
      </c>
      <c r="Y92" s="197">
        <f>IF(X92="","",$B92*'AEO 2017_Table 13'!Z$16/'AEO 2017_Table 13'!$C$16)</f>
        <v>2.8865501065728809</v>
      </c>
      <c r="Z92" s="197">
        <f>IF(Y92="","",$B92*'AEO 2017_Table 13'!AA$16/'AEO 2017_Table 13'!$C$16)</f>
        <v>2.9134212408262878</v>
      </c>
      <c r="AA92" s="197">
        <f>IF(Z92="","",$B92*'AEO 2017_Table 13'!AB$16/'AEO 2017_Table 13'!$C$16)</f>
        <v>2.9278609343323914</v>
      </c>
      <c r="AB92" s="197">
        <f>IF(AA92="","",$B92*'AEO 2017_Table 13'!AC$16/'AEO 2017_Table 13'!$C$16)</f>
        <v>2.9422468500312329</v>
      </c>
      <c r="AC92" s="197">
        <f>IF(AB92="","",$B92*'AEO 2017_Table 13'!AD$16/'AEO 2017_Table 13'!$C$16)</f>
        <v>2.9509417899429984</v>
      </c>
      <c r="AD92" s="197">
        <f>IF(AC92="","",$B92*'AEO 2017_Table 13'!AE$16/'AEO 2017_Table 13'!$C$16)</f>
        <v>2.9659855640002473</v>
      </c>
      <c r="AE92" s="197">
        <f>IF(AD92="","",$B92*'AEO 2017_Table 13'!AF$16/'AEO 2017_Table 13'!$C$16)</f>
        <v>2.9876363369895143</v>
      </c>
      <c r="AF92" s="197">
        <f>IF(AE92="","",$B92*'AEO 2017_Table 13'!AG$16/'AEO 2017_Table 13'!$C$16)</f>
        <v>3.0088822499800085</v>
      </c>
      <c r="AG92" s="197">
        <f>IF(AF92="","",$B92*'AEO 2017_Table 13'!AH$16/'AEO 2017_Table 13'!$C$16)</f>
        <v>3.0273424412426762</v>
      </c>
      <c r="AH92" s="197">
        <f>IF(AG92="","",$B92*'AEO 2017_Table 13'!AI$16/'AEO 2017_Table 13'!$C$16)</f>
        <v>3.0480896374790749</v>
      </c>
      <c r="AI92" s="197">
        <f>IF(AH92="","",$B92*'AEO 2017_Table 13'!AJ$16/'AEO 2017_Table 13'!$C$16)</f>
        <v>3.0652690245460907</v>
      </c>
      <c r="AJ92" s="197">
        <f>IF(AI92="","",$B92*'AEO 2017_Table 13'!AK$16/'AEO 2017_Table 13'!$C$16)</f>
        <v>3.0826762823510072</v>
      </c>
      <c r="AK92" s="197">
        <f>IF(AJ92="","",$B92*'AEO 2017_Table 13'!AL$16/'AEO 2017_Table 13'!$C$16)</f>
        <v>3.1046188801808432</v>
      </c>
    </row>
    <row r="93" spans="1:37" x14ac:dyDescent="0.25">
      <c r="A93" s="221" t="s">
        <v>1465</v>
      </c>
      <c r="B93" s="223"/>
      <c r="C93" s="223" t="str">
        <f>IF(B93="","",$B93*'AEO 2017_Table 13'!D$16/'AEO 2017_Table 13'!$C$16)</f>
        <v/>
      </c>
      <c r="D93" s="223" t="str">
        <f>IF(C93="","",$B93*'AEO 2017_Table 13'!E$16/'AEO 2017_Table 13'!$C$16)</f>
        <v/>
      </c>
      <c r="E93" s="223" t="str">
        <f>IF(D93="","",$B93*'AEO 2017_Table 13'!F$16/'AEO 2017_Table 13'!$C$16)</f>
        <v/>
      </c>
      <c r="F93" s="223" t="str">
        <f>IF(E93="","",$B93*'AEO 2017_Table 13'!G$16/'AEO 2017_Table 13'!$C$16)</f>
        <v/>
      </c>
      <c r="G93" s="223" t="str">
        <f>IF(F93="","",$B93*'AEO 2017_Table 13'!H$16/'AEO 2017_Table 13'!$C$16)</f>
        <v/>
      </c>
      <c r="H93" s="223" t="str">
        <f>IF(G93="","",$B93*'AEO 2017_Table 13'!I$16/'AEO 2017_Table 13'!$C$16)</f>
        <v/>
      </c>
      <c r="I93" s="223" t="str">
        <f>IF(H93="","",$B93*'AEO 2017_Table 13'!J$16/'AEO 2017_Table 13'!$C$16)</f>
        <v/>
      </c>
      <c r="J93" s="223" t="str">
        <f>IF(I93="","",$B93*'AEO 2017_Table 13'!K$16/'AEO 2017_Table 13'!$C$16)</f>
        <v/>
      </c>
      <c r="K93" s="223" t="str">
        <f>IF(J93="","",$B93*'AEO 2017_Table 13'!L$16/'AEO 2017_Table 13'!$C$16)</f>
        <v/>
      </c>
      <c r="L93" s="223" t="str">
        <f>IF(K93="","",$B93*'AEO 2017_Table 13'!M$16/'AEO 2017_Table 13'!$C$16)</f>
        <v/>
      </c>
      <c r="M93" s="223" t="str">
        <f>IF(L93="","",$B93*'AEO 2017_Table 13'!N$16/'AEO 2017_Table 13'!$C$16)</f>
        <v/>
      </c>
      <c r="N93" s="223" t="str">
        <f>IF(M93="","",$B93*'AEO 2017_Table 13'!O$16/'AEO 2017_Table 13'!$C$16)</f>
        <v/>
      </c>
      <c r="O93" s="223" t="str">
        <f>IF(N93="","",$B93*'AEO 2017_Table 13'!P$16/'AEO 2017_Table 13'!$C$16)</f>
        <v/>
      </c>
      <c r="P93" s="223" t="str">
        <f>IF(O93="","",$B93*'AEO 2017_Table 13'!Q$16/'AEO 2017_Table 13'!$C$16)</f>
        <v/>
      </c>
      <c r="Q93" s="223" t="str">
        <f>IF(P93="","",$B93*'AEO 2017_Table 13'!R$16/'AEO 2017_Table 13'!$C$16)</f>
        <v/>
      </c>
      <c r="R93" s="223" t="str">
        <f>IF(Q93="","",$B93*'AEO 2017_Table 13'!S$16/'AEO 2017_Table 13'!$C$16)</f>
        <v/>
      </c>
      <c r="S93" s="223" t="str">
        <f>IF(R93="","",$B93*'AEO 2017_Table 13'!T$16/'AEO 2017_Table 13'!$C$16)</f>
        <v/>
      </c>
      <c r="T93" s="223" t="str">
        <f>IF(S93="","",$B93*'AEO 2017_Table 13'!U$16/'AEO 2017_Table 13'!$C$16)</f>
        <v/>
      </c>
      <c r="U93" s="223" t="str">
        <f>IF(T93="","",$B93*'AEO 2017_Table 13'!V$16/'AEO 2017_Table 13'!$C$16)</f>
        <v/>
      </c>
      <c r="V93" s="223" t="str">
        <f>IF(U93="","",$B93*'AEO 2017_Table 13'!W$16/'AEO 2017_Table 13'!$C$16)</f>
        <v/>
      </c>
      <c r="W93" s="223" t="str">
        <f>IF(V93="","",$B93*'AEO 2017_Table 13'!X$16/'AEO 2017_Table 13'!$C$16)</f>
        <v/>
      </c>
      <c r="X93" s="223" t="str">
        <f>IF(W93="","",$B93*'AEO 2017_Table 13'!Y$16/'AEO 2017_Table 13'!$C$16)</f>
        <v/>
      </c>
      <c r="Y93" s="223" t="str">
        <f>IF(X93="","",$B93*'AEO 2017_Table 13'!Z$16/'AEO 2017_Table 13'!$C$16)</f>
        <v/>
      </c>
      <c r="Z93" s="223" t="str">
        <f>IF(Y93="","",$B93*'AEO 2017_Table 13'!AA$16/'AEO 2017_Table 13'!$C$16)</f>
        <v/>
      </c>
      <c r="AA93" s="223" t="str">
        <f>IF(Z93="","",$B93*'AEO 2017_Table 13'!AB$16/'AEO 2017_Table 13'!$C$16)</f>
        <v/>
      </c>
      <c r="AB93" s="223" t="str">
        <f>IF(AA93="","",$B93*'AEO 2017_Table 13'!AC$16/'AEO 2017_Table 13'!$C$16)</f>
        <v/>
      </c>
      <c r="AC93" s="223" t="str">
        <f>IF(AB93="","",$B93*'AEO 2017_Table 13'!AD$16/'AEO 2017_Table 13'!$C$16)</f>
        <v/>
      </c>
      <c r="AD93" s="223" t="str">
        <f>IF(AC93="","",$B93*'AEO 2017_Table 13'!AE$16/'AEO 2017_Table 13'!$C$16)</f>
        <v/>
      </c>
      <c r="AE93" s="223" t="str">
        <f>IF(AD93="","",$B93*'AEO 2017_Table 13'!AF$16/'AEO 2017_Table 13'!$C$16)</f>
        <v/>
      </c>
      <c r="AF93" s="223" t="str">
        <f>IF(AE93="","",$B93*'AEO 2017_Table 13'!AG$16/'AEO 2017_Table 13'!$C$16)</f>
        <v/>
      </c>
      <c r="AG93" s="223" t="str">
        <f>IF(AF93="","",$B93*'AEO 2017_Table 13'!AH$16/'AEO 2017_Table 13'!$C$16)</f>
        <v/>
      </c>
      <c r="AH93" s="223" t="str">
        <f>IF(AG93="","",$B93*'AEO 2017_Table 13'!AI$16/'AEO 2017_Table 13'!$C$16)</f>
        <v/>
      </c>
      <c r="AI93" s="223" t="str">
        <f>IF(AH93="","",$B93*'AEO 2017_Table 13'!AJ$16/'AEO 2017_Table 13'!$C$16)</f>
        <v/>
      </c>
      <c r="AJ93" s="223" t="str">
        <f>IF(AI93="","",$B93*'AEO 2017_Table 13'!AK$16/'AEO 2017_Table 13'!$C$16)</f>
        <v/>
      </c>
      <c r="AK93" s="223" t="str">
        <f>IF(AJ93="","",$B93*'AEO 2017_Table 13'!AL$16/'AEO 2017_Table 13'!$C$16)</f>
        <v/>
      </c>
    </row>
    <row r="94" spans="1:37" x14ac:dyDescent="0.25">
      <c r="A94" s="219" t="s">
        <v>1466</v>
      </c>
      <c r="B94" s="220">
        <v>35.497240107066361</v>
      </c>
      <c r="C94" s="220">
        <f>IF(B94="","",$B94*'AEO 2017_Table 13'!D$16/'AEO 2017_Table 13'!$C$16)</f>
        <v>34.839887942735423</v>
      </c>
      <c r="D94" s="220">
        <f>IF(C94="","",$B94*'AEO 2017_Table 13'!E$16/'AEO 2017_Table 13'!$C$16)</f>
        <v>36.58095191704497</v>
      </c>
      <c r="E94" s="220">
        <f>IF(D94="","",$B94*'AEO 2017_Table 13'!F$16/'AEO 2017_Table 13'!$C$16)</f>
        <v>38.277308847990682</v>
      </c>
      <c r="F94" s="220">
        <f>IF(E94="","",$B94*'AEO 2017_Table 13'!G$16/'AEO 2017_Table 13'!$C$16)</f>
        <v>39.443006331834695</v>
      </c>
      <c r="G94" s="220">
        <f>IF(F94="","",$B94*'AEO 2017_Table 13'!H$16/'AEO 2017_Table 13'!$C$16)</f>
        <v>40.48098291261401</v>
      </c>
      <c r="H94" s="220">
        <f>IF(G94="","",$B94*'AEO 2017_Table 13'!I$16/'AEO 2017_Table 13'!$C$16)</f>
        <v>40.64692921755622</v>
      </c>
      <c r="I94" s="220">
        <f>IF(H94="","",$B94*'AEO 2017_Table 13'!J$16/'AEO 2017_Table 13'!$C$16)</f>
        <v>41.202884925110276</v>
      </c>
      <c r="J94" s="220">
        <f>IF(I94="","",$B94*'AEO 2017_Table 13'!K$16/'AEO 2017_Table 13'!$C$16)</f>
        <v>41.942309430311909</v>
      </c>
      <c r="K94" s="220">
        <f>IF(J94="","",$B94*'AEO 2017_Table 13'!L$16/'AEO 2017_Table 13'!$C$16)</f>
        <v>42.639840943548663</v>
      </c>
      <c r="L94" s="220">
        <f>IF(K94="","",$B94*'AEO 2017_Table 13'!M$16/'AEO 2017_Table 13'!$C$16)</f>
        <v>43.290383182282326</v>
      </c>
      <c r="M94" s="220">
        <f>IF(L94="","",$B94*'AEO 2017_Table 13'!N$16/'AEO 2017_Table 13'!$C$16)</f>
        <v>43.921469991465422</v>
      </c>
      <c r="N94" s="220">
        <f>IF(M94="","",$B94*'AEO 2017_Table 13'!O$16/'AEO 2017_Table 13'!$C$16)</f>
        <v>44.169420354183259</v>
      </c>
      <c r="O94" s="220">
        <f>IF(N94="","",$B94*'AEO 2017_Table 13'!P$16/'AEO 2017_Table 13'!$C$16)</f>
        <v>44.5286367071892</v>
      </c>
      <c r="P94" s="220">
        <f>IF(O94="","",$B94*'AEO 2017_Table 13'!Q$16/'AEO 2017_Table 13'!$C$16)</f>
        <v>44.797205938346778</v>
      </c>
      <c r="Q94" s="220">
        <f>IF(P94="","",$B94*'AEO 2017_Table 13'!R$16/'AEO 2017_Table 13'!$C$16)</f>
        <v>44.975138552747509</v>
      </c>
      <c r="R94" s="220">
        <f>IF(Q94="","",$B94*'AEO 2017_Table 13'!S$16/'AEO 2017_Table 13'!$C$16)</f>
        <v>45.200924485431329</v>
      </c>
      <c r="S94" s="220">
        <f>IF(R94="","",$B94*'AEO 2017_Table 13'!T$16/'AEO 2017_Table 13'!$C$16)</f>
        <v>45.533937200702276</v>
      </c>
      <c r="T94" s="220">
        <f>IF(S94="","",$B94*'AEO 2017_Table 13'!U$16/'AEO 2017_Table 13'!$C$16)</f>
        <v>45.889891722781954</v>
      </c>
      <c r="U94" s="220">
        <f>IF(T94="","",$B94*'AEO 2017_Table 13'!V$16/'AEO 2017_Table 13'!$C$16)</f>
        <v>46.374083210548733</v>
      </c>
      <c r="V94" s="220">
        <f>IF(U94="","",$B94*'AEO 2017_Table 13'!W$16/'AEO 2017_Table 13'!$C$16)</f>
        <v>47.049615748943367</v>
      </c>
      <c r="W94" s="220">
        <f>IF(V94="","",$B94*'AEO 2017_Table 13'!X$16/'AEO 2017_Table 13'!$C$16)</f>
        <v>47.588407450041174</v>
      </c>
      <c r="X94" s="220">
        <f>IF(W94="","",$B94*'AEO 2017_Table 13'!Y$16/'AEO 2017_Table 13'!$C$16)</f>
        <v>48.057375747015584</v>
      </c>
      <c r="Y94" s="220">
        <f>IF(X94="","",$B94*'AEO 2017_Table 13'!Z$16/'AEO 2017_Table 13'!$C$16)</f>
        <v>48.421986464532452</v>
      </c>
      <c r="Z94" s="220">
        <f>IF(Y94="","",$B94*'AEO 2017_Table 13'!AA$16/'AEO 2017_Table 13'!$C$16)</f>
        <v>48.872750750987166</v>
      </c>
      <c r="AA94" s="220">
        <f>IF(Z94="","",$B94*'AEO 2017_Table 13'!AB$16/'AEO 2017_Table 13'!$C$16)</f>
        <v>49.114977151946704</v>
      </c>
      <c r="AB94" s="220">
        <f>IF(AA94="","",$B94*'AEO 2017_Table 13'!AC$16/'AEO 2017_Table 13'!$C$16)</f>
        <v>49.356301428169402</v>
      </c>
      <c r="AC94" s="220">
        <f>IF(AB94="","",$B94*'AEO 2017_Table 13'!AD$16/'AEO 2017_Table 13'!$C$16)</f>
        <v>49.502159371795152</v>
      </c>
      <c r="AD94" s="220">
        <f>IF(AC94="","",$B94*'AEO 2017_Table 13'!AE$16/'AEO 2017_Table 13'!$C$16)</f>
        <v>49.754519246691096</v>
      </c>
      <c r="AE94" s="220">
        <f>IF(AD94="","",$B94*'AEO 2017_Table 13'!AF$16/'AEO 2017_Table 13'!$C$16)</f>
        <v>50.117711776848708</v>
      </c>
      <c r="AF94" s="220">
        <f>IF(AE94="","",$B94*'AEO 2017_Table 13'!AG$16/'AEO 2017_Table 13'!$C$16)</f>
        <v>50.474112765319262</v>
      </c>
      <c r="AG94" s="220">
        <f>IF(AF94="","",$B94*'AEO 2017_Table 13'!AH$16/'AEO 2017_Table 13'!$C$16)</f>
        <v>50.783783167166142</v>
      </c>
      <c r="AH94" s="220">
        <f>IF(AG94="","",$B94*'AEO 2017_Table 13'!AI$16/'AEO 2017_Table 13'!$C$16)</f>
        <v>51.131818163353564</v>
      </c>
      <c r="AI94" s="220">
        <f>IF(AH94="","",$B94*'AEO 2017_Table 13'!AJ$16/'AEO 2017_Table 13'!$C$16)</f>
        <v>51.420003026707846</v>
      </c>
      <c r="AJ94" s="220">
        <f>IF(AI94="","",$B94*'AEO 2017_Table 13'!AK$16/'AEO 2017_Table 13'!$C$16)</f>
        <v>51.712010430249869</v>
      </c>
      <c r="AK94" s="220">
        <f>IF(AJ94="","",$B94*'AEO 2017_Table 13'!AL$16/'AEO 2017_Table 13'!$C$16)</f>
        <v>52.080098333069778</v>
      </c>
    </row>
    <row r="96" spans="1:37" x14ac:dyDescent="0.25">
      <c r="A96" s="56" t="s">
        <v>1541</v>
      </c>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row>
    <row r="97" spans="1:37" x14ac:dyDescent="0.25">
      <c r="A97" s="174" t="s">
        <v>1389</v>
      </c>
      <c r="B97" s="175">
        <v>2015</v>
      </c>
      <c r="C97" s="175">
        <v>2016</v>
      </c>
      <c r="D97" s="175">
        <v>2017</v>
      </c>
      <c r="E97" s="175">
        <v>2018</v>
      </c>
      <c r="F97" s="175">
        <v>2019</v>
      </c>
      <c r="G97" s="175">
        <v>2020</v>
      </c>
      <c r="H97" s="175">
        <v>2021</v>
      </c>
      <c r="I97" s="175">
        <v>2022</v>
      </c>
      <c r="J97" s="175">
        <v>2023</v>
      </c>
      <c r="K97" s="175">
        <v>2024</v>
      </c>
      <c r="L97" s="175">
        <v>2025</v>
      </c>
      <c r="M97" s="175">
        <v>2026</v>
      </c>
      <c r="N97" s="175">
        <v>2027</v>
      </c>
      <c r="O97" s="175">
        <v>2028</v>
      </c>
      <c r="P97" s="175">
        <v>2029</v>
      </c>
      <c r="Q97" s="175">
        <v>2030</v>
      </c>
      <c r="R97" s="175">
        <v>2031</v>
      </c>
      <c r="S97" s="175">
        <v>2032</v>
      </c>
      <c r="T97" s="175">
        <v>2033</v>
      </c>
      <c r="U97" s="175">
        <v>2034</v>
      </c>
      <c r="V97" s="175">
        <v>2035</v>
      </c>
      <c r="W97" s="175">
        <v>2036</v>
      </c>
      <c r="X97" s="175">
        <v>2037</v>
      </c>
      <c r="Y97" s="175">
        <v>2038</v>
      </c>
      <c r="Z97" s="175">
        <v>2039</v>
      </c>
      <c r="AA97" s="175">
        <v>2040</v>
      </c>
      <c r="AB97" s="175">
        <v>2041</v>
      </c>
      <c r="AC97" s="175">
        <v>2042</v>
      </c>
      <c r="AD97" s="175">
        <v>2043</v>
      </c>
      <c r="AE97" s="175">
        <v>2044</v>
      </c>
      <c r="AF97" s="175">
        <v>2045</v>
      </c>
      <c r="AG97" s="175">
        <v>2046</v>
      </c>
      <c r="AH97" s="175">
        <v>2047</v>
      </c>
      <c r="AI97" s="175">
        <v>2048</v>
      </c>
      <c r="AJ97" s="175">
        <v>2049</v>
      </c>
      <c r="AK97" s="175">
        <v>2050</v>
      </c>
    </row>
    <row r="98" spans="1:37" x14ac:dyDescent="0.25">
      <c r="A98" s="224" t="s">
        <v>1467</v>
      </c>
      <c r="B98" s="224"/>
      <c r="C98" s="224"/>
      <c r="D98" s="224"/>
      <c r="E98" s="224"/>
      <c r="F98" s="224"/>
      <c r="G98" s="224"/>
      <c r="H98" s="224"/>
      <c r="I98" s="224"/>
      <c r="J98" s="224"/>
      <c r="K98" s="224"/>
      <c r="L98" s="224"/>
      <c r="M98" s="224"/>
      <c r="N98" s="224"/>
      <c r="O98" s="224"/>
      <c r="P98" s="224"/>
      <c r="Q98" s="224"/>
      <c r="R98" s="224"/>
      <c r="S98" s="224"/>
      <c r="T98" s="224"/>
      <c r="U98" s="224"/>
      <c r="V98" s="224"/>
      <c r="W98" s="224"/>
      <c r="X98" s="224"/>
      <c r="Y98" s="224"/>
      <c r="Z98" s="224"/>
      <c r="AA98" s="224"/>
      <c r="AB98" s="224"/>
      <c r="AC98" s="224"/>
      <c r="AD98" s="224"/>
      <c r="AE98" s="224"/>
      <c r="AF98" s="224"/>
      <c r="AG98" s="224"/>
      <c r="AH98" s="224"/>
      <c r="AI98" s="224"/>
      <c r="AJ98" s="224"/>
      <c r="AK98" s="224"/>
    </row>
    <row r="99" spans="1:37" x14ac:dyDescent="0.25">
      <c r="A99" s="210" t="s">
        <v>1292</v>
      </c>
      <c r="B99" s="166">
        <v>1687.5592154238186</v>
      </c>
      <c r="C99" s="166">
        <f>SUM(C103,C105,C111,C114,C115,C116,C119,C120,C122,C124,C123,C125,C126,C127,C129,C133,C138,C140,C141,C143:C145,C147:C149,C151:C153,C155:C157)</f>
        <v>1710.2140791018405</v>
      </c>
      <c r="D99" s="166">
        <f t="shared" ref="D99:AK99" si="12">SUM(D103,D105,D111,D114,D115,D116,D119,D120,D122,D124,D123,D125,D126,D127,D129,D133,D138,D140,D141,D143:D145,D147:D149,D151:D153,D155:D157)</f>
        <v>1719.830353234129</v>
      </c>
      <c r="E99" s="166">
        <f t="shared" si="12"/>
        <v>1737.688215298627</v>
      </c>
      <c r="F99" s="166">
        <f t="shared" si="12"/>
        <v>1715.9442111911139</v>
      </c>
      <c r="G99" s="166">
        <f t="shared" si="12"/>
        <v>1687.7506726496222</v>
      </c>
      <c r="H99" s="166">
        <f t="shared" si="12"/>
        <v>1678.4760486856285</v>
      </c>
      <c r="I99" s="166">
        <f t="shared" si="12"/>
        <v>1682.0272439274027</v>
      </c>
      <c r="J99" s="166">
        <f t="shared" si="12"/>
        <v>1696.1286027623983</v>
      </c>
      <c r="K99" s="166">
        <f t="shared" si="12"/>
        <v>1710.1359414773044</v>
      </c>
      <c r="L99" s="166">
        <f t="shared" si="12"/>
        <v>1732.782623109475</v>
      </c>
      <c r="M99" s="166">
        <f t="shared" si="12"/>
        <v>1750.8438881788747</v>
      </c>
      <c r="N99" s="166">
        <f t="shared" si="12"/>
        <v>1753.730428767773</v>
      </c>
      <c r="O99" s="166">
        <f t="shared" si="12"/>
        <v>1759.5146325872272</v>
      </c>
      <c r="P99" s="166">
        <f t="shared" si="12"/>
        <v>1762.766376819066</v>
      </c>
      <c r="Q99" s="166">
        <f t="shared" si="12"/>
        <v>1764.4140640608889</v>
      </c>
      <c r="R99" s="166">
        <f t="shared" si="12"/>
        <v>1770.6179171614533</v>
      </c>
      <c r="S99" s="166">
        <f t="shared" si="12"/>
        <v>1782.5370259934064</v>
      </c>
      <c r="T99" s="166">
        <f t="shared" si="12"/>
        <v>1793.9613308992352</v>
      </c>
      <c r="U99" s="166">
        <f t="shared" si="12"/>
        <v>1815.4220070949684</v>
      </c>
      <c r="V99" s="166">
        <f t="shared" si="12"/>
        <v>1841.5266627125873</v>
      </c>
      <c r="W99" s="166">
        <f t="shared" si="12"/>
        <v>1861.137907840186</v>
      </c>
      <c r="X99" s="166">
        <f t="shared" si="12"/>
        <v>1878.4495928933343</v>
      </c>
      <c r="Y99" s="166">
        <f t="shared" si="12"/>
        <v>1896.2143566036248</v>
      </c>
      <c r="Z99" s="166">
        <f t="shared" si="12"/>
        <v>1919.1117585560355</v>
      </c>
      <c r="AA99" s="166">
        <f t="shared" si="12"/>
        <v>1931.6938628622752</v>
      </c>
      <c r="AB99" s="166">
        <f t="shared" si="12"/>
        <v>1944.6105681841295</v>
      </c>
      <c r="AC99" s="166">
        <f t="shared" si="12"/>
        <v>1953.8251544635955</v>
      </c>
      <c r="AD99" s="166">
        <f t="shared" si="12"/>
        <v>1966.4738717176622</v>
      </c>
      <c r="AE99" s="166">
        <f t="shared" si="12"/>
        <v>1984.5278241110561</v>
      </c>
      <c r="AF99" s="166">
        <f t="shared" si="12"/>
        <v>2002.8737919362584</v>
      </c>
      <c r="AG99" s="166">
        <f t="shared" si="12"/>
        <v>2018.727427715296</v>
      </c>
      <c r="AH99" s="166">
        <f t="shared" si="12"/>
        <v>2035.1692115789006</v>
      </c>
      <c r="AI99" s="166">
        <f t="shared" si="12"/>
        <v>2048.0124828853909</v>
      </c>
      <c r="AJ99" s="166">
        <f t="shared" si="12"/>
        <v>2061.0997763467053</v>
      </c>
      <c r="AK99" s="166">
        <f t="shared" si="12"/>
        <v>2079.1236177212445</v>
      </c>
    </row>
    <row r="100" spans="1:37" x14ac:dyDescent="0.25">
      <c r="A100" s="214" t="s">
        <v>1391</v>
      </c>
      <c r="B100" s="184">
        <v>338.20646670000002</v>
      </c>
      <c r="C100" s="184">
        <f>$B$100/$B$99*C99</f>
        <v>342.74676450293646</v>
      </c>
      <c r="D100" s="184">
        <f t="shared" ref="D100:AK100" si="13">$B$100/$B$99*D99</f>
        <v>344.67397752596696</v>
      </c>
      <c r="E100" s="184">
        <f t="shared" si="13"/>
        <v>348.2529004914245</v>
      </c>
      <c r="F100" s="184">
        <f t="shared" si="13"/>
        <v>343.89514952547376</v>
      </c>
      <c r="G100" s="184">
        <f t="shared" si="13"/>
        <v>338.24483695170517</v>
      </c>
      <c r="H100" s="184">
        <f t="shared" si="13"/>
        <v>336.3860945904508</v>
      </c>
      <c r="I100" s="184">
        <f t="shared" si="13"/>
        <v>337.09779536178087</v>
      </c>
      <c r="J100" s="184">
        <f t="shared" si="13"/>
        <v>339.92387145064566</v>
      </c>
      <c r="K100" s="184">
        <f t="shared" si="13"/>
        <v>342.73110481546053</v>
      </c>
      <c r="L100" s="184">
        <f t="shared" si="13"/>
        <v>347.26976284137913</v>
      </c>
      <c r="M100" s="184">
        <f t="shared" si="13"/>
        <v>350.8894501314158</v>
      </c>
      <c r="N100" s="184">
        <f t="shared" si="13"/>
        <v>351.46794639076762</v>
      </c>
      <c r="O100" s="184">
        <f t="shared" si="13"/>
        <v>352.62716801604194</v>
      </c>
      <c r="P100" s="184">
        <f t="shared" si="13"/>
        <v>353.27885532704755</v>
      </c>
      <c r="Q100" s="184">
        <f t="shared" si="13"/>
        <v>353.60907098715029</v>
      </c>
      <c r="R100" s="184">
        <f t="shared" si="13"/>
        <v>354.85239520231909</v>
      </c>
      <c r="S100" s="184">
        <f t="shared" si="13"/>
        <v>357.24112304512562</v>
      </c>
      <c r="T100" s="184">
        <f t="shared" si="13"/>
        <v>359.53068643430333</v>
      </c>
      <c r="U100" s="184">
        <f t="shared" si="13"/>
        <v>363.83165519605956</v>
      </c>
      <c r="V100" s="184">
        <f t="shared" si="13"/>
        <v>369.06333137083482</v>
      </c>
      <c r="W100" s="184">
        <f t="shared" si="13"/>
        <v>372.99365266656906</v>
      </c>
      <c r="X100" s="184">
        <f t="shared" si="13"/>
        <v>376.46311541545282</v>
      </c>
      <c r="Y100" s="184">
        <f t="shared" si="13"/>
        <v>380.0233803894489</v>
      </c>
      <c r="Z100" s="184">
        <f t="shared" si="13"/>
        <v>384.61228567950099</v>
      </c>
      <c r="AA100" s="184">
        <f t="shared" si="13"/>
        <v>387.1338855156261</v>
      </c>
      <c r="AB100" s="184">
        <f t="shared" si="13"/>
        <v>389.72254328145885</v>
      </c>
      <c r="AC100" s="184">
        <f t="shared" si="13"/>
        <v>391.56925339343428</v>
      </c>
      <c r="AD100" s="184">
        <f t="shared" si="13"/>
        <v>394.10420323797103</v>
      </c>
      <c r="AE100" s="184">
        <f t="shared" si="13"/>
        <v>397.72242498280406</v>
      </c>
      <c r="AF100" s="184">
        <f t="shared" si="13"/>
        <v>401.3991700117453</v>
      </c>
      <c r="AG100" s="184">
        <f t="shared" si="13"/>
        <v>404.57642275178057</v>
      </c>
      <c r="AH100" s="184">
        <f t="shared" si="13"/>
        <v>407.87154719892965</v>
      </c>
      <c r="AI100" s="184">
        <f t="shared" si="13"/>
        <v>410.44548793519391</v>
      </c>
      <c r="AJ100" s="184">
        <f t="shared" si="13"/>
        <v>413.06833354544739</v>
      </c>
      <c r="AK100" s="184">
        <f t="shared" si="13"/>
        <v>416.68052069238155</v>
      </c>
    </row>
    <row r="101" spans="1:37" x14ac:dyDescent="0.25">
      <c r="A101" s="256" t="s">
        <v>1393</v>
      </c>
      <c r="B101" s="251">
        <f>B99-B100</f>
        <v>1349.3527487238186</v>
      </c>
      <c r="C101" s="251">
        <f t="shared" ref="C101:AK101" si="14">C99-C100</f>
        <v>1367.4673145989041</v>
      </c>
      <c r="D101" s="251">
        <f t="shared" si="14"/>
        <v>1375.1563757081622</v>
      </c>
      <c r="E101" s="251">
        <f t="shared" si="14"/>
        <v>1389.4353148072025</v>
      </c>
      <c r="F101" s="251">
        <f t="shared" si="14"/>
        <v>1372.0490616656402</v>
      </c>
      <c r="G101" s="251">
        <f t="shared" si="14"/>
        <v>1349.5058356979171</v>
      </c>
      <c r="H101" s="251">
        <f t="shared" si="14"/>
        <v>1342.0899540951777</v>
      </c>
      <c r="I101" s="251">
        <f t="shared" si="14"/>
        <v>1344.9294485656219</v>
      </c>
      <c r="J101" s="251">
        <f t="shared" si="14"/>
        <v>1356.2047313117525</v>
      </c>
      <c r="K101" s="251">
        <f t="shared" si="14"/>
        <v>1367.404836661844</v>
      </c>
      <c r="L101" s="251">
        <f t="shared" si="14"/>
        <v>1385.5128602680959</v>
      </c>
      <c r="M101" s="251">
        <f t="shared" si="14"/>
        <v>1399.954438047459</v>
      </c>
      <c r="N101" s="251">
        <f t="shared" si="14"/>
        <v>1402.2624823770054</v>
      </c>
      <c r="O101" s="251">
        <f t="shared" si="14"/>
        <v>1406.8874645711853</v>
      </c>
      <c r="P101" s="251">
        <f t="shared" si="14"/>
        <v>1409.4875214920185</v>
      </c>
      <c r="Q101" s="251">
        <f t="shared" si="14"/>
        <v>1410.8049930737386</v>
      </c>
      <c r="R101" s="251">
        <f t="shared" si="14"/>
        <v>1415.7655219591343</v>
      </c>
      <c r="S101" s="251">
        <f t="shared" si="14"/>
        <v>1425.2959029482809</v>
      </c>
      <c r="T101" s="251">
        <f t="shared" si="14"/>
        <v>1434.4306444649319</v>
      </c>
      <c r="U101" s="251">
        <f t="shared" si="14"/>
        <v>1451.5903518989089</v>
      </c>
      <c r="V101" s="251">
        <f t="shared" si="14"/>
        <v>1472.4633313417526</v>
      </c>
      <c r="W101" s="251">
        <f t="shared" si="14"/>
        <v>1488.144255173617</v>
      </c>
      <c r="X101" s="251">
        <f t="shared" si="14"/>
        <v>1501.9864774778814</v>
      </c>
      <c r="Y101" s="251">
        <f t="shared" si="14"/>
        <v>1516.1909762141759</v>
      </c>
      <c r="Z101" s="251">
        <f t="shared" si="14"/>
        <v>1534.4994728765346</v>
      </c>
      <c r="AA101" s="251">
        <f t="shared" si="14"/>
        <v>1544.559977346649</v>
      </c>
      <c r="AB101" s="251">
        <f t="shared" si="14"/>
        <v>1554.8880249026706</v>
      </c>
      <c r="AC101" s="251">
        <f t="shared" si="14"/>
        <v>1562.2559010701611</v>
      </c>
      <c r="AD101" s="251">
        <f t="shared" si="14"/>
        <v>1572.3696684796912</v>
      </c>
      <c r="AE101" s="251">
        <f t="shared" si="14"/>
        <v>1586.805399128252</v>
      </c>
      <c r="AF101" s="251">
        <f t="shared" si="14"/>
        <v>1601.474621924513</v>
      </c>
      <c r="AG101" s="251">
        <f t="shared" si="14"/>
        <v>1614.1510049635153</v>
      </c>
      <c r="AH101" s="251">
        <f t="shared" si="14"/>
        <v>1627.2976643799709</v>
      </c>
      <c r="AI101" s="251">
        <f t="shared" si="14"/>
        <v>1637.5669949501971</v>
      </c>
      <c r="AJ101" s="251">
        <f t="shared" si="14"/>
        <v>1648.031442801258</v>
      </c>
      <c r="AK101" s="251">
        <f t="shared" si="14"/>
        <v>1662.4430970288629</v>
      </c>
    </row>
    <row r="102" spans="1:37" x14ac:dyDescent="0.25">
      <c r="A102" s="221" t="s">
        <v>1468</v>
      </c>
      <c r="B102" s="223"/>
      <c r="C102" s="223" t="str">
        <f>IF(B102="","",$B102*'AEO 2017_Table 13'!D$36/'AEO 2017_Table 13'!$C$36)</f>
        <v/>
      </c>
      <c r="D102" s="223" t="str">
        <f>IF(C102="","",$B102*'AEO 2017_Table 13'!E$36/'AEO 2017_Table 13'!$C$36)</f>
        <v/>
      </c>
      <c r="E102" s="223" t="str">
        <f>IF(D102="","",$B102*'AEO 2017_Table 13'!F$36/'AEO 2017_Table 13'!$C$36)</f>
        <v/>
      </c>
      <c r="F102" s="223" t="str">
        <f>IF(E102="","",$B102*'AEO 2017_Table 13'!G$36/'AEO 2017_Table 13'!$C$36)</f>
        <v/>
      </c>
      <c r="G102" s="223" t="str">
        <f>IF(F102="","",$B102*'AEO 2017_Table 13'!H$36/'AEO 2017_Table 13'!$C$36)</f>
        <v/>
      </c>
      <c r="H102" s="223" t="str">
        <f>IF(G102="","",$B102*'AEO 2017_Table 13'!I$36/'AEO 2017_Table 13'!$C$36)</f>
        <v/>
      </c>
      <c r="I102" s="223" t="str">
        <f>IF(H102="","",$B102*'AEO 2017_Table 13'!J$36/'AEO 2017_Table 13'!$C$36)</f>
        <v/>
      </c>
      <c r="J102" s="223" t="str">
        <f>IF(I102="","",$B102*'AEO 2017_Table 13'!K$36/'AEO 2017_Table 13'!$C$36)</f>
        <v/>
      </c>
      <c r="K102" s="223" t="str">
        <f>IF(J102="","",$B102*'AEO 2017_Table 13'!L$36/'AEO 2017_Table 13'!$C$36)</f>
        <v/>
      </c>
      <c r="L102" s="223" t="str">
        <f>IF(K102="","",$B102*'AEO 2017_Table 13'!M$36/'AEO 2017_Table 13'!$C$36)</f>
        <v/>
      </c>
      <c r="M102" s="223" t="str">
        <f>IF(L102="","",$B102*'AEO 2017_Table 13'!N$36/'AEO 2017_Table 13'!$C$36)</f>
        <v/>
      </c>
      <c r="N102" s="223" t="str">
        <f>IF(M102="","",$B102*'AEO 2017_Table 13'!O$36/'AEO 2017_Table 13'!$C$36)</f>
        <v/>
      </c>
      <c r="O102" s="223" t="str">
        <f>IF(N102="","",$B102*'AEO 2017_Table 13'!P$36/'AEO 2017_Table 13'!$C$36)</f>
        <v/>
      </c>
      <c r="P102" s="223" t="str">
        <f>IF(O102="","",$B102*'AEO 2017_Table 13'!Q$36/'AEO 2017_Table 13'!$C$36)</f>
        <v/>
      </c>
      <c r="Q102" s="223" t="str">
        <f>IF(P102="","",$B102*'AEO 2017_Table 13'!R$36/'AEO 2017_Table 13'!$C$36)</f>
        <v/>
      </c>
      <c r="R102" s="223" t="str">
        <f>IF(Q102="","",$B102*'AEO 2017_Table 13'!S$36/'AEO 2017_Table 13'!$C$36)</f>
        <v/>
      </c>
      <c r="S102" s="223" t="str">
        <f>IF(R102="","",$B102*'AEO 2017_Table 13'!T$36/'AEO 2017_Table 13'!$C$36)</f>
        <v/>
      </c>
      <c r="T102" s="223" t="str">
        <f>IF(S102="","",$B102*'AEO 2017_Table 13'!U$36/'AEO 2017_Table 13'!$C$36)</f>
        <v/>
      </c>
      <c r="U102" s="223" t="str">
        <f>IF(T102="","",$B102*'AEO 2017_Table 13'!V$36/'AEO 2017_Table 13'!$C$36)</f>
        <v/>
      </c>
      <c r="V102" s="223" t="str">
        <f>IF(U102="","",$B102*'AEO 2017_Table 13'!W$36/'AEO 2017_Table 13'!$C$36)</f>
        <v/>
      </c>
      <c r="W102" s="223" t="str">
        <f>IF(V102="","",$B102*'AEO 2017_Table 13'!X$36/'AEO 2017_Table 13'!$C$36)</f>
        <v/>
      </c>
      <c r="X102" s="223" t="str">
        <f>IF(W102="","",$B102*'AEO 2017_Table 13'!Y$36/'AEO 2017_Table 13'!$C$36)</f>
        <v/>
      </c>
      <c r="Y102" s="223" t="str">
        <f>IF(X102="","",$B102*'AEO 2017_Table 13'!Z$36/'AEO 2017_Table 13'!$C$36)</f>
        <v/>
      </c>
      <c r="Z102" s="223" t="str">
        <f>IF(Y102="","",$B102*'AEO 2017_Table 13'!AA$36/'AEO 2017_Table 13'!$C$36)</f>
        <v/>
      </c>
      <c r="AA102" s="223" t="str">
        <f>IF(Z102="","",$B102*'AEO 2017_Table 13'!AB$36/'AEO 2017_Table 13'!$C$36)</f>
        <v/>
      </c>
      <c r="AB102" s="223" t="str">
        <f>IF(AA102="","",$B102*'AEO 2017_Table 13'!AC$36/'AEO 2017_Table 13'!$C$36)</f>
        <v/>
      </c>
      <c r="AC102" s="223" t="str">
        <f>IF(AB102="","",$B102*'AEO 2017_Table 13'!AD$36/'AEO 2017_Table 13'!$C$36)</f>
        <v/>
      </c>
      <c r="AD102" s="223" t="str">
        <f>IF(AC102="","",$B102*'AEO 2017_Table 13'!AE$36/'AEO 2017_Table 13'!$C$36)</f>
        <v/>
      </c>
      <c r="AE102" s="223" t="str">
        <f>IF(AD102="","",$B102*'AEO 2017_Table 13'!AF$36/'AEO 2017_Table 13'!$C$36)</f>
        <v/>
      </c>
      <c r="AF102" s="223" t="str">
        <f>IF(AE102="","",$B102*'AEO 2017_Table 13'!AG$36/'AEO 2017_Table 13'!$C$36)</f>
        <v/>
      </c>
      <c r="AG102" s="223" t="str">
        <f>IF(AF102="","",$B102*'AEO 2017_Table 13'!AH$36/'AEO 2017_Table 13'!$C$36)</f>
        <v/>
      </c>
      <c r="AH102" s="223" t="str">
        <f>IF(AG102="","",$B102*'AEO 2017_Table 13'!AI$36/'AEO 2017_Table 13'!$C$36)</f>
        <v/>
      </c>
      <c r="AI102" s="223" t="str">
        <f>IF(AH102="","",$B102*'AEO 2017_Table 13'!AJ$36/'AEO 2017_Table 13'!$C$36)</f>
        <v/>
      </c>
      <c r="AJ102" s="223" t="str">
        <f>IF(AI102="","",$B102*'AEO 2017_Table 13'!AK$36/'AEO 2017_Table 13'!$C$36)</f>
        <v/>
      </c>
      <c r="AK102" s="223" t="str">
        <f>IF(AJ102="","",$B102*'AEO 2017_Table 13'!AL$36/'AEO 2017_Table 13'!$C$36)</f>
        <v/>
      </c>
    </row>
    <row r="103" spans="1:37" x14ac:dyDescent="0.25">
      <c r="A103" s="219" t="s">
        <v>1406</v>
      </c>
      <c r="B103" s="220">
        <v>3.2909398676593224</v>
      </c>
      <c r="C103" s="220">
        <f>IF(B103="","",$B103*'AEO 2017_Table 13'!D$36/'AEO 2017_Table 13'!$C$36)</f>
        <v>3.3378605393028593</v>
      </c>
      <c r="D103" s="220">
        <f>IF(C103="","",$B103*'AEO 2017_Table 13'!E$36/'AEO 2017_Table 13'!$C$36)</f>
        <v>3.3584846392510506</v>
      </c>
      <c r="E103" s="220">
        <f>IF(D103="","",$B103*'AEO 2017_Table 13'!F$36/'AEO 2017_Table 13'!$C$36)</f>
        <v>3.3935339101121276</v>
      </c>
      <c r="F103" s="220">
        <f>IF(E103="","",$B103*'AEO 2017_Table 13'!G$36/'AEO 2017_Table 13'!$C$36)</f>
        <v>3.3529523148965268</v>
      </c>
      <c r="G103" s="220">
        <f>IF(F103="","",$B103*'AEO 2017_Table 13'!H$36/'AEO 2017_Table 13'!$C$36)</f>
        <v>3.2997123466636018</v>
      </c>
      <c r="H103" s="220">
        <f>IF(G103="","",$B103*'AEO 2017_Table 13'!I$36/'AEO 2017_Table 13'!$C$36)</f>
        <v>3.2815092265882759</v>
      </c>
      <c r="I103" s="220">
        <f>IF(H103="","",$B103*'AEO 2017_Table 13'!J$36/'AEO 2017_Table 13'!$C$36)</f>
        <v>3.2884790868918197</v>
      </c>
      <c r="J103" s="220">
        <f>IF(I103="","",$B103*'AEO 2017_Table 13'!K$36/'AEO 2017_Table 13'!$C$36)</f>
        <v>3.3161555435433483</v>
      </c>
      <c r="K103" s="220">
        <f>IF(J103="","",$B103*'AEO 2017_Table 13'!L$36/'AEO 2017_Table 13'!$C$36)</f>
        <v>3.3436474687742868</v>
      </c>
      <c r="L103" s="220">
        <f>IF(K103="","",$B103*'AEO 2017_Table 13'!M$36/'AEO 2017_Table 13'!$C$36)</f>
        <v>3.3880956605994732</v>
      </c>
      <c r="M103" s="220">
        <f>IF(L103="","",$B103*'AEO 2017_Table 13'!N$36/'AEO 2017_Table 13'!$C$36)</f>
        <v>3.4235441464946361</v>
      </c>
      <c r="N103" s="220">
        <f>IF(M103="","",$B103*'AEO 2017_Table 13'!O$36/'AEO 2017_Table 13'!$C$36)</f>
        <v>3.4292095023242632</v>
      </c>
      <c r="O103" s="220">
        <f>IF(N103="","",$B103*'AEO 2017_Table 13'!P$36/'AEO 2017_Table 13'!$C$36)</f>
        <v>3.4405620441711839</v>
      </c>
      <c r="P103" s="220">
        <f>IF(O103="","",$B103*'AEO 2017_Table 13'!Q$36/'AEO 2017_Table 13'!$C$36)</f>
        <v>3.4469441779305905</v>
      </c>
      <c r="Q103" s="220">
        <f>IF(P103="","",$B103*'AEO 2017_Table 13'!R$36/'AEO 2017_Table 13'!$C$36)</f>
        <v>3.450178060924221</v>
      </c>
      <c r="R103" s="220">
        <f>IF(Q103="","",$B103*'AEO 2017_Table 13'!S$36/'AEO 2017_Table 13'!$C$36)</f>
        <v>3.4623542400725813</v>
      </c>
      <c r="S103" s="220">
        <f>IF(R103="","",$B103*'AEO 2017_Table 13'!T$36/'AEO 2017_Table 13'!$C$36)</f>
        <v>3.4857476380260972</v>
      </c>
      <c r="T103" s="220">
        <f>IF(S103="","",$B103*'AEO 2017_Table 13'!U$36/'AEO 2017_Table 13'!$C$36)</f>
        <v>3.5081698941504724</v>
      </c>
      <c r="U103" s="220">
        <f>IF(T103="","",$B103*'AEO 2017_Table 13'!V$36/'AEO 2017_Table 13'!$C$36)</f>
        <v>3.5502903366832608</v>
      </c>
      <c r="V103" s="220">
        <f>IF(U103="","",$B103*'AEO 2017_Table 13'!W$36/'AEO 2017_Table 13'!$C$36)</f>
        <v>3.6015254253054332</v>
      </c>
      <c r="W103" s="220">
        <f>IF(V103="","",$B103*'AEO 2017_Table 13'!X$36/'AEO 2017_Table 13'!$C$36)</f>
        <v>3.6400160262473391</v>
      </c>
      <c r="X103" s="220">
        <f>IF(W103="","",$B103*'AEO 2017_Table 13'!Y$36/'AEO 2017_Table 13'!$C$36)</f>
        <v>3.6739933263461975</v>
      </c>
      <c r="Y103" s="220">
        <f>IF(X103="","",$B103*'AEO 2017_Table 13'!Z$36/'AEO 2017_Table 13'!$C$36)</f>
        <v>3.70885987491826</v>
      </c>
      <c r="Z103" s="220">
        <f>IF(Y103="","",$B103*'AEO 2017_Table 13'!AA$36/'AEO 2017_Table 13'!$C$36)</f>
        <v>3.753800150531684</v>
      </c>
      <c r="AA103" s="220">
        <f>IF(Z103="","",$B103*'AEO 2017_Table 13'!AB$36/'AEO 2017_Table 13'!$C$36)</f>
        <v>3.7784947965222817</v>
      </c>
      <c r="AB103" s="220">
        <f>IF(AA103="","",$B103*'AEO 2017_Table 13'!AC$36/'AEO 2017_Table 13'!$C$36)</f>
        <v>3.8038461572743869</v>
      </c>
      <c r="AC103" s="220">
        <f>IF(AB103="","",$B103*'AEO 2017_Table 13'!AD$36/'AEO 2017_Table 13'!$C$36)</f>
        <v>3.8219314425798334</v>
      </c>
      <c r="AD103" s="220">
        <f>IF(AC103="","",$B103*'AEO 2017_Table 13'!AE$36/'AEO 2017_Table 13'!$C$36)</f>
        <v>3.846756828478874</v>
      </c>
      <c r="AE103" s="220">
        <f>IF(AD103="","",$B103*'AEO 2017_Table 13'!AF$36/'AEO 2017_Table 13'!$C$36)</f>
        <v>3.8821909619302124</v>
      </c>
      <c r="AF103" s="220">
        <f>IF(AE103="","",$B103*'AEO 2017_Table 13'!AG$36/'AEO 2017_Table 13'!$C$36)</f>
        <v>3.9181982282643224</v>
      </c>
      <c r="AG103" s="220">
        <f>IF(AF103="","",$B103*'AEO 2017_Table 13'!AH$36/'AEO 2017_Table 13'!$C$36)</f>
        <v>3.9493138440387896</v>
      </c>
      <c r="AH103" s="220">
        <f>IF(AG103="","",$B103*'AEO 2017_Table 13'!AI$36/'AEO 2017_Table 13'!$C$36)</f>
        <v>3.9815838063664986</v>
      </c>
      <c r="AI103" s="220">
        <f>IF(AH103="","",$B103*'AEO 2017_Table 13'!AJ$36/'AEO 2017_Table 13'!$C$36)</f>
        <v>4.0067910396365098</v>
      </c>
      <c r="AJ103" s="220">
        <f>IF(AI103="","",$B103*'AEO 2017_Table 13'!AK$36/'AEO 2017_Table 13'!$C$36)</f>
        <v>4.0324772103386515</v>
      </c>
      <c r="AK103" s="220">
        <f>IF(AJ103="","",$B103*'AEO 2017_Table 13'!AL$36/'AEO 2017_Table 13'!$C$36)</f>
        <v>4.0678522454918937</v>
      </c>
    </row>
    <row r="104" spans="1:37" x14ac:dyDescent="0.25">
      <c r="A104" s="209" t="s">
        <v>1469</v>
      </c>
      <c r="B104" s="193"/>
      <c r="C104" s="193" t="str">
        <f>IF(B104="","",$B104*'AEO 2017_Table 13'!D$36/'AEO 2017_Table 13'!$C$36)</f>
        <v/>
      </c>
      <c r="D104" s="193" t="str">
        <f>IF(C104="","",$B104*'AEO 2017_Table 13'!E$36/'AEO 2017_Table 13'!$C$36)</f>
        <v/>
      </c>
      <c r="E104" s="193" t="str">
        <f>IF(D104="","",$B104*'AEO 2017_Table 13'!F$36/'AEO 2017_Table 13'!$C$36)</f>
        <v/>
      </c>
      <c r="F104" s="193" t="str">
        <f>IF(E104="","",$B104*'AEO 2017_Table 13'!G$36/'AEO 2017_Table 13'!$C$36)</f>
        <v/>
      </c>
      <c r="G104" s="193" t="str">
        <f>IF(F104="","",$B104*'AEO 2017_Table 13'!H$36/'AEO 2017_Table 13'!$C$36)</f>
        <v/>
      </c>
      <c r="H104" s="193" t="str">
        <f>IF(G104="","",$B104*'AEO 2017_Table 13'!I$36/'AEO 2017_Table 13'!$C$36)</f>
        <v/>
      </c>
      <c r="I104" s="193" t="str">
        <f>IF(H104="","",$B104*'AEO 2017_Table 13'!J$36/'AEO 2017_Table 13'!$C$36)</f>
        <v/>
      </c>
      <c r="J104" s="193" t="str">
        <f>IF(I104="","",$B104*'AEO 2017_Table 13'!K$36/'AEO 2017_Table 13'!$C$36)</f>
        <v/>
      </c>
      <c r="K104" s="193" t="str">
        <f>IF(J104="","",$B104*'AEO 2017_Table 13'!L$36/'AEO 2017_Table 13'!$C$36)</f>
        <v/>
      </c>
      <c r="L104" s="193" t="str">
        <f>IF(K104="","",$B104*'AEO 2017_Table 13'!M$36/'AEO 2017_Table 13'!$C$36)</f>
        <v/>
      </c>
      <c r="M104" s="193" t="str">
        <f>IF(L104="","",$B104*'AEO 2017_Table 13'!N$36/'AEO 2017_Table 13'!$C$36)</f>
        <v/>
      </c>
      <c r="N104" s="193" t="str">
        <f>IF(M104="","",$B104*'AEO 2017_Table 13'!O$36/'AEO 2017_Table 13'!$C$36)</f>
        <v/>
      </c>
      <c r="O104" s="193" t="str">
        <f>IF(N104="","",$B104*'AEO 2017_Table 13'!P$36/'AEO 2017_Table 13'!$C$36)</f>
        <v/>
      </c>
      <c r="P104" s="193" t="str">
        <f>IF(O104="","",$B104*'AEO 2017_Table 13'!Q$36/'AEO 2017_Table 13'!$C$36)</f>
        <v/>
      </c>
      <c r="Q104" s="193" t="str">
        <f>IF(P104="","",$B104*'AEO 2017_Table 13'!R$36/'AEO 2017_Table 13'!$C$36)</f>
        <v/>
      </c>
      <c r="R104" s="193" t="str">
        <f>IF(Q104="","",$B104*'AEO 2017_Table 13'!S$36/'AEO 2017_Table 13'!$C$36)</f>
        <v/>
      </c>
      <c r="S104" s="193" t="str">
        <f>IF(R104="","",$B104*'AEO 2017_Table 13'!T$36/'AEO 2017_Table 13'!$C$36)</f>
        <v/>
      </c>
      <c r="T104" s="193" t="str">
        <f>IF(S104="","",$B104*'AEO 2017_Table 13'!U$36/'AEO 2017_Table 13'!$C$36)</f>
        <v/>
      </c>
      <c r="U104" s="193" t="str">
        <f>IF(T104="","",$B104*'AEO 2017_Table 13'!V$36/'AEO 2017_Table 13'!$C$36)</f>
        <v/>
      </c>
      <c r="V104" s="193" t="str">
        <f>IF(U104="","",$B104*'AEO 2017_Table 13'!W$36/'AEO 2017_Table 13'!$C$36)</f>
        <v/>
      </c>
      <c r="W104" s="193" t="str">
        <f>IF(V104="","",$B104*'AEO 2017_Table 13'!X$36/'AEO 2017_Table 13'!$C$36)</f>
        <v/>
      </c>
      <c r="X104" s="193" t="str">
        <f>IF(W104="","",$B104*'AEO 2017_Table 13'!Y$36/'AEO 2017_Table 13'!$C$36)</f>
        <v/>
      </c>
      <c r="Y104" s="193" t="str">
        <f>IF(X104="","",$B104*'AEO 2017_Table 13'!Z$36/'AEO 2017_Table 13'!$C$36)</f>
        <v/>
      </c>
      <c r="Z104" s="193" t="str">
        <f>IF(Y104="","",$B104*'AEO 2017_Table 13'!AA$36/'AEO 2017_Table 13'!$C$36)</f>
        <v/>
      </c>
      <c r="AA104" s="193" t="str">
        <f>IF(Z104="","",$B104*'AEO 2017_Table 13'!AB$36/'AEO 2017_Table 13'!$C$36)</f>
        <v/>
      </c>
      <c r="AB104" s="193" t="str">
        <f>IF(AA104="","",$B104*'AEO 2017_Table 13'!AC$36/'AEO 2017_Table 13'!$C$36)</f>
        <v/>
      </c>
      <c r="AC104" s="193" t="str">
        <f>IF(AB104="","",$B104*'AEO 2017_Table 13'!AD$36/'AEO 2017_Table 13'!$C$36)</f>
        <v/>
      </c>
      <c r="AD104" s="193" t="str">
        <f>IF(AC104="","",$B104*'AEO 2017_Table 13'!AE$36/'AEO 2017_Table 13'!$C$36)</f>
        <v/>
      </c>
      <c r="AE104" s="193" t="str">
        <f>IF(AD104="","",$B104*'AEO 2017_Table 13'!AF$36/'AEO 2017_Table 13'!$C$36)</f>
        <v/>
      </c>
      <c r="AF104" s="193" t="str">
        <f>IF(AE104="","",$B104*'AEO 2017_Table 13'!AG$36/'AEO 2017_Table 13'!$C$36)</f>
        <v/>
      </c>
      <c r="AG104" s="193" t="str">
        <f>IF(AF104="","",$B104*'AEO 2017_Table 13'!AH$36/'AEO 2017_Table 13'!$C$36)</f>
        <v/>
      </c>
      <c r="AH104" s="193" t="str">
        <f>IF(AG104="","",$B104*'AEO 2017_Table 13'!AI$36/'AEO 2017_Table 13'!$C$36)</f>
        <v/>
      </c>
      <c r="AI104" s="193" t="str">
        <f>IF(AH104="","",$B104*'AEO 2017_Table 13'!AJ$36/'AEO 2017_Table 13'!$C$36)</f>
        <v/>
      </c>
      <c r="AJ104" s="193" t="str">
        <f>IF(AI104="","",$B104*'AEO 2017_Table 13'!AK$36/'AEO 2017_Table 13'!$C$36)</f>
        <v/>
      </c>
      <c r="AK104" s="193" t="str">
        <f>IF(AJ104="","",$B104*'AEO 2017_Table 13'!AL$36/'AEO 2017_Table 13'!$C$36)</f>
        <v/>
      </c>
    </row>
    <row r="105" spans="1:37" x14ac:dyDescent="0.25">
      <c r="A105" s="215" t="s">
        <v>1470</v>
      </c>
      <c r="B105" s="195">
        <v>572.43708783755665</v>
      </c>
      <c r="C105" s="195">
        <f>IF(B105="","",$B105*'AEO 2017_Table 13'!D$36/'AEO 2017_Table 13'!$C$36)</f>
        <v>580.59862639952132</v>
      </c>
      <c r="D105" s="195">
        <f>IF(C105="","",$B105*'AEO 2017_Table 13'!E$36/'AEO 2017_Table 13'!$C$36)</f>
        <v>584.18605132625214</v>
      </c>
      <c r="E105" s="195">
        <f>IF(D105="","",$B105*'AEO 2017_Table 13'!F$36/'AEO 2017_Table 13'!$C$36)</f>
        <v>590.28263872966011</v>
      </c>
      <c r="F105" s="195">
        <f>IF(E105="","",$B105*'AEO 2017_Table 13'!G$36/'AEO 2017_Table 13'!$C$36)</f>
        <v>583.22374032397647</v>
      </c>
      <c r="G105" s="195">
        <f>IF(F105="","",$B105*'AEO 2017_Table 13'!H$36/'AEO 2017_Table 13'!$C$36)</f>
        <v>573.96300217700559</v>
      </c>
      <c r="H105" s="195">
        <f>IF(G105="","",$B105*'AEO 2017_Table 13'!I$36/'AEO 2017_Table 13'!$C$36)</f>
        <v>570.79669058684942</v>
      </c>
      <c r="I105" s="195">
        <f>IF(H105="","",$B105*'AEO 2017_Table 13'!J$36/'AEO 2017_Table 13'!$C$36)</f>
        <v>572.00905140024622</v>
      </c>
      <c r="J105" s="195">
        <f>IF(I105="","",$B105*'AEO 2017_Table 13'!K$36/'AEO 2017_Table 13'!$C$36)</f>
        <v>576.82318684008067</v>
      </c>
      <c r="K105" s="195">
        <f>IF(J105="","",$B105*'AEO 2017_Table 13'!L$36/'AEO 2017_Table 13'!$C$36)</f>
        <v>581.60522426741295</v>
      </c>
      <c r="L105" s="195">
        <f>IF(K105="","",$B105*'AEO 2017_Table 13'!M$36/'AEO 2017_Table 13'!$C$36)</f>
        <v>589.33669142003271</v>
      </c>
      <c r="M105" s="195">
        <f>IF(L105="","",$B105*'AEO 2017_Table 13'!N$36/'AEO 2017_Table 13'!$C$36)</f>
        <v>595.50271962172997</v>
      </c>
      <c r="N105" s="195">
        <f>IF(M105="","",$B105*'AEO 2017_Table 13'!O$36/'AEO 2017_Table 13'!$C$36)</f>
        <v>596.48817056373764</v>
      </c>
      <c r="O105" s="195">
        <f>IF(N105="","",$B105*'AEO 2017_Table 13'!P$36/'AEO 2017_Table 13'!$C$36)</f>
        <v>598.46286966361129</v>
      </c>
      <c r="P105" s="195">
        <f>IF(O105="","",$B105*'AEO 2017_Table 13'!Q$36/'AEO 2017_Table 13'!$C$36)</f>
        <v>599.57299935614287</v>
      </c>
      <c r="Q105" s="195">
        <f>IF(P105="","",$B105*'AEO 2017_Table 13'!R$36/'AEO 2017_Table 13'!$C$36)</f>
        <v>600.13551178047294</v>
      </c>
      <c r="R105" s="195">
        <f>IF(Q105="","",$B105*'AEO 2017_Table 13'!S$36/'AEO 2017_Table 13'!$C$36)</f>
        <v>602.25347710739129</v>
      </c>
      <c r="S105" s="195">
        <f>IF(R105="","",$B105*'AEO 2017_Table 13'!T$36/'AEO 2017_Table 13'!$C$36)</f>
        <v>606.32260299168161</v>
      </c>
      <c r="T105" s="195">
        <f>IF(S105="","",$B105*'AEO 2017_Table 13'!U$36/'AEO 2017_Table 13'!$C$36)</f>
        <v>610.22280521801838</v>
      </c>
      <c r="U105" s="195">
        <f>IF(T105="","",$B105*'AEO 2017_Table 13'!V$36/'AEO 2017_Table 13'!$C$36)</f>
        <v>617.54937587305972</v>
      </c>
      <c r="V105" s="195">
        <f>IF(U105="","",$B105*'AEO 2017_Table 13'!W$36/'AEO 2017_Table 13'!$C$36)</f>
        <v>626.46137855478469</v>
      </c>
      <c r="W105" s="195">
        <f>IF(V105="","",$B105*'AEO 2017_Table 13'!X$36/'AEO 2017_Table 13'!$C$36)</f>
        <v>633.15656242272132</v>
      </c>
      <c r="X105" s="195">
        <f>IF(W105="","",$B105*'AEO 2017_Table 13'!Y$36/'AEO 2017_Table 13'!$C$36)</f>
        <v>639.06668764631183</v>
      </c>
      <c r="Y105" s="195">
        <f>IF(X105="","",$B105*'AEO 2017_Table 13'!Z$36/'AEO 2017_Table 13'!$C$36)</f>
        <v>645.13149172361454</v>
      </c>
      <c r="Z105" s="195">
        <f>IF(Y105="","",$B105*'AEO 2017_Table 13'!AA$36/'AEO 2017_Table 13'!$C$36)</f>
        <v>652.94855357624044</v>
      </c>
      <c r="AA105" s="195">
        <f>IF(Z105="","",$B105*'AEO 2017_Table 13'!AB$36/'AEO 2017_Table 13'!$C$36)</f>
        <v>657.24402289640511</v>
      </c>
      <c r="AB105" s="195">
        <f>IF(AA105="","",$B105*'AEO 2017_Table 13'!AC$36/'AEO 2017_Table 13'!$C$36)</f>
        <v>661.6537233787102</v>
      </c>
      <c r="AC105" s="195">
        <f>IF(AB105="","",$B105*'AEO 2017_Table 13'!AD$36/'AEO 2017_Table 13'!$C$36)</f>
        <v>664.79953839486984</v>
      </c>
      <c r="AD105" s="195">
        <f>IF(AC105="","",$B105*'AEO 2017_Table 13'!AE$36/'AEO 2017_Table 13'!$C$36)</f>
        <v>669.11774905199684</v>
      </c>
      <c r="AE105" s="195">
        <f>IF(AD105="","",$B105*'AEO 2017_Table 13'!AF$36/'AEO 2017_Table 13'!$C$36)</f>
        <v>675.28128074161054</v>
      </c>
      <c r="AF105" s="195">
        <f>IF(AE105="","",$B105*'AEO 2017_Table 13'!AG$36/'AEO 2017_Table 13'!$C$36)</f>
        <v>681.54450508181981</v>
      </c>
      <c r="AG105" s="195">
        <f>IF(AF105="","",$B105*'AEO 2017_Table 13'!AH$36/'AEO 2017_Table 13'!$C$36)</f>
        <v>686.95685936250663</v>
      </c>
      <c r="AH105" s="195">
        <f>IF(AG105="","",$B105*'AEO 2017_Table 13'!AI$36/'AEO 2017_Table 13'!$C$36)</f>
        <v>692.57000454362469</v>
      </c>
      <c r="AI105" s="195">
        <f>IF(AH105="","",$B105*'AEO 2017_Table 13'!AJ$36/'AEO 2017_Table 13'!$C$36)</f>
        <v>696.95463500962899</v>
      </c>
      <c r="AJ105" s="195">
        <f>IF(AI105="","",$B105*'AEO 2017_Table 13'!AK$36/'AEO 2017_Table 13'!$C$36)</f>
        <v>701.42257345448752</v>
      </c>
      <c r="AK105" s="195">
        <f>IF(AJ105="","",$B105*'AEO 2017_Table 13'!AL$36/'AEO 2017_Table 13'!$C$36)</f>
        <v>707.57582538846327</v>
      </c>
    </row>
    <row r="106" spans="1:37" x14ac:dyDescent="0.25">
      <c r="A106" s="214" t="s">
        <v>1471</v>
      </c>
      <c r="B106" s="198">
        <v>117.37087999999999</v>
      </c>
      <c r="C106" s="198">
        <f>IF(B106="","",$B106*'AEO 2017_Table 13'!D$36/'AEO 2017_Table 13'!$C$36)</f>
        <v>119.0442987625585</v>
      </c>
      <c r="D106" s="198">
        <f>IF(C106="","",$B106*'AEO 2017_Table 13'!E$36/'AEO 2017_Table 13'!$C$36)</f>
        <v>119.77985421403166</v>
      </c>
      <c r="E106" s="198">
        <f>IF(D106="","",$B106*'AEO 2017_Table 13'!F$36/'AEO 2017_Table 13'!$C$36)</f>
        <v>121.02988123663081</v>
      </c>
      <c r="F106" s="198">
        <f>IF(E106="","",$B106*'AEO 2017_Table 13'!G$36/'AEO 2017_Table 13'!$C$36)</f>
        <v>119.5825446902944</v>
      </c>
      <c r="G106" s="198">
        <f>IF(F106="","",$B106*'AEO 2017_Table 13'!H$36/'AEO 2017_Table 13'!$C$36)</f>
        <v>117.68374915650818</v>
      </c>
      <c r="H106" s="198">
        <f>IF(G106="","",$B106*'AEO 2017_Table 13'!I$36/'AEO 2017_Table 13'!$C$36)</f>
        <v>117.03453759145269</v>
      </c>
      <c r="I106" s="198">
        <f>IF(H106="","",$B106*'AEO 2017_Table 13'!J$36/'AEO 2017_Table 13'!$C$36)</f>
        <v>117.2831166206058</v>
      </c>
      <c r="J106" s="198">
        <f>IF(I106="","",$B106*'AEO 2017_Table 13'!K$36/'AEO 2017_Table 13'!$C$36)</f>
        <v>118.27019332303796</v>
      </c>
      <c r="K106" s="198">
        <f>IF(J106="","",$B106*'AEO 2017_Table 13'!L$36/'AEO 2017_Table 13'!$C$36)</f>
        <v>119.25068873985168</v>
      </c>
      <c r="L106" s="198">
        <f>IF(K106="","",$B106*'AEO 2017_Table 13'!M$36/'AEO 2017_Table 13'!$C$36)</f>
        <v>120.83592687811078</v>
      </c>
      <c r="M106" s="198">
        <f>IF(L106="","",$B106*'AEO 2017_Table 13'!N$36/'AEO 2017_Table 13'!$C$36)</f>
        <v>122.10019184541389</v>
      </c>
      <c r="N106" s="198">
        <f>IF(M106="","",$B106*'AEO 2017_Table 13'!O$36/'AEO 2017_Table 13'!$C$36)</f>
        <v>122.30224591688784</v>
      </c>
      <c r="O106" s="198">
        <f>IF(N106="","",$B106*'AEO 2017_Table 13'!P$36/'AEO 2017_Table 13'!$C$36)</f>
        <v>122.70713263022594</v>
      </c>
      <c r="P106" s="198">
        <f>IF(O106="","",$B106*'AEO 2017_Table 13'!Q$36/'AEO 2017_Table 13'!$C$36)</f>
        <v>122.934750479759</v>
      </c>
      <c r="Q106" s="198">
        <f>IF(P106="","",$B106*'AEO 2017_Table 13'!R$36/'AEO 2017_Table 13'!$C$36)</f>
        <v>123.05008643484877</v>
      </c>
      <c r="R106" s="198">
        <f>IF(Q106="","",$B106*'AEO 2017_Table 13'!S$36/'AEO 2017_Table 13'!$C$36)</f>
        <v>123.48434804981324</v>
      </c>
      <c r="S106" s="198">
        <f>IF(R106="","",$B106*'AEO 2017_Table 13'!T$36/'AEO 2017_Table 13'!$C$36)</f>
        <v>124.31867010199562</v>
      </c>
      <c r="T106" s="198">
        <f>IF(S106="","",$B106*'AEO 2017_Table 13'!U$36/'AEO 2017_Table 13'!$C$36)</f>
        <v>125.11835652555072</v>
      </c>
      <c r="U106" s="198">
        <f>IF(T106="","",$B106*'AEO 2017_Table 13'!V$36/'AEO 2017_Table 13'!$C$36)</f>
        <v>126.62057583215233</v>
      </c>
      <c r="V106" s="198">
        <f>IF(U106="","",$B106*'AEO 2017_Table 13'!W$36/'AEO 2017_Table 13'!$C$36)</f>
        <v>128.44786763336637</v>
      </c>
      <c r="W106" s="198">
        <f>IF(V106="","",$B106*'AEO 2017_Table 13'!X$36/'AEO 2017_Table 13'!$C$36)</f>
        <v>129.82062918050869</v>
      </c>
      <c r="X106" s="198">
        <f>IF(W106="","",$B106*'AEO 2017_Table 13'!Y$36/'AEO 2017_Table 13'!$C$36)</f>
        <v>131.0324245256067</v>
      </c>
      <c r="Y106" s="198">
        <f>IF(X106="","",$B106*'AEO 2017_Table 13'!Z$36/'AEO 2017_Table 13'!$C$36)</f>
        <v>132.27593478499543</v>
      </c>
      <c r="Z106" s="198">
        <f>IF(Y106="","",$B106*'AEO 2017_Table 13'!AA$36/'AEO 2017_Table 13'!$C$36)</f>
        <v>133.87872301823705</v>
      </c>
      <c r="AA106" s="198">
        <f>IF(Z106="","",$B106*'AEO 2017_Table 13'!AB$36/'AEO 2017_Table 13'!$C$36)</f>
        <v>134.75945388776412</v>
      </c>
      <c r="AB106" s="198">
        <f>IF(AA106="","",$B106*'AEO 2017_Table 13'!AC$36/'AEO 2017_Table 13'!$C$36)</f>
        <v>135.6636063914039</v>
      </c>
      <c r="AC106" s="198">
        <f>IF(AB106="","",$B106*'AEO 2017_Table 13'!AD$36/'AEO 2017_Table 13'!$C$36)</f>
        <v>136.3086153969501</v>
      </c>
      <c r="AD106" s="198">
        <f>IF(AC106="","",$B106*'AEO 2017_Table 13'!AE$36/'AEO 2017_Table 13'!$C$36)</f>
        <v>137.19400908583034</v>
      </c>
      <c r="AE106" s="198">
        <f>IF(AD106="","",$B106*'AEO 2017_Table 13'!AF$36/'AEO 2017_Table 13'!$C$36)</f>
        <v>138.45776217536311</v>
      </c>
      <c r="AF106" s="198">
        <f>IF(AE106="","",$B106*'AEO 2017_Table 13'!AG$36/'AEO 2017_Table 13'!$C$36)</f>
        <v>139.74195596375793</v>
      </c>
      <c r="AG106" s="198">
        <f>IF(AF106="","",$B106*'AEO 2017_Table 13'!AH$36/'AEO 2017_Table 13'!$C$36)</f>
        <v>140.85168976384361</v>
      </c>
      <c r="AH106" s="198">
        <f>IF(AG106="","",$B106*'AEO 2017_Table 13'!AI$36/'AEO 2017_Table 13'!$C$36)</f>
        <v>142.00259316174251</v>
      </c>
      <c r="AI106" s="198">
        <f>IF(AH106="","",$B106*'AEO 2017_Table 13'!AJ$36/'AEO 2017_Table 13'!$C$36)</f>
        <v>142.9016053802097</v>
      </c>
      <c r="AJ106" s="198">
        <f>IF(AI106="","",$B106*'AEO 2017_Table 13'!AK$36/'AEO 2017_Table 13'!$C$36)</f>
        <v>143.81769883082777</v>
      </c>
      <c r="AK106" s="198">
        <f>IF(AJ106="","",$B106*'AEO 2017_Table 13'!AL$36/'AEO 2017_Table 13'!$C$36)</f>
        <v>145.0793441883651</v>
      </c>
    </row>
    <row r="107" spans="1:37" x14ac:dyDescent="0.25">
      <c r="A107" s="214" t="s">
        <v>1472</v>
      </c>
      <c r="B107" s="198">
        <v>339.36186918714554</v>
      </c>
      <c r="C107" s="198">
        <f>IF(B107="","",$B107*'AEO 2017_Table 13'!D$36/'AEO 2017_Table 13'!$C$36)</f>
        <v>344.20033098614289</v>
      </c>
      <c r="D107" s="198">
        <f>IF(C107="","",$B107*'AEO 2017_Table 13'!E$36/'AEO 2017_Table 13'!$C$36)</f>
        <v>346.32708911305406</v>
      </c>
      <c r="E107" s="198">
        <f>IF(D107="","",$B107*'AEO 2017_Table 13'!F$36/'AEO 2017_Table 13'!$C$36)</f>
        <v>349.94137152214643</v>
      </c>
      <c r="F107" s="198">
        <f>IF(E107="","",$B107*'AEO 2017_Table 13'!G$36/'AEO 2017_Table 13'!$C$36)</f>
        <v>345.75659557339668</v>
      </c>
      <c r="G107" s="198">
        <f>IF(F107="","",$B107*'AEO 2017_Table 13'!H$36/'AEO 2017_Table 13'!$C$36)</f>
        <v>340.26648762200455</v>
      </c>
      <c r="H107" s="198">
        <f>IF(G107="","",$B107*'AEO 2017_Table 13'!I$36/'AEO 2017_Table 13'!$C$36)</f>
        <v>338.38938104995589</v>
      </c>
      <c r="I107" s="198">
        <f>IF(H107="","",$B107*'AEO 2017_Table 13'!J$36/'AEO 2017_Table 13'!$C$36)</f>
        <v>339.10811336221354</v>
      </c>
      <c r="J107" s="198">
        <f>IF(I107="","",$B107*'AEO 2017_Table 13'!K$36/'AEO 2017_Table 13'!$C$36)</f>
        <v>341.96211083389022</v>
      </c>
      <c r="K107" s="198">
        <f>IF(J107="","",$B107*'AEO 2017_Table 13'!L$36/'AEO 2017_Table 13'!$C$36)</f>
        <v>344.79707941706295</v>
      </c>
      <c r="L107" s="198">
        <f>IF(K107="","",$B107*'AEO 2017_Table 13'!M$36/'AEO 2017_Table 13'!$C$36)</f>
        <v>349.38057898447147</v>
      </c>
      <c r="M107" s="198">
        <f>IF(L107="","",$B107*'AEO 2017_Table 13'!N$36/'AEO 2017_Table 13'!$C$36)</f>
        <v>353.03602846607885</v>
      </c>
      <c r="N107" s="198">
        <f>IF(M107="","",$B107*'AEO 2017_Table 13'!O$36/'AEO 2017_Table 13'!$C$36)</f>
        <v>353.62024021751398</v>
      </c>
      <c r="O107" s="198">
        <f>IF(N107="","",$B107*'AEO 2017_Table 13'!P$36/'AEO 2017_Table 13'!$C$36)</f>
        <v>354.79091485033138</v>
      </c>
      <c r="P107" s="198">
        <f>IF(O107="","",$B107*'AEO 2017_Table 13'!Q$36/'AEO 2017_Table 13'!$C$36)</f>
        <v>355.44904077456317</v>
      </c>
      <c r="Q107" s="198">
        <f>IF(P107="","",$B107*'AEO 2017_Table 13'!R$36/'AEO 2017_Table 13'!$C$36)</f>
        <v>355.7825189362992</v>
      </c>
      <c r="R107" s="198">
        <f>IF(Q107="","",$B107*'AEO 2017_Table 13'!S$36/'AEO 2017_Table 13'!$C$36)</f>
        <v>357.03812708519075</v>
      </c>
      <c r="S107" s="198">
        <f>IF(R107="","",$B107*'AEO 2017_Table 13'!T$36/'AEO 2017_Table 13'!$C$36)</f>
        <v>359.45045534866347</v>
      </c>
      <c r="T107" s="198">
        <f>IF(S107="","",$B107*'AEO 2017_Table 13'!U$36/'AEO 2017_Table 13'!$C$36)</f>
        <v>361.76263942244088</v>
      </c>
      <c r="U107" s="198">
        <f>IF(T107="","",$B107*'AEO 2017_Table 13'!V$36/'AEO 2017_Table 13'!$C$36)</f>
        <v>366.10610137669516</v>
      </c>
      <c r="V107" s="198">
        <f>IF(U107="","",$B107*'AEO 2017_Table 13'!W$36/'AEO 2017_Table 13'!$C$36)</f>
        <v>371.38946605122385</v>
      </c>
      <c r="W107" s="198">
        <f>IF(V107="","",$B107*'AEO 2017_Table 13'!X$36/'AEO 2017_Table 13'!$C$36)</f>
        <v>375.35861857514169</v>
      </c>
      <c r="X107" s="198">
        <f>IF(W107="","",$B107*'AEO 2017_Table 13'!Y$36/'AEO 2017_Table 13'!$C$36)</f>
        <v>378.86235931036282</v>
      </c>
      <c r="Y107" s="198">
        <f>IF(X107="","",$B107*'AEO 2017_Table 13'!Z$36/'AEO 2017_Table 13'!$C$36)</f>
        <v>382.45779938868162</v>
      </c>
      <c r="Z107" s="198">
        <f>IF(Y107="","",$B107*'AEO 2017_Table 13'!AA$36/'AEO 2017_Table 13'!$C$36)</f>
        <v>387.09204265876735</v>
      </c>
      <c r="AA107" s="198">
        <f>IF(Z107="","",$B107*'AEO 2017_Table 13'!AB$36/'AEO 2017_Table 13'!$C$36)</f>
        <v>389.63855567914794</v>
      </c>
      <c r="AB107" s="198">
        <f>IF(AA107="","",$B107*'AEO 2017_Table 13'!AC$36/'AEO 2017_Table 13'!$C$36)</f>
        <v>392.25278915567486</v>
      </c>
      <c r="AC107" s="198">
        <f>IF(AB107="","",$B107*'AEO 2017_Table 13'!AD$36/'AEO 2017_Table 13'!$C$36)</f>
        <v>394.11774460088157</v>
      </c>
      <c r="AD107" s="198">
        <f>IF(AC107="","",$B107*'AEO 2017_Table 13'!AE$36/'AEO 2017_Table 13'!$C$36)</f>
        <v>396.67773952658126</v>
      </c>
      <c r="AE107" s="198">
        <f>IF(AD107="","",$B107*'AEO 2017_Table 13'!AF$36/'AEO 2017_Table 13'!$C$36)</f>
        <v>400.33170898352722</v>
      </c>
      <c r="AF107" s="198">
        <f>IF(AE107="","",$B107*'AEO 2017_Table 13'!AG$36/'AEO 2017_Table 13'!$C$36)</f>
        <v>404.04477992947369</v>
      </c>
      <c r="AG107" s="198">
        <f>IF(AF107="","",$B107*'AEO 2017_Table 13'!AH$36/'AEO 2017_Table 13'!$C$36)</f>
        <v>407.25342364669933</v>
      </c>
      <c r="AH107" s="198">
        <f>IF(AG107="","",$B107*'AEO 2017_Table 13'!AI$36/'AEO 2017_Table 13'!$C$36)</f>
        <v>410.58110363312187</v>
      </c>
      <c r="AI107" s="198">
        <f>IF(AH107="","",$B107*'AEO 2017_Table 13'!AJ$36/'AEO 2017_Table 13'!$C$36)</f>
        <v>413.18047467712449</v>
      </c>
      <c r="AJ107" s="198">
        <f>IF(AI107="","",$B107*'AEO 2017_Table 13'!AK$36/'AEO 2017_Table 13'!$C$36)</f>
        <v>415.82923377096319</v>
      </c>
      <c r="AK107" s="198">
        <f>IF(AJ107="","",$B107*'AEO 2017_Table 13'!AL$36/'AEO 2017_Table 13'!$C$36)</f>
        <v>419.47710900871516</v>
      </c>
    </row>
    <row r="108" spans="1:37" x14ac:dyDescent="0.25">
      <c r="A108" s="214" t="s">
        <v>1473</v>
      </c>
      <c r="B108" s="198">
        <v>56.989675661566686</v>
      </c>
      <c r="C108" s="198">
        <f>IF(B108="","",$B108*'AEO 2017_Table 13'!D$36/'AEO 2017_Table 13'!$C$36)</f>
        <v>57.802207633076058</v>
      </c>
      <c r="D108" s="198">
        <f>IF(C108="","",$B108*'AEO 2017_Table 13'!E$36/'AEO 2017_Table 13'!$C$36)</f>
        <v>58.159358117170171</v>
      </c>
      <c r="E108" s="198">
        <f>IF(D108="","",$B108*'AEO 2017_Table 13'!F$36/'AEO 2017_Table 13'!$C$36)</f>
        <v>58.766311345995923</v>
      </c>
      <c r="F108" s="198">
        <f>IF(E108="","",$B108*'AEO 2017_Table 13'!G$36/'AEO 2017_Table 13'!$C$36)</f>
        <v>58.063554066261432</v>
      </c>
      <c r="G108" s="198">
        <f>IF(F108="","",$B108*'AEO 2017_Table 13'!H$36/'AEO 2017_Table 13'!$C$36)</f>
        <v>57.141589933266026</v>
      </c>
      <c r="H108" s="198">
        <f>IF(G108="","",$B108*'AEO 2017_Table 13'!I$36/'AEO 2017_Table 13'!$C$36)</f>
        <v>56.826363903366186</v>
      </c>
      <c r="I108" s="198">
        <f>IF(H108="","",$B108*'AEO 2017_Table 13'!J$36/'AEO 2017_Table 13'!$C$36)</f>
        <v>56.947061969596092</v>
      </c>
      <c r="J108" s="198">
        <f>IF(I108="","",$B108*'AEO 2017_Table 13'!K$36/'AEO 2017_Table 13'!$C$36)</f>
        <v>57.426339121856493</v>
      </c>
      <c r="K108" s="198">
        <f>IF(J108="","",$B108*'AEO 2017_Table 13'!L$36/'AEO 2017_Table 13'!$C$36)</f>
        <v>57.902420717153952</v>
      </c>
      <c r="L108" s="198">
        <f>IF(K108="","",$B108*'AEO 2017_Table 13'!M$36/'AEO 2017_Table 13'!$C$36)</f>
        <v>58.672136402558479</v>
      </c>
      <c r="M108" s="198">
        <f>IF(L108="","",$B108*'AEO 2017_Table 13'!N$36/'AEO 2017_Table 13'!$C$36)</f>
        <v>59.286002895140669</v>
      </c>
      <c r="N108" s="198">
        <f>IF(M108="","",$B108*'AEO 2017_Table 13'!O$36/'AEO 2017_Table 13'!$C$36)</f>
        <v>59.384110671101794</v>
      </c>
      <c r="O108" s="198">
        <f>IF(N108="","",$B108*'AEO 2017_Table 13'!P$36/'AEO 2017_Table 13'!$C$36)</f>
        <v>59.58070425950136</v>
      </c>
      <c r="P108" s="198">
        <f>IF(O108="","",$B108*'AEO 2017_Table 13'!Q$36/'AEO 2017_Table 13'!$C$36)</f>
        <v>59.691224581234252</v>
      </c>
      <c r="Q108" s="198">
        <f>IF(P108="","",$B108*'AEO 2017_Table 13'!R$36/'AEO 2017_Table 13'!$C$36)</f>
        <v>59.747226194860076</v>
      </c>
      <c r="R108" s="198">
        <f>IF(Q108="","",$B108*'AEO 2017_Table 13'!S$36/'AEO 2017_Table 13'!$C$36)</f>
        <v>59.958082828030868</v>
      </c>
      <c r="S108" s="198">
        <f>IF(R108="","",$B108*'AEO 2017_Table 13'!T$36/'AEO 2017_Table 13'!$C$36)</f>
        <v>60.363189641161746</v>
      </c>
      <c r="T108" s="198">
        <f>IF(S108="","",$B108*'AEO 2017_Table 13'!U$36/'AEO 2017_Table 13'!$C$36)</f>
        <v>60.751479052550359</v>
      </c>
      <c r="U108" s="198">
        <f>IF(T108="","",$B108*'AEO 2017_Table 13'!V$36/'AEO 2017_Table 13'!$C$36)</f>
        <v>61.480884771036656</v>
      </c>
      <c r="V108" s="198">
        <f>IF(U108="","",$B108*'AEO 2017_Table 13'!W$36/'AEO 2017_Table 13'!$C$36)</f>
        <v>62.368130117499327</v>
      </c>
      <c r="W108" s="198">
        <f>IF(V108="","",$B108*'AEO 2017_Table 13'!X$36/'AEO 2017_Table 13'!$C$36)</f>
        <v>63.03467735078506</v>
      </c>
      <c r="X108" s="198">
        <f>IF(W108="","",$B108*'AEO 2017_Table 13'!Y$36/'AEO 2017_Table 13'!$C$36)</f>
        <v>63.623067108835208</v>
      </c>
      <c r="Y108" s="198">
        <f>IF(X108="","",$B108*'AEO 2017_Table 13'!Z$36/'AEO 2017_Table 13'!$C$36)</f>
        <v>64.226856109687844</v>
      </c>
      <c r="Z108" s="198">
        <f>IF(Y108="","",$B108*'AEO 2017_Table 13'!AA$36/'AEO 2017_Table 13'!$C$36)</f>
        <v>65.005093280326889</v>
      </c>
      <c r="AA108" s="198">
        <f>IF(Z108="","",$B108*'AEO 2017_Table 13'!AB$36/'AEO 2017_Table 13'!$C$36)</f>
        <v>65.43273399154485</v>
      </c>
      <c r="AB108" s="198">
        <f>IF(AA108="","",$B108*'AEO 2017_Table 13'!AC$36/'AEO 2017_Table 13'!$C$36)</f>
        <v>65.871747126072108</v>
      </c>
      <c r="AC108" s="198">
        <f>IF(AB108="","",$B108*'AEO 2017_Table 13'!AD$36/'AEO 2017_Table 13'!$C$36)</f>
        <v>66.184932594434173</v>
      </c>
      <c r="AD108" s="198">
        <f>IF(AC108="","",$B108*'AEO 2017_Table 13'!AE$36/'AEO 2017_Table 13'!$C$36)</f>
        <v>66.614837347317376</v>
      </c>
      <c r="AE108" s="198">
        <f>IF(AD108="","",$B108*'AEO 2017_Table 13'!AF$36/'AEO 2017_Table 13'!$C$36)</f>
        <v>67.228455296580222</v>
      </c>
      <c r="AF108" s="198">
        <f>IF(AE108="","",$B108*'AEO 2017_Table 13'!AG$36/'AEO 2017_Table 13'!$C$36)</f>
        <v>67.851998269822118</v>
      </c>
      <c r="AG108" s="198">
        <f>IF(AF108="","",$B108*'AEO 2017_Table 13'!AH$36/'AEO 2017_Table 13'!$C$36)</f>
        <v>68.390831831754696</v>
      </c>
      <c r="AH108" s="198">
        <f>IF(AG108="","",$B108*'AEO 2017_Table 13'!AI$36/'AEO 2017_Table 13'!$C$36)</f>
        <v>68.949655377799957</v>
      </c>
      <c r="AI108" s="198">
        <f>IF(AH108="","",$B108*'AEO 2017_Table 13'!AJ$36/'AEO 2017_Table 13'!$C$36)</f>
        <v>69.386172636137204</v>
      </c>
      <c r="AJ108" s="198">
        <f>IF(AI108="","",$B108*'AEO 2017_Table 13'!AK$36/'AEO 2017_Table 13'!$C$36)</f>
        <v>69.830983722382868</v>
      </c>
      <c r="AK108" s="198">
        <f>IF(AJ108="","",$B108*'AEO 2017_Table 13'!AL$36/'AEO 2017_Table 13'!$C$36)</f>
        <v>70.443578257977848</v>
      </c>
    </row>
    <row r="109" spans="1:37" x14ac:dyDescent="0.25">
      <c r="A109" s="208" t="s">
        <v>1474</v>
      </c>
      <c r="B109" s="197">
        <v>58.714662988844267</v>
      </c>
      <c r="C109" s="197">
        <f>IF(B109="","",$B109*'AEO 2017_Table 13'!D$36/'AEO 2017_Table 13'!$C$36)</f>
        <v>59.551789017743701</v>
      </c>
      <c r="D109" s="197">
        <f>IF(C109="","",$B109*'AEO 2017_Table 13'!E$36/'AEO 2017_Table 13'!$C$36)</f>
        <v>59.919749881996005</v>
      </c>
      <c r="E109" s="197">
        <f>IF(D109="","",$B109*'AEO 2017_Table 13'!F$36/'AEO 2017_Table 13'!$C$36)</f>
        <v>60.545074624886723</v>
      </c>
      <c r="F109" s="197">
        <f>IF(E109="","",$B109*'AEO 2017_Table 13'!G$36/'AEO 2017_Table 13'!$C$36)</f>
        <v>59.82104599402377</v>
      </c>
      <c r="G109" s="197">
        <f>IF(F109="","",$B109*'AEO 2017_Table 13'!H$36/'AEO 2017_Table 13'!$C$36)</f>
        <v>58.871175465226678</v>
      </c>
      <c r="H109" s="197">
        <f>IF(G109="","",$B109*'AEO 2017_Table 13'!I$36/'AEO 2017_Table 13'!$C$36)</f>
        <v>58.546408042074589</v>
      </c>
      <c r="I109" s="197">
        <f>IF(H109="","",$B109*'AEO 2017_Table 13'!J$36/'AEO 2017_Table 13'!$C$36)</f>
        <v>58.670759447830591</v>
      </c>
      <c r="J109" s="197">
        <f>IF(I109="","",$B109*'AEO 2017_Table 13'!K$36/'AEO 2017_Table 13'!$C$36)</f>
        <v>59.164543561295908</v>
      </c>
      <c r="K109" s="197">
        <f>IF(J109="","",$B109*'AEO 2017_Table 13'!L$36/'AEO 2017_Table 13'!$C$36)</f>
        <v>59.655035393344228</v>
      </c>
      <c r="L109" s="197">
        <f>IF(K109="","",$B109*'AEO 2017_Table 13'!M$36/'AEO 2017_Table 13'!$C$36)</f>
        <v>60.448049154891777</v>
      </c>
      <c r="M109" s="197">
        <f>IF(L109="","",$B109*'AEO 2017_Table 13'!N$36/'AEO 2017_Table 13'!$C$36)</f>
        <v>61.080496415096384</v>
      </c>
      <c r="N109" s="197">
        <f>IF(M109="","",$B109*'AEO 2017_Table 13'!O$36/'AEO 2017_Table 13'!$C$36)</f>
        <v>61.181573758233945</v>
      </c>
      <c r="O109" s="197">
        <f>IF(N109="","",$B109*'AEO 2017_Table 13'!P$36/'AEO 2017_Table 13'!$C$36)</f>
        <v>61.384117923552523</v>
      </c>
      <c r="P109" s="197">
        <f>IF(O109="","",$B109*'AEO 2017_Table 13'!Q$36/'AEO 2017_Table 13'!$C$36)</f>
        <v>61.497983520586295</v>
      </c>
      <c r="Q109" s="197">
        <f>IF(P109="","",$B109*'AEO 2017_Table 13'!R$36/'AEO 2017_Table 13'!$C$36)</f>
        <v>61.555680214464644</v>
      </c>
      <c r="R109" s="197">
        <f>IF(Q109="","",$B109*'AEO 2017_Table 13'!S$36/'AEO 2017_Table 13'!$C$36)</f>
        <v>61.772919144356202</v>
      </c>
      <c r="S109" s="197">
        <f>IF(R109="","",$B109*'AEO 2017_Table 13'!T$36/'AEO 2017_Table 13'!$C$36)</f>
        <v>62.190287899860543</v>
      </c>
      <c r="T109" s="197">
        <f>IF(S109="","",$B109*'AEO 2017_Table 13'!U$36/'AEO 2017_Table 13'!$C$36)</f>
        <v>62.590330217476215</v>
      </c>
      <c r="U109" s="197">
        <f>IF(T109="","",$B109*'AEO 2017_Table 13'!V$36/'AEO 2017_Table 13'!$C$36)</f>
        <v>63.341813893175406</v>
      </c>
      <c r="V109" s="197">
        <f>IF(U109="","",$B109*'AEO 2017_Table 13'!W$36/'AEO 2017_Table 13'!$C$36)</f>
        <v>64.255914752694906</v>
      </c>
      <c r="W109" s="197">
        <f>IF(V109="","",$B109*'AEO 2017_Table 13'!X$36/'AEO 2017_Table 13'!$C$36)</f>
        <v>64.942637316285698</v>
      </c>
      <c r="X109" s="197">
        <f>IF(W109="","",$B109*'AEO 2017_Table 13'!Y$36/'AEO 2017_Table 13'!$C$36)</f>
        <v>65.548836701506971</v>
      </c>
      <c r="Y109" s="197">
        <f>IF(X109="","",$B109*'AEO 2017_Table 13'!Z$36/'AEO 2017_Table 13'!$C$36)</f>
        <v>66.170901440249494</v>
      </c>
      <c r="Z109" s="197">
        <f>IF(Y109="","",$B109*'AEO 2017_Table 13'!AA$36/'AEO 2017_Table 13'!$C$36)</f>
        <v>66.972694618909031</v>
      </c>
      <c r="AA109" s="197">
        <f>IF(Z109="","",$B109*'AEO 2017_Table 13'!AB$36/'AEO 2017_Table 13'!$C$36)</f>
        <v>67.413279337947984</v>
      </c>
      <c r="AB109" s="197">
        <f>IF(AA109="","",$B109*'AEO 2017_Table 13'!AC$36/'AEO 2017_Table 13'!$C$36)</f>
        <v>67.865580705559168</v>
      </c>
      <c r="AC109" s="197">
        <f>IF(AB109="","",$B109*'AEO 2017_Table 13'!AD$36/'AEO 2017_Table 13'!$C$36)</f>
        <v>68.188245802603802</v>
      </c>
      <c r="AD109" s="197">
        <f>IF(AC109="","",$B109*'AEO 2017_Table 13'!AE$36/'AEO 2017_Table 13'!$C$36)</f>
        <v>68.631163092267599</v>
      </c>
      <c r="AE109" s="197">
        <f>IF(AD109="","",$B109*'AEO 2017_Table 13'!AF$36/'AEO 2017_Table 13'!$C$36)</f>
        <v>69.263354286139773</v>
      </c>
      <c r="AF109" s="197">
        <f>IF(AE109="","",$B109*'AEO 2017_Table 13'!AG$36/'AEO 2017_Table 13'!$C$36)</f>
        <v>69.90577091876591</v>
      </c>
      <c r="AG109" s="197">
        <f>IF(AF109="","",$B109*'AEO 2017_Table 13'!AH$36/'AEO 2017_Table 13'!$C$36)</f>
        <v>70.460914120208727</v>
      </c>
      <c r="AH109" s="197">
        <f>IF(AG109="","",$B109*'AEO 2017_Table 13'!AI$36/'AEO 2017_Table 13'!$C$36)</f>
        <v>71.036652370960113</v>
      </c>
      <c r="AI109" s="197">
        <f>IF(AH109="","",$B109*'AEO 2017_Table 13'!AJ$36/'AEO 2017_Table 13'!$C$36)</f>
        <v>71.486382316157361</v>
      </c>
      <c r="AJ109" s="197">
        <f>IF(AI109="","",$B109*'AEO 2017_Table 13'!AK$36/'AEO 2017_Table 13'!$C$36)</f>
        <v>71.944657130313374</v>
      </c>
      <c r="AK109" s="197">
        <f>IF(AJ109="","",$B109*'AEO 2017_Table 13'!AL$36/'AEO 2017_Table 13'!$C$36)</f>
        <v>72.575793933404938</v>
      </c>
    </row>
    <row r="110" spans="1:37" x14ac:dyDescent="0.25">
      <c r="A110" s="209" t="s">
        <v>1475</v>
      </c>
      <c r="B110" s="193"/>
      <c r="C110" s="193" t="str">
        <f>IF(B110="","",$B110*'AEO 2017_Table 13'!D$36/'AEO 2017_Table 13'!$C$36)</f>
        <v/>
      </c>
      <c r="D110" s="193" t="str">
        <f>IF(C110="","",$B110*'AEO 2017_Table 13'!E$36/'AEO 2017_Table 13'!$C$36)</f>
        <v/>
      </c>
      <c r="E110" s="193" t="str">
        <f>IF(D110="","",$B110*'AEO 2017_Table 13'!F$36/'AEO 2017_Table 13'!$C$36)</f>
        <v/>
      </c>
      <c r="F110" s="193" t="str">
        <f>IF(E110="","",$B110*'AEO 2017_Table 13'!G$36/'AEO 2017_Table 13'!$C$36)</f>
        <v/>
      </c>
      <c r="G110" s="193" t="str">
        <f>IF(F110="","",$B110*'AEO 2017_Table 13'!H$36/'AEO 2017_Table 13'!$C$36)</f>
        <v/>
      </c>
      <c r="H110" s="193" t="str">
        <f>IF(G110="","",$B110*'AEO 2017_Table 13'!I$36/'AEO 2017_Table 13'!$C$36)</f>
        <v/>
      </c>
      <c r="I110" s="193" t="str">
        <f>IF(H110="","",$B110*'AEO 2017_Table 13'!J$36/'AEO 2017_Table 13'!$C$36)</f>
        <v/>
      </c>
      <c r="J110" s="193" t="str">
        <f>IF(I110="","",$B110*'AEO 2017_Table 13'!K$36/'AEO 2017_Table 13'!$C$36)</f>
        <v/>
      </c>
      <c r="K110" s="193" t="str">
        <f>IF(J110="","",$B110*'AEO 2017_Table 13'!L$36/'AEO 2017_Table 13'!$C$36)</f>
        <v/>
      </c>
      <c r="L110" s="193" t="str">
        <f>IF(K110="","",$B110*'AEO 2017_Table 13'!M$36/'AEO 2017_Table 13'!$C$36)</f>
        <v/>
      </c>
      <c r="M110" s="193" t="str">
        <f>IF(L110="","",$B110*'AEO 2017_Table 13'!N$36/'AEO 2017_Table 13'!$C$36)</f>
        <v/>
      </c>
      <c r="N110" s="193" t="str">
        <f>IF(M110="","",$B110*'AEO 2017_Table 13'!O$36/'AEO 2017_Table 13'!$C$36)</f>
        <v/>
      </c>
      <c r="O110" s="193" t="str">
        <f>IF(N110="","",$B110*'AEO 2017_Table 13'!P$36/'AEO 2017_Table 13'!$C$36)</f>
        <v/>
      </c>
      <c r="P110" s="193" t="str">
        <f>IF(O110="","",$B110*'AEO 2017_Table 13'!Q$36/'AEO 2017_Table 13'!$C$36)</f>
        <v/>
      </c>
      <c r="Q110" s="193" t="str">
        <f>IF(P110="","",$B110*'AEO 2017_Table 13'!R$36/'AEO 2017_Table 13'!$C$36)</f>
        <v/>
      </c>
      <c r="R110" s="193" t="str">
        <f>IF(Q110="","",$B110*'AEO 2017_Table 13'!S$36/'AEO 2017_Table 13'!$C$36)</f>
        <v/>
      </c>
      <c r="S110" s="193" t="str">
        <f>IF(R110="","",$B110*'AEO 2017_Table 13'!T$36/'AEO 2017_Table 13'!$C$36)</f>
        <v/>
      </c>
      <c r="T110" s="193" t="str">
        <f>IF(S110="","",$B110*'AEO 2017_Table 13'!U$36/'AEO 2017_Table 13'!$C$36)</f>
        <v/>
      </c>
      <c r="U110" s="193" t="str">
        <f>IF(T110="","",$B110*'AEO 2017_Table 13'!V$36/'AEO 2017_Table 13'!$C$36)</f>
        <v/>
      </c>
      <c r="V110" s="193" t="str">
        <f>IF(U110="","",$B110*'AEO 2017_Table 13'!W$36/'AEO 2017_Table 13'!$C$36)</f>
        <v/>
      </c>
      <c r="W110" s="193" t="str">
        <f>IF(V110="","",$B110*'AEO 2017_Table 13'!X$36/'AEO 2017_Table 13'!$C$36)</f>
        <v/>
      </c>
      <c r="X110" s="193" t="str">
        <f>IF(W110="","",$B110*'AEO 2017_Table 13'!Y$36/'AEO 2017_Table 13'!$C$36)</f>
        <v/>
      </c>
      <c r="Y110" s="193" t="str">
        <f>IF(X110="","",$B110*'AEO 2017_Table 13'!Z$36/'AEO 2017_Table 13'!$C$36)</f>
        <v/>
      </c>
      <c r="Z110" s="193" t="str">
        <f>IF(Y110="","",$B110*'AEO 2017_Table 13'!AA$36/'AEO 2017_Table 13'!$C$36)</f>
        <v/>
      </c>
      <c r="AA110" s="193" t="str">
        <f>IF(Z110="","",$B110*'AEO 2017_Table 13'!AB$36/'AEO 2017_Table 13'!$C$36)</f>
        <v/>
      </c>
      <c r="AB110" s="193" t="str">
        <f>IF(AA110="","",$B110*'AEO 2017_Table 13'!AC$36/'AEO 2017_Table 13'!$C$36)</f>
        <v/>
      </c>
      <c r="AC110" s="193" t="str">
        <f>IF(AB110="","",$B110*'AEO 2017_Table 13'!AD$36/'AEO 2017_Table 13'!$C$36)</f>
        <v/>
      </c>
      <c r="AD110" s="193" t="str">
        <f>IF(AC110="","",$B110*'AEO 2017_Table 13'!AE$36/'AEO 2017_Table 13'!$C$36)</f>
        <v/>
      </c>
      <c r="AE110" s="193" t="str">
        <f>IF(AD110="","",$B110*'AEO 2017_Table 13'!AF$36/'AEO 2017_Table 13'!$C$36)</f>
        <v/>
      </c>
      <c r="AF110" s="193" t="str">
        <f>IF(AE110="","",$B110*'AEO 2017_Table 13'!AG$36/'AEO 2017_Table 13'!$C$36)</f>
        <v/>
      </c>
      <c r="AG110" s="193" t="str">
        <f>IF(AF110="","",$B110*'AEO 2017_Table 13'!AH$36/'AEO 2017_Table 13'!$C$36)</f>
        <v/>
      </c>
      <c r="AH110" s="193" t="str">
        <f>IF(AG110="","",$B110*'AEO 2017_Table 13'!AI$36/'AEO 2017_Table 13'!$C$36)</f>
        <v/>
      </c>
      <c r="AI110" s="193" t="str">
        <f>IF(AH110="","",$B110*'AEO 2017_Table 13'!AJ$36/'AEO 2017_Table 13'!$C$36)</f>
        <v/>
      </c>
      <c r="AJ110" s="193" t="str">
        <f>IF(AI110="","",$B110*'AEO 2017_Table 13'!AK$36/'AEO 2017_Table 13'!$C$36)</f>
        <v/>
      </c>
      <c r="AK110" s="193" t="str">
        <f>IF(AJ110="","",$B110*'AEO 2017_Table 13'!AL$36/'AEO 2017_Table 13'!$C$36)</f>
        <v/>
      </c>
    </row>
    <row r="111" spans="1:37" x14ac:dyDescent="0.25">
      <c r="A111" s="215" t="s">
        <v>1470</v>
      </c>
      <c r="B111" s="195">
        <v>129.01490211055275</v>
      </c>
      <c r="C111" s="195">
        <f>IF(B111="","",$B111*'AEO 2017_Table 13'!D$36/'AEO 2017_Table 13'!$C$36)</f>
        <v>130.8543358597199</v>
      </c>
      <c r="D111" s="195">
        <f>IF(C111="","",$B111*'AEO 2017_Table 13'!E$36/'AEO 2017_Table 13'!$C$36)</f>
        <v>131.66286361863843</v>
      </c>
      <c r="E111" s="195">
        <f>IF(D111="","",$B111*'AEO 2017_Table 13'!F$36/'AEO 2017_Table 13'!$C$36)</f>
        <v>133.03690217024658</v>
      </c>
      <c r="F111" s="195">
        <f>IF(E111="","",$B111*'AEO 2017_Table 13'!G$36/'AEO 2017_Table 13'!$C$36)</f>
        <v>131.44597959348292</v>
      </c>
      <c r="G111" s="195">
        <f>IF(F111="","",$B111*'AEO 2017_Table 13'!H$36/'AEO 2017_Table 13'!$C$36)</f>
        <v>129.35881010204363</v>
      </c>
      <c r="H111" s="195">
        <f>IF(G111="","",$B111*'AEO 2017_Table 13'!I$36/'AEO 2017_Table 13'!$C$36)</f>
        <v>128.64519215426415</v>
      </c>
      <c r="I111" s="195">
        <f>IF(H111="","",$B111*'AEO 2017_Table 13'!J$36/'AEO 2017_Table 13'!$C$36)</f>
        <v>128.91843198268603</v>
      </c>
      <c r="J111" s="195">
        <f>IF(I111="","",$B111*'AEO 2017_Table 13'!K$36/'AEO 2017_Table 13'!$C$36)</f>
        <v>130.00343368106206</v>
      </c>
      <c r="K111" s="195">
        <f>IF(J111="","",$B111*'AEO 2017_Table 13'!L$36/'AEO 2017_Table 13'!$C$36)</f>
        <v>131.08120118370044</v>
      </c>
      <c r="L111" s="195">
        <f>IF(K111="","",$B111*'AEO 2017_Table 13'!M$36/'AEO 2017_Table 13'!$C$36)</f>
        <v>132.82370616644755</v>
      </c>
      <c r="M111" s="195">
        <f>IF(L111="","",$B111*'AEO 2017_Table 13'!N$36/'AEO 2017_Table 13'!$C$36)</f>
        <v>134.21339516765818</v>
      </c>
      <c r="N111" s="195">
        <f>IF(M111="","",$B111*'AEO 2017_Table 13'!O$36/'AEO 2017_Table 13'!$C$36)</f>
        <v>134.43549443327032</v>
      </c>
      <c r="O111" s="195">
        <f>IF(N111="","",$B111*'AEO 2017_Table 13'!P$36/'AEO 2017_Table 13'!$C$36)</f>
        <v>134.88054877457861</v>
      </c>
      <c r="P111" s="195">
        <f>IF(O111="","",$B111*'AEO 2017_Table 13'!Q$36/'AEO 2017_Table 13'!$C$36)</f>
        <v>135.13074792598758</v>
      </c>
      <c r="Q111" s="195">
        <f>IF(P111="","",$B111*'AEO 2017_Table 13'!R$36/'AEO 2017_Table 13'!$C$36)</f>
        <v>135.2575260242325</v>
      </c>
      <c r="R111" s="195">
        <f>IF(Q111="","",$B111*'AEO 2017_Table 13'!S$36/'AEO 2017_Table 13'!$C$36)</f>
        <v>135.73486946533998</v>
      </c>
      <c r="S111" s="195">
        <f>IF(R111="","",$B111*'AEO 2017_Table 13'!T$36/'AEO 2017_Table 13'!$C$36)</f>
        <v>136.65196217088146</v>
      </c>
      <c r="T111" s="195">
        <f>IF(S111="","",$B111*'AEO 2017_Table 13'!U$36/'AEO 2017_Table 13'!$C$36)</f>
        <v>137.53098314826613</v>
      </c>
      <c r="U111" s="195">
        <f>IF(T111="","",$B111*'AEO 2017_Table 13'!V$36/'AEO 2017_Table 13'!$C$36)</f>
        <v>139.18223324360315</v>
      </c>
      <c r="V111" s="195">
        <f>IF(U111="","",$B111*'AEO 2017_Table 13'!W$36/'AEO 2017_Table 13'!$C$36)</f>
        <v>141.19080532605705</v>
      </c>
      <c r="W111" s="195">
        <f>IF(V111="","",$B111*'AEO 2017_Table 13'!X$36/'AEO 2017_Table 13'!$C$36)</f>
        <v>142.69975453582438</v>
      </c>
      <c r="X111" s="195">
        <f>IF(W111="","",$B111*'AEO 2017_Table 13'!Y$36/'AEO 2017_Table 13'!$C$36)</f>
        <v>144.03176855689881</v>
      </c>
      <c r="Y111" s="195">
        <f>IF(X111="","",$B111*'AEO 2017_Table 13'!Z$36/'AEO 2017_Table 13'!$C$36)</f>
        <v>145.39864383625689</v>
      </c>
      <c r="Z111" s="195">
        <f>IF(Y111="","",$B111*'AEO 2017_Table 13'!AA$36/'AEO 2017_Table 13'!$C$36)</f>
        <v>147.16044000763787</v>
      </c>
      <c r="AA111" s="195">
        <f>IF(Z111="","",$B111*'AEO 2017_Table 13'!AB$36/'AEO 2017_Table 13'!$C$36)</f>
        <v>148.12854561371134</v>
      </c>
      <c r="AB111" s="195">
        <f>IF(AA111="","",$B111*'AEO 2017_Table 13'!AC$36/'AEO 2017_Table 13'!$C$36)</f>
        <v>149.12239644579248</v>
      </c>
      <c r="AC111" s="195">
        <f>IF(AB111="","",$B111*'AEO 2017_Table 13'!AD$36/'AEO 2017_Table 13'!$C$36)</f>
        <v>149.83139491041138</v>
      </c>
      <c r="AD111" s="195">
        <f>IF(AC111="","",$B111*'AEO 2017_Table 13'!AE$36/'AEO 2017_Table 13'!$C$36)</f>
        <v>150.80462592052382</v>
      </c>
      <c r="AE111" s="195">
        <f>IF(AD111="","",$B111*'AEO 2017_Table 13'!AF$36/'AEO 2017_Table 13'!$C$36)</f>
        <v>152.19375226206597</v>
      </c>
      <c r="AF111" s="195">
        <f>IF(AE111="","",$B111*'AEO 2017_Table 13'!AG$36/'AEO 2017_Table 13'!$C$36)</f>
        <v>153.60534716448748</v>
      </c>
      <c r="AG111" s="195">
        <f>IF(AF111="","",$B111*'AEO 2017_Table 13'!AH$36/'AEO 2017_Table 13'!$C$36)</f>
        <v>154.82517441283758</v>
      </c>
      <c r="AH111" s="195">
        <f>IF(AG111="","",$B111*'AEO 2017_Table 13'!AI$36/'AEO 2017_Table 13'!$C$36)</f>
        <v>156.0902555745246</v>
      </c>
      <c r="AI111" s="195">
        <f>IF(AH111="","",$B111*'AEO 2017_Table 13'!AJ$36/'AEO 2017_Table 13'!$C$36)</f>
        <v>157.07845616875832</v>
      </c>
      <c r="AJ111" s="195">
        <f>IF(AI111="","",$B111*'AEO 2017_Table 13'!AK$36/'AEO 2017_Table 13'!$C$36)</f>
        <v>158.08543257428252</v>
      </c>
      <c r="AK111" s="195">
        <f>IF(AJ111="","",$B111*'AEO 2017_Table 13'!AL$36/'AEO 2017_Table 13'!$C$36)</f>
        <v>159.47224208189556</v>
      </c>
    </row>
    <row r="112" spans="1:37" x14ac:dyDescent="0.25">
      <c r="A112" s="214" t="s">
        <v>1471</v>
      </c>
      <c r="B112" s="198">
        <v>24.770479999999999</v>
      </c>
      <c r="C112" s="198">
        <f>IF(B112="","",$B112*'AEO 2017_Table 13'!D$36/'AEO 2017_Table 13'!$C$36)</f>
        <v>25.123645844795405</v>
      </c>
      <c r="D112" s="198">
        <f>IF(C112="","",$B112*'AEO 2017_Table 13'!E$36/'AEO 2017_Table 13'!$C$36)</f>
        <v>25.278880785520112</v>
      </c>
      <c r="E112" s="198">
        <f>IF(D112="","",$B112*'AEO 2017_Table 13'!F$36/'AEO 2017_Table 13'!$C$36)</f>
        <v>25.542692127505042</v>
      </c>
      <c r="F112" s="198">
        <f>IF(E112="","",$B112*'AEO 2017_Table 13'!G$36/'AEO 2017_Table 13'!$C$36)</f>
        <v>25.237239693525719</v>
      </c>
      <c r="G112" s="198">
        <f>IF(F112="","",$B112*'AEO 2017_Table 13'!H$36/'AEO 2017_Table 13'!$C$36)</f>
        <v>24.836509318208254</v>
      </c>
      <c r="H112" s="198">
        <f>IF(G112="","",$B112*'AEO 2017_Table 13'!I$36/'AEO 2017_Table 13'!$C$36)</f>
        <v>24.699496780788618</v>
      </c>
      <c r="I112" s="198">
        <f>IF(H112="","",$B112*'AEO 2017_Table 13'!J$36/'AEO 2017_Table 13'!$C$36)</f>
        <v>24.751958020493532</v>
      </c>
      <c r="J112" s="198">
        <f>IF(I112="","",$B112*'AEO 2017_Table 13'!K$36/'AEO 2017_Table 13'!$C$36)</f>
        <v>24.960275140686054</v>
      </c>
      <c r="K112" s="198">
        <f>IF(J112="","",$B112*'AEO 2017_Table 13'!L$36/'AEO 2017_Table 13'!$C$36)</f>
        <v>25.167203316672087</v>
      </c>
      <c r="L112" s="198">
        <f>IF(K112="","",$B112*'AEO 2017_Table 13'!M$36/'AEO 2017_Table 13'!$C$36)</f>
        <v>25.501759124713949</v>
      </c>
      <c r="M112" s="198">
        <f>IF(L112="","",$B112*'AEO 2017_Table 13'!N$36/'AEO 2017_Table 13'!$C$36)</f>
        <v>25.768575306779571</v>
      </c>
      <c r="N112" s="198">
        <f>IF(M112="","",$B112*'AEO 2017_Table 13'!O$36/'AEO 2017_Table 13'!$C$36)</f>
        <v>25.811217709531974</v>
      </c>
      <c r="O112" s="198">
        <f>IF(N112="","",$B112*'AEO 2017_Table 13'!P$36/'AEO 2017_Table 13'!$C$36)</f>
        <v>25.896666828044221</v>
      </c>
      <c r="P112" s="198">
        <f>IF(O112="","",$B112*'AEO 2017_Table 13'!Q$36/'AEO 2017_Table 13'!$C$36)</f>
        <v>25.944704325841819</v>
      </c>
      <c r="Q112" s="198">
        <f>IF(P112="","",$B112*'AEO 2017_Table 13'!R$36/'AEO 2017_Table 13'!$C$36)</f>
        <v>25.969045346108789</v>
      </c>
      <c r="R112" s="198">
        <f>IF(Q112="","",$B112*'AEO 2017_Table 13'!S$36/'AEO 2017_Table 13'!$C$36)</f>
        <v>26.060693876376643</v>
      </c>
      <c r="S112" s="198">
        <f>IF(R112="","",$B112*'AEO 2017_Table 13'!T$36/'AEO 2017_Table 13'!$C$36)</f>
        <v>26.236772966071996</v>
      </c>
      <c r="T112" s="198">
        <f>IF(S112="","",$B112*'AEO 2017_Table 13'!U$36/'AEO 2017_Table 13'!$C$36)</f>
        <v>26.405542396453221</v>
      </c>
      <c r="U112" s="198">
        <f>IF(T112="","",$B112*'AEO 2017_Table 13'!V$36/'AEO 2017_Table 13'!$C$36)</f>
        <v>26.722577535746623</v>
      </c>
      <c r="V112" s="198">
        <f>IF(U112="","",$B112*'AEO 2017_Table 13'!W$36/'AEO 2017_Table 13'!$C$36)</f>
        <v>27.108217440773632</v>
      </c>
      <c r="W112" s="198">
        <f>IF(V112="","",$B112*'AEO 2017_Table 13'!X$36/'AEO 2017_Table 13'!$C$36)</f>
        <v>27.397931230499484</v>
      </c>
      <c r="X112" s="198">
        <f>IF(W112="","",$B112*'AEO 2017_Table 13'!Y$36/'AEO 2017_Table 13'!$C$36)</f>
        <v>27.653673986793411</v>
      </c>
      <c r="Y112" s="198">
        <f>IF(X112="","",$B112*'AEO 2017_Table 13'!Z$36/'AEO 2017_Table 13'!$C$36)</f>
        <v>27.916110001671917</v>
      </c>
      <c r="Z112" s="198">
        <f>IF(Y112="","",$B112*'AEO 2017_Table 13'!AA$36/'AEO 2017_Table 13'!$C$36)</f>
        <v>28.254369660931069</v>
      </c>
      <c r="AA112" s="198">
        <f>IF(Z112="","",$B112*'AEO 2017_Table 13'!AB$36/'AEO 2017_Table 13'!$C$36)</f>
        <v>28.440243076798808</v>
      </c>
      <c r="AB112" s="198">
        <f>IF(AA112="","",$B112*'AEO 2017_Table 13'!AC$36/'AEO 2017_Table 13'!$C$36)</f>
        <v>28.631059499989629</v>
      </c>
      <c r="AC112" s="198">
        <f>IF(AB112="","",$B112*'AEO 2017_Table 13'!AD$36/'AEO 2017_Table 13'!$C$36)</f>
        <v>28.767185110291791</v>
      </c>
      <c r="AD112" s="198">
        <f>IF(AC112="","",$B112*'AEO 2017_Table 13'!AE$36/'AEO 2017_Table 13'!$C$36)</f>
        <v>28.954042588590799</v>
      </c>
      <c r="AE112" s="198">
        <f>IF(AD112="","",$B112*'AEO 2017_Table 13'!AF$36/'AEO 2017_Table 13'!$C$36)</f>
        <v>29.220750741662577</v>
      </c>
      <c r="AF112" s="198">
        <f>IF(AE112="","",$B112*'AEO 2017_Table 13'!AG$36/'AEO 2017_Table 13'!$C$36)</f>
        <v>29.491772792034499</v>
      </c>
      <c r="AG112" s="198">
        <f>IF(AF112="","",$B112*'AEO 2017_Table 13'!AH$36/'AEO 2017_Table 13'!$C$36)</f>
        <v>29.725976019447867</v>
      </c>
      <c r="AH112" s="198">
        <f>IF(AG112="","",$B112*'AEO 2017_Table 13'!AI$36/'AEO 2017_Table 13'!$C$36)</f>
        <v>29.968867864508471</v>
      </c>
      <c r="AI112" s="198">
        <f>IF(AH112="","",$B112*'AEO 2017_Table 13'!AJ$36/'AEO 2017_Table 13'!$C$36)</f>
        <v>30.158599458727554</v>
      </c>
      <c r="AJ112" s="198">
        <f>IF(AI112="","",$B112*'AEO 2017_Table 13'!AK$36/'AEO 2017_Table 13'!$C$36)</f>
        <v>30.351935953236808</v>
      </c>
      <c r="AK112" s="198">
        <f>IF(AJ112="","",$B112*'AEO 2017_Table 13'!AL$36/'AEO 2017_Table 13'!$C$36)</f>
        <v>30.618199281039846</v>
      </c>
    </row>
    <row r="113" spans="1:37" x14ac:dyDescent="0.25">
      <c r="A113" s="214" t="s">
        <v>1472</v>
      </c>
      <c r="B113" s="198">
        <v>104.24442211055273</v>
      </c>
      <c r="C113" s="198">
        <f>IF(B113="","",$B113*'AEO 2017_Table 13'!D$36/'AEO 2017_Table 13'!$C$36)</f>
        <v>105.73069001492448</v>
      </c>
      <c r="D113" s="198">
        <f>IF(C113="","",$B113*'AEO 2017_Table 13'!E$36/'AEO 2017_Table 13'!$C$36)</f>
        <v>106.38398283311828</v>
      </c>
      <c r="E113" s="198">
        <f>IF(D113="","",$B113*'AEO 2017_Table 13'!F$36/'AEO 2017_Table 13'!$C$36)</f>
        <v>107.49421004274151</v>
      </c>
      <c r="F113" s="198">
        <f>IF(E113="","",$B113*'AEO 2017_Table 13'!G$36/'AEO 2017_Table 13'!$C$36)</f>
        <v>106.20873989995718</v>
      </c>
      <c r="G113" s="198">
        <f>IF(F113="","",$B113*'AEO 2017_Table 13'!H$36/'AEO 2017_Table 13'!$C$36)</f>
        <v>104.52230078383535</v>
      </c>
      <c r="H113" s="198">
        <f>IF(G113="","",$B113*'AEO 2017_Table 13'!I$36/'AEO 2017_Table 13'!$C$36)</f>
        <v>103.94569537347549</v>
      </c>
      <c r="I113" s="198">
        <f>IF(H113="","",$B113*'AEO 2017_Table 13'!J$36/'AEO 2017_Table 13'!$C$36)</f>
        <v>104.16647396219247</v>
      </c>
      <c r="J113" s="198">
        <f>IF(I113="","",$B113*'AEO 2017_Table 13'!K$36/'AEO 2017_Table 13'!$C$36)</f>
        <v>105.043158540376</v>
      </c>
      <c r="K113" s="198">
        <f>IF(J113="","",$B113*'AEO 2017_Table 13'!L$36/'AEO 2017_Table 13'!$C$36)</f>
        <v>105.91399786702833</v>
      </c>
      <c r="L113" s="198">
        <f>IF(K113="","",$B113*'AEO 2017_Table 13'!M$36/'AEO 2017_Table 13'!$C$36)</f>
        <v>107.32194704173358</v>
      </c>
      <c r="M113" s="198">
        <f>IF(L113="","",$B113*'AEO 2017_Table 13'!N$36/'AEO 2017_Table 13'!$C$36)</f>
        <v>108.44481986087857</v>
      </c>
      <c r="N113" s="198">
        <f>IF(M113="","",$B113*'AEO 2017_Table 13'!O$36/'AEO 2017_Table 13'!$C$36)</f>
        <v>108.6242767237383</v>
      </c>
      <c r="O113" s="198">
        <f>IF(N113="","",$B113*'AEO 2017_Table 13'!P$36/'AEO 2017_Table 13'!$C$36)</f>
        <v>108.98388194653438</v>
      </c>
      <c r="P113" s="198">
        <f>IF(O113="","",$B113*'AEO 2017_Table 13'!Q$36/'AEO 2017_Table 13'!$C$36)</f>
        <v>109.18604360014574</v>
      </c>
      <c r="Q113" s="198">
        <f>IF(P113="","",$B113*'AEO 2017_Table 13'!R$36/'AEO 2017_Table 13'!$C$36)</f>
        <v>109.2884806781237</v>
      </c>
      <c r="R113" s="198">
        <f>IF(Q113="","",$B113*'AEO 2017_Table 13'!S$36/'AEO 2017_Table 13'!$C$36)</f>
        <v>109.67417558896331</v>
      </c>
      <c r="S113" s="198">
        <f>IF(R113="","",$B113*'AEO 2017_Table 13'!T$36/'AEO 2017_Table 13'!$C$36)</f>
        <v>110.41518920480944</v>
      </c>
      <c r="T113" s="198">
        <f>IF(S113="","",$B113*'AEO 2017_Table 13'!U$36/'AEO 2017_Table 13'!$C$36)</f>
        <v>111.12544075181289</v>
      </c>
      <c r="U113" s="198">
        <f>IF(T113="","",$B113*'AEO 2017_Table 13'!V$36/'AEO 2017_Table 13'!$C$36)</f>
        <v>112.4596557078565</v>
      </c>
      <c r="V113" s="198">
        <f>IF(U113="","",$B113*'AEO 2017_Table 13'!W$36/'AEO 2017_Table 13'!$C$36)</f>
        <v>114.08258788528337</v>
      </c>
      <c r="W113" s="198">
        <f>IF(V113="","",$B113*'AEO 2017_Table 13'!X$36/'AEO 2017_Table 13'!$C$36)</f>
        <v>115.30182330532487</v>
      </c>
      <c r="X113" s="198">
        <f>IF(W113="","",$B113*'AEO 2017_Table 13'!Y$36/'AEO 2017_Table 13'!$C$36)</f>
        <v>116.37809457010539</v>
      </c>
      <c r="Y113" s="198">
        <f>IF(X113="","",$B113*'AEO 2017_Table 13'!Z$36/'AEO 2017_Table 13'!$C$36)</f>
        <v>117.48253383458496</v>
      </c>
      <c r="Z113" s="198">
        <f>IF(Y113="","",$B113*'AEO 2017_Table 13'!AA$36/'AEO 2017_Table 13'!$C$36)</f>
        <v>118.90607034670676</v>
      </c>
      <c r="AA113" s="198">
        <f>IF(Z113="","",$B113*'AEO 2017_Table 13'!AB$36/'AEO 2017_Table 13'!$C$36)</f>
        <v>119.6883025369125</v>
      </c>
      <c r="AB113" s="198">
        <f>IF(AA113="","",$B113*'AEO 2017_Table 13'!AC$36/'AEO 2017_Table 13'!$C$36)</f>
        <v>120.49133694580283</v>
      </c>
      <c r="AC113" s="198">
        <f>IF(AB113="","",$B113*'AEO 2017_Table 13'!AD$36/'AEO 2017_Table 13'!$C$36)</f>
        <v>121.06420980011956</v>
      </c>
      <c r="AD113" s="198">
        <f>IF(AC113="","",$B113*'AEO 2017_Table 13'!AE$36/'AEO 2017_Table 13'!$C$36)</f>
        <v>121.85058333193301</v>
      </c>
      <c r="AE113" s="198">
        <f>IF(AD113="","",$B113*'AEO 2017_Table 13'!AF$36/'AEO 2017_Table 13'!$C$36)</f>
        <v>122.97300152040334</v>
      </c>
      <c r="AF113" s="198">
        <f>IF(AE113="","",$B113*'AEO 2017_Table 13'!AG$36/'AEO 2017_Table 13'!$C$36)</f>
        <v>124.11357437245297</v>
      </c>
      <c r="AG113" s="198">
        <f>IF(AF113="","",$B113*'AEO 2017_Table 13'!AH$36/'AEO 2017_Table 13'!$C$36)</f>
        <v>125.0991983933897</v>
      </c>
      <c r="AH113" s="198">
        <f>IF(AG113="","",$B113*'AEO 2017_Table 13'!AI$36/'AEO 2017_Table 13'!$C$36)</f>
        <v>126.12138771001612</v>
      </c>
      <c r="AI113" s="198">
        <f>IF(AH113="","",$B113*'AEO 2017_Table 13'!AJ$36/'AEO 2017_Table 13'!$C$36)</f>
        <v>126.91985671003074</v>
      </c>
      <c r="AJ113" s="198">
        <f>IF(AI113="","",$B113*'AEO 2017_Table 13'!AK$36/'AEO 2017_Table 13'!$C$36)</f>
        <v>127.73349662104569</v>
      </c>
      <c r="AK113" s="198">
        <f>IF(AJ113="","",$B113*'AEO 2017_Table 13'!AL$36/'AEO 2017_Table 13'!$C$36)</f>
        <v>128.85404280085569</v>
      </c>
    </row>
    <row r="114" spans="1:37" x14ac:dyDescent="0.25">
      <c r="A114" s="214" t="s">
        <v>1476</v>
      </c>
      <c r="B114" s="198">
        <v>92.590494637373794</v>
      </c>
      <c r="C114" s="198">
        <f>IF(B114="","",$B114*'AEO 2017_Table 13'!D$36/'AEO 2017_Table 13'!$C$36)</f>
        <v>93.910606329138858</v>
      </c>
      <c r="D114" s="198">
        <f>IF(C114="","",$B114*'AEO 2017_Table 13'!E$36/'AEO 2017_Table 13'!$C$36)</f>
        <v>94.49086476364252</v>
      </c>
      <c r="E114" s="198">
        <f>IF(D114="","",$B114*'AEO 2017_Table 13'!F$36/'AEO 2017_Table 13'!$C$36)</f>
        <v>95.476974949853428</v>
      </c>
      <c r="F114" s="198">
        <f>IF(E114="","",$B114*'AEO 2017_Table 13'!G$36/'AEO 2017_Table 13'!$C$36)</f>
        <v>94.33521298358005</v>
      </c>
      <c r="G114" s="198">
        <f>IF(F114="","",$B114*'AEO 2017_Table 13'!H$36/'AEO 2017_Table 13'!$C$36)</f>
        <v>92.837308071488565</v>
      </c>
      <c r="H114" s="198">
        <f>IF(G114="","",$B114*'AEO 2017_Table 13'!I$36/'AEO 2017_Table 13'!$C$36)</f>
        <v>92.325163833217601</v>
      </c>
      <c r="I114" s="198">
        <f>IF(H114="","",$B114*'AEO 2017_Table 13'!J$36/'AEO 2017_Table 13'!$C$36)</f>
        <v>92.521260644162226</v>
      </c>
      <c r="J114" s="198">
        <f>IF(I114="","",$B114*'AEO 2017_Table 13'!K$36/'AEO 2017_Table 13'!$C$36)</f>
        <v>93.299936923348525</v>
      </c>
      <c r="K114" s="198">
        <f>IF(J114="","",$B114*'AEO 2017_Table 13'!L$36/'AEO 2017_Table 13'!$C$36)</f>
        <v>94.07342141654189</v>
      </c>
      <c r="L114" s="198">
        <f>IF(K114="","",$B114*'AEO 2017_Table 13'!M$36/'AEO 2017_Table 13'!$C$36)</f>
        <v>95.323969962650111</v>
      </c>
      <c r="M114" s="198">
        <f>IF(L114="","",$B114*'AEO 2017_Table 13'!N$36/'AEO 2017_Table 13'!$C$36)</f>
        <v>96.321312051891482</v>
      </c>
      <c r="N114" s="198">
        <f>IF(M114="","",$B114*'AEO 2017_Table 13'!O$36/'AEO 2017_Table 13'!$C$36)</f>
        <v>96.480706668522686</v>
      </c>
      <c r="O114" s="198">
        <f>IF(N114="","",$B114*'AEO 2017_Table 13'!P$36/'AEO 2017_Table 13'!$C$36)</f>
        <v>96.800110093461427</v>
      </c>
      <c r="P114" s="198">
        <f>IF(O114="","",$B114*'AEO 2017_Table 13'!Q$36/'AEO 2017_Table 13'!$C$36)</f>
        <v>96.979671235684805</v>
      </c>
      <c r="Q114" s="198">
        <f>IF(P114="","",$B114*'AEO 2017_Table 13'!R$36/'AEO 2017_Table 13'!$C$36)</f>
        <v>97.070656436879815</v>
      </c>
      <c r="R114" s="198">
        <f>IF(Q114="","",$B114*'AEO 2017_Table 13'!S$36/'AEO 2017_Table 13'!$C$36)</f>
        <v>97.413232872632733</v>
      </c>
      <c r="S114" s="198">
        <f>IF(R114="","",$B114*'AEO 2017_Table 13'!T$36/'AEO 2017_Table 13'!$C$36)</f>
        <v>98.071405423596275</v>
      </c>
      <c r="T114" s="198">
        <f>IF(S114="","",$B114*'AEO 2017_Table 13'!U$36/'AEO 2017_Table 13'!$C$36)</f>
        <v>98.702254928275451</v>
      </c>
      <c r="U114" s="198">
        <f>IF(T114="","",$B114*'AEO 2017_Table 13'!V$36/'AEO 2017_Table 13'!$C$36)</f>
        <v>99.88731231774085</v>
      </c>
      <c r="V114" s="198">
        <f>IF(U114="","",$B114*'AEO 2017_Table 13'!W$36/'AEO 2017_Table 13'!$C$36)</f>
        <v>101.32881000201505</v>
      </c>
      <c r="W114" s="198">
        <f>IF(V114="","",$B114*'AEO 2017_Table 13'!X$36/'AEO 2017_Table 13'!$C$36)</f>
        <v>102.41174190700779</v>
      </c>
      <c r="X114" s="198">
        <f>IF(W114="","",$B114*'AEO 2017_Table 13'!Y$36/'AEO 2017_Table 13'!$C$36)</f>
        <v>103.36769222792124</v>
      </c>
      <c r="Y114" s="198">
        <f>IF(X114="","",$B114*'AEO 2017_Table 13'!Z$36/'AEO 2017_Table 13'!$C$36)</f>
        <v>104.3486615280019</v>
      </c>
      <c r="Z114" s="198">
        <f>IF(Y114="","",$B114*'AEO 2017_Table 13'!AA$36/'AEO 2017_Table 13'!$C$36)</f>
        <v>105.61305483675791</v>
      </c>
      <c r="AA114" s="198">
        <f>IF(Z114="","",$B114*'AEO 2017_Table 13'!AB$36/'AEO 2017_Table 13'!$C$36)</f>
        <v>106.30783796228202</v>
      </c>
      <c r="AB114" s="198">
        <f>IF(AA114="","",$B114*'AEO 2017_Table 13'!AC$36/'AEO 2017_Table 13'!$C$36)</f>
        <v>107.02109773795743</v>
      </c>
      <c r="AC114" s="198">
        <f>IF(AB114="","",$B114*'AEO 2017_Table 13'!AD$36/'AEO 2017_Table 13'!$C$36)</f>
        <v>107.5299266985061</v>
      </c>
      <c r="AD114" s="198">
        <f>IF(AC114="","",$B114*'AEO 2017_Table 13'!AE$36/'AEO 2017_Table 13'!$C$36)</f>
        <v>108.22838818743959</v>
      </c>
      <c r="AE114" s="198">
        <f>IF(AD114="","",$B114*'AEO 2017_Table 13'!AF$36/'AEO 2017_Table 13'!$C$36)</f>
        <v>109.22532647110373</v>
      </c>
      <c r="AF114" s="198">
        <f>IF(AE114="","",$B114*'AEO 2017_Table 13'!AG$36/'AEO 2017_Table 13'!$C$36)</f>
        <v>110.23838983126353</v>
      </c>
      <c r="AG114" s="198">
        <f>IF(AF114="","",$B114*'AEO 2017_Table 13'!AH$36/'AEO 2017_Table 13'!$C$36)</f>
        <v>111.11382674939645</v>
      </c>
      <c r="AH114" s="198">
        <f>IF(AG114="","",$B114*'AEO 2017_Table 13'!AI$36/'AEO 2017_Table 13'!$C$36)</f>
        <v>112.0217411732407</v>
      </c>
      <c r="AI114" s="198">
        <f>IF(AH114="","",$B114*'AEO 2017_Table 13'!AJ$36/'AEO 2017_Table 13'!$C$36)</f>
        <v>112.73094592652295</v>
      </c>
      <c r="AJ114" s="198">
        <f>IF(AI114="","",$B114*'AEO 2017_Table 13'!AK$36/'AEO 2017_Table 13'!$C$36)</f>
        <v>113.45362557011757</v>
      </c>
      <c r="AK114" s="198">
        <f>IF(AJ114="","",$B114*'AEO 2017_Table 13'!AL$36/'AEO 2017_Table 13'!$C$36)</f>
        <v>114.44890112493428</v>
      </c>
    </row>
    <row r="115" spans="1:37" x14ac:dyDescent="0.25">
      <c r="A115" s="214" t="s">
        <v>1477</v>
      </c>
      <c r="B115" s="198">
        <v>75.107590182706673</v>
      </c>
      <c r="C115" s="198">
        <f>IF(B115="","",$B115*'AEO 2017_Table 13'!D$36/'AEO 2017_Table 13'!$C$36)</f>
        <v>76.178438851663543</v>
      </c>
      <c r="D115" s="198">
        <f>IF(C115="","",$B115*'AEO 2017_Table 13'!E$36/'AEO 2017_Table 13'!$C$36)</f>
        <v>76.649133093760909</v>
      </c>
      <c r="E115" s="198">
        <f>IF(D115="","",$B115*'AEO 2017_Table 13'!F$36/'AEO 2017_Table 13'!$C$36)</f>
        <v>77.449046303329482</v>
      </c>
      <c r="F115" s="198">
        <f>IF(E115="","",$B115*'AEO 2017_Table 13'!G$36/'AEO 2017_Table 13'!$C$36)</f>
        <v>76.522871427766731</v>
      </c>
      <c r="G115" s="198">
        <f>IF(F115="","",$B115*'AEO 2017_Table 13'!H$36/'AEO 2017_Table 13'!$C$36)</f>
        <v>75.307800391472483</v>
      </c>
      <c r="H115" s="198">
        <f>IF(G115="","",$B115*'AEO 2017_Table 13'!I$36/'AEO 2017_Table 13'!$C$36)</f>
        <v>74.892359047162373</v>
      </c>
      <c r="I115" s="198">
        <f>IF(H115="","",$B115*'AEO 2017_Table 13'!J$36/'AEO 2017_Table 13'!$C$36)</f>
        <v>75.051428927610118</v>
      </c>
      <c r="J115" s="198">
        <f>IF(I115="","",$B115*'AEO 2017_Table 13'!K$36/'AEO 2017_Table 13'!$C$36)</f>
        <v>75.683075827123616</v>
      </c>
      <c r="K115" s="198">
        <f>IF(J115="","",$B115*'AEO 2017_Table 13'!L$36/'AEO 2017_Table 13'!$C$36)</f>
        <v>76.310511251839429</v>
      </c>
      <c r="L115" s="198">
        <f>IF(K115="","",$B115*'AEO 2017_Table 13'!M$36/'AEO 2017_Table 13'!$C$36)</f>
        <v>77.324931663702742</v>
      </c>
      <c r="M115" s="198">
        <f>IF(L115="","",$B115*'AEO 2017_Table 13'!N$36/'AEO 2017_Table 13'!$C$36)</f>
        <v>78.133955972343486</v>
      </c>
      <c r="N115" s="198">
        <f>IF(M115="","",$B115*'AEO 2017_Table 13'!O$36/'AEO 2017_Table 13'!$C$36)</f>
        <v>78.26325375382909</v>
      </c>
      <c r="O115" s="198">
        <f>IF(N115="","",$B115*'AEO 2017_Table 13'!P$36/'AEO 2017_Table 13'!$C$36)</f>
        <v>78.522347537021489</v>
      </c>
      <c r="P115" s="198">
        <f>IF(O115="","",$B115*'AEO 2017_Table 13'!Q$36/'AEO 2017_Table 13'!$C$36)</f>
        <v>78.668004007868404</v>
      </c>
      <c r="Q115" s="198">
        <f>IF(P115="","",$B115*'AEO 2017_Table 13'!R$36/'AEO 2017_Table 13'!$C$36)</f>
        <v>78.741809415548857</v>
      </c>
      <c r="R115" s="198">
        <f>IF(Q115="","",$B115*'AEO 2017_Table 13'!S$36/'AEO 2017_Table 13'!$C$36)</f>
        <v>79.019700689848165</v>
      </c>
      <c r="S115" s="198">
        <f>IF(R115="","",$B115*'AEO 2017_Table 13'!T$36/'AEO 2017_Table 13'!$C$36)</f>
        <v>79.553597332488238</v>
      </c>
      <c r="T115" s="198">
        <f>IF(S115="","",$B115*'AEO 2017_Table 13'!U$36/'AEO 2017_Table 13'!$C$36)</f>
        <v>80.065330056781107</v>
      </c>
      <c r="U115" s="198">
        <f>IF(T115="","",$B115*'AEO 2017_Table 13'!V$36/'AEO 2017_Table 13'!$C$36)</f>
        <v>81.026625329039277</v>
      </c>
      <c r="V115" s="198">
        <f>IF(U115="","",$B115*'AEO 2017_Table 13'!W$36/'AEO 2017_Table 13'!$C$36)</f>
        <v>82.195939930325437</v>
      </c>
      <c r="W115" s="198">
        <f>IF(V115="","",$B115*'AEO 2017_Table 13'!X$36/'AEO 2017_Table 13'!$C$36)</f>
        <v>83.074393015974493</v>
      </c>
      <c r="X115" s="198">
        <f>IF(W115="","",$B115*'AEO 2017_Table 13'!Y$36/'AEO 2017_Table 13'!$C$36)</f>
        <v>83.849841135345613</v>
      </c>
      <c r="Y115" s="198">
        <f>IF(X115="","",$B115*'AEO 2017_Table 13'!Z$36/'AEO 2017_Table 13'!$C$36)</f>
        <v>84.645584159085061</v>
      </c>
      <c r="Z115" s="198">
        <f>IF(Y115="","",$B115*'AEO 2017_Table 13'!AA$36/'AEO 2017_Table 13'!$C$36)</f>
        <v>85.671235170408949</v>
      </c>
      <c r="AA115" s="198">
        <f>IF(Z115="","",$B115*'AEO 2017_Table 13'!AB$36/'AEO 2017_Table 13'!$C$36)</f>
        <v>86.234829591867651</v>
      </c>
      <c r="AB115" s="198">
        <f>IF(AA115="","",$B115*'AEO 2017_Table 13'!AC$36/'AEO 2017_Table 13'!$C$36)</f>
        <v>86.813411908929979</v>
      </c>
      <c r="AC115" s="198">
        <f>IF(AB115="","",$B115*'AEO 2017_Table 13'!AD$36/'AEO 2017_Table 13'!$C$36)</f>
        <v>87.22616396508495</v>
      </c>
      <c r="AD115" s="198">
        <f>IF(AC115="","",$B115*'AEO 2017_Table 13'!AE$36/'AEO 2017_Table 13'!$C$36)</f>
        <v>87.79274220267483</v>
      </c>
      <c r="AE115" s="198">
        <f>IF(AD115="","",$B115*'AEO 2017_Table 13'!AF$36/'AEO 2017_Table 13'!$C$36)</f>
        <v>88.601438952164642</v>
      </c>
      <c r="AF115" s="198">
        <f>IF(AE115="","",$B115*'AEO 2017_Table 13'!AG$36/'AEO 2017_Table 13'!$C$36)</f>
        <v>89.423216046908507</v>
      </c>
      <c r="AG115" s="198">
        <f>IF(AF115="","",$B115*'AEO 2017_Table 13'!AH$36/'AEO 2017_Table 13'!$C$36)</f>
        <v>90.133353275740177</v>
      </c>
      <c r="AH115" s="198">
        <f>IF(AG115="","",$B115*'AEO 2017_Table 13'!AI$36/'AEO 2017_Table 13'!$C$36)</f>
        <v>90.869835619139792</v>
      </c>
      <c r="AI115" s="198">
        <f>IF(AH115="","",$B115*'AEO 2017_Table 13'!AJ$36/'AEO 2017_Table 13'!$C$36)</f>
        <v>91.445128581703244</v>
      </c>
      <c r="AJ115" s="198">
        <f>IF(AI115="","",$B115*'AEO 2017_Table 13'!AK$36/'AEO 2017_Table 13'!$C$36)</f>
        <v>92.031352110555403</v>
      </c>
      <c r="AK115" s="198">
        <f>IF(AJ115="","",$B115*'AEO 2017_Table 13'!AL$36/'AEO 2017_Table 13'!$C$36)</f>
        <v>92.838700087070777</v>
      </c>
    </row>
    <row r="116" spans="1:37" x14ac:dyDescent="0.25">
      <c r="A116" s="208" t="s">
        <v>1478</v>
      </c>
      <c r="B116" s="197">
        <v>17.440492145241066</v>
      </c>
      <c r="C116" s="197">
        <f>IF(B116="","",$B116*'AEO 2017_Table 13'!D$36/'AEO 2017_Table 13'!$C$36)</f>
        <v>17.689150473304217</v>
      </c>
      <c r="D116" s="197">
        <f>IF(C116="","",$B116*'AEO 2017_Table 13'!E$36/'AEO 2017_Table 13'!$C$36)</f>
        <v>17.798448870605206</v>
      </c>
      <c r="E116" s="197">
        <f>IF(D116="","",$B116*'AEO 2017_Table 13'!F$36/'AEO 2017_Table 13'!$C$36)</f>
        <v>17.984194146341228</v>
      </c>
      <c r="F116" s="197">
        <f>IF(E116="","",$B116*'AEO 2017_Table 13'!G$36/'AEO 2017_Table 13'!$C$36)</f>
        <v>17.769130054908153</v>
      </c>
      <c r="G116" s="197">
        <f>IF(F116="","",$B116*'AEO 2017_Table 13'!H$36/'AEO 2017_Table 13'!$C$36)</f>
        <v>17.486982314408831</v>
      </c>
      <c r="H116" s="197">
        <f>IF(G116="","",$B116*'AEO 2017_Table 13'!I$36/'AEO 2017_Table 13'!$C$36)</f>
        <v>17.390514014938383</v>
      </c>
      <c r="I116" s="197">
        <f>IF(H116="","",$B116*'AEO 2017_Table 13'!J$36/'AEO 2017_Table 13'!$C$36)</f>
        <v>17.427451120678892</v>
      </c>
      <c r="J116" s="197">
        <f>IF(I116="","",$B116*'AEO 2017_Table 13'!K$36/'AEO 2017_Table 13'!$C$36)</f>
        <v>17.574123817309594</v>
      </c>
      <c r="K116" s="197">
        <f>IF(J116="","",$B116*'AEO 2017_Table 13'!L$36/'AEO 2017_Table 13'!$C$36)</f>
        <v>17.719818580911813</v>
      </c>
      <c r="L116" s="197">
        <f>IF(K116="","",$B116*'AEO 2017_Table 13'!M$36/'AEO 2017_Table 13'!$C$36)</f>
        <v>17.955373884737128</v>
      </c>
      <c r="M116" s="197">
        <f>IF(L116="","",$B116*'AEO 2017_Table 13'!N$36/'AEO 2017_Table 13'!$C$36)</f>
        <v>18.143234819508624</v>
      </c>
      <c r="N116" s="197">
        <f>IF(M116="","",$B116*'AEO 2017_Table 13'!O$36/'AEO 2017_Table 13'!$C$36)</f>
        <v>18.173258641826866</v>
      </c>
      <c r="O116" s="197">
        <f>IF(N116="","",$B116*'AEO 2017_Table 13'!P$36/'AEO 2017_Table 13'!$C$36)</f>
        <v>18.233421976579791</v>
      </c>
      <c r="P116" s="197">
        <f>IF(O116="","",$B116*'AEO 2017_Table 13'!Q$36/'AEO 2017_Table 13'!$C$36)</f>
        <v>18.267244397583177</v>
      </c>
      <c r="Q116" s="197">
        <f>IF(P116="","",$B116*'AEO 2017_Table 13'!R$36/'AEO 2017_Table 13'!$C$36)</f>
        <v>18.284382514114355</v>
      </c>
      <c r="R116" s="197">
        <f>IF(Q116="","",$B116*'AEO 2017_Table 13'!S$36/'AEO 2017_Table 13'!$C$36)</f>
        <v>18.348910753868267</v>
      </c>
      <c r="S116" s="197">
        <f>IF(R116="","",$B116*'AEO 2017_Table 13'!T$36/'AEO 2017_Table 13'!$C$36)</f>
        <v>18.472885177487552</v>
      </c>
      <c r="T116" s="197">
        <f>IF(S116="","",$B116*'AEO 2017_Table 13'!U$36/'AEO 2017_Table 13'!$C$36)</f>
        <v>18.591712988854976</v>
      </c>
      <c r="U116" s="197">
        <f>IF(T116="","",$B116*'AEO 2017_Table 13'!V$36/'AEO 2017_Table 13'!$C$36)</f>
        <v>18.814932274739302</v>
      </c>
      <c r="V116" s="197">
        <f>IF(U116="","",$B116*'AEO 2017_Table 13'!W$36/'AEO 2017_Table 13'!$C$36)</f>
        <v>19.086455060511522</v>
      </c>
      <c r="W116" s="197">
        <f>IF(V116="","",$B116*'AEO 2017_Table 13'!X$36/'AEO 2017_Table 13'!$C$36)</f>
        <v>19.290437828470875</v>
      </c>
      <c r="X116" s="197">
        <f>IF(W116="","",$B116*'AEO 2017_Table 13'!Y$36/'AEO 2017_Table 13'!$C$36)</f>
        <v>19.470502144234899</v>
      </c>
      <c r="Y116" s="197">
        <f>IF(X116="","",$B116*'AEO 2017_Table 13'!Z$36/'AEO 2017_Table 13'!$C$36)</f>
        <v>19.65527907452115</v>
      </c>
      <c r="Z116" s="197">
        <f>IF(Y116="","",$B116*'AEO 2017_Table 13'!AA$36/'AEO 2017_Table 13'!$C$36)</f>
        <v>19.893442199755746</v>
      </c>
      <c r="AA116" s="197">
        <f>IF(Z116="","",$B116*'AEO 2017_Table 13'!AB$36/'AEO 2017_Table 13'!$C$36)</f>
        <v>20.024312649155622</v>
      </c>
      <c r="AB116" s="197">
        <f>IF(AA116="","",$B116*'AEO 2017_Table 13'!AC$36/'AEO 2017_Table 13'!$C$36)</f>
        <v>20.158663389627442</v>
      </c>
      <c r="AC116" s="197">
        <f>IF(AB116="","",$B116*'AEO 2017_Table 13'!AD$36/'AEO 2017_Table 13'!$C$36)</f>
        <v>20.254507218137871</v>
      </c>
      <c r="AD116" s="197">
        <f>IF(AC116="","",$B116*'AEO 2017_Table 13'!AE$36/'AEO 2017_Table 13'!$C$36)</f>
        <v>20.386070529892564</v>
      </c>
      <c r="AE116" s="197">
        <f>IF(AD116="","",$B116*'AEO 2017_Table 13'!AF$36/'AEO 2017_Table 13'!$C$36)</f>
        <v>20.573855403206288</v>
      </c>
      <c r="AF116" s="197">
        <f>IF(AE116="","",$B116*'AEO 2017_Table 13'!AG$36/'AEO 2017_Table 13'!$C$36)</f>
        <v>20.764677621455537</v>
      </c>
      <c r="AG116" s="197">
        <f>IF(AF116="","",$B116*'AEO 2017_Table 13'!AH$36/'AEO 2017_Table 13'!$C$36)</f>
        <v>20.929576305215111</v>
      </c>
      <c r="AH116" s="197">
        <f>IF(AG116="","",$B116*'AEO 2017_Table 13'!AI$36/'AEO 2017_Table 13'!$C$36)</f>
        <v>21.100592503363981</v>
      </c>
      <c r="AI116" s="197">
        <f>IF(AH116="","",$B116*'AEO 2017_Table 13'!AJ$36/'AEO 2017_Table 13'!$C$36)</f>
        <v>21.234179433398523</v>
      </c>
      <c r="AJ116" s="197">
        <f>IF(AI116="","",$B116*'AEO 2017_Table 13'!AK$36/'AEO 2017_Table 13'!$C$36)</f>
        <v>21.370304515103722</v>
      </c>
      <c r="AK116" s="197">
        <f>IF(AJ116="","",$B116*'AEO 2017_Table 13'!AL$36/'AEO 2017_Table 13'!$C$36)</f>
        <v>21.557776194179567</v>
      </c>
    </row>
    <row r="117" spans="1:37" x14ac:dyDescent="0.25">
      <c r="A117" s="188" t="s">
        <v>1407</v>
      </c>
      <c r="B117" s="190"/>
      <c r="C117" s="190" t="str">
        <f>IF(B117="","",$B117*'AEO 2017_Table 13'!D$36/'AEO 2017_Table 13'!$C$36)</f>
        <v/>
      </c>
      <c r="D117" s="190" t="str">
        <f>IF(C117="","",$B117*'AEO 2017_Table 13'!E$36/'AEO 2017_Table 13'!$C$36)</f>
        <v/>
      </c>
      <c r="E117" s="190" t="str">
        <f>IF(D117="","",$B117*'AEO 2017_Table 13'!F$36/'AEO 2017_Table 13'!$C$36)</f>
        <v/>
      </c>
      <c r="F117" s="190" t="str">
        <f>IF(E117="","",$B117*'AEO 2017_Table 13'!G$36/'AEO 2017_Table 13'!$C$36)</f>
        <v/>
      </c>
      <c r="G117" s="190" t="str">
        <f>IF(F117="","",$B117*'AEO 2017_Table 13'!H$36/'AEO 2017_Table 13'!$C$36)</f>
        <v/>
      </c>
      <c r="H117" s="190" t="str">
        <f>IF(G117="","",$B117*'AEO 2017_Table 13'!I$36/'AEO 2017_Table 13'!$C$36)</f>
        <v/>
      </c>
      <c r="I117" s="190" t="str">
        <f>IF(H117="","",$B117*'AEO 2017_Table 13'!J$36/'AEO 2017_Table 13'!$C$36)</f>
        <v/>
      </c>
      <c r="J117" s="190" t="str">
        <f>IF(I117="","",$B117*'AEO 2017_Table 13'!K$36/'AEO 2017_Table 13'!$C$36)</f>
        <v/>
      </c>
      <c r="K117" s="190" t="str">
        <f>IF(J117="","",$B117*'AEO 2017_Table 13'!L$36/'AEO 2017_Table 13'!$C$36)</f>
        <v/>
      </c>
      <c r="L117" s="190" t="str">
        <f>IF(K117="","",$B117*'AEO 2017_Table 13'!M$36/'AEO 2017_Table 13'!$C$36)</f>
        <v/>
      </c>
      <c r="M117" s="190" t="str">
        <f>IF(L117="","",$B117*'AEO 2017_Table 13'!N$36/'AEO 2017_Table 13'!$C$36)</f>
        <v/>
      </c>
      <c r="N117" s="190" t="str">
        <f>IF(M117="","",$B117*'AEO 2017_Table 13'!O$36/'AEO 2017_Table 13'!$C$36)</f>
        <v/>
      </c>
      <c r="O117" s="190" t="str">
        <f>IF(N117="","",$B117*'AEO 2017_Table 13'!P$36/'AEO 2017_Table 13'!$C$36)</f>
        <v/>
      </c>
      <c r="P117" s="190" t="str">
        <f>IF(O117="","",$B117*'AEO 2017_Table 13'!Q$36/'AEO 2017_Table 13'!$C$36)</f>
        <v/>
      </c>
      <c r="Q117" s="190" t="str">
        <f>IF(P117="","",$B117*'AEO 2017_Table 13'!R$36/'AEO 2017_Table 13'!$C$36)</f>
        <v/>
      </c>
      <c r="R117" s="190" t="str">
        <f>IF(Q117="","",$B117*'AEO 2017_Table 13'!S$36/'AEO 2017_Table 13'!$C$36)</f>
        <v/>
      </c>
      <c r="S117" s="190" t="str">
        <f>IF(R117="","",$B117*'AEO 2017_Table 13'!T$36/'AEO 2017_Table 13'!$C$36)</f>
        <v/>
      </c>
      <c r="T117" s="190" t="str">
        <f>IF(S117="","",$B117*'AEO 2017_Table 13'!U$36/'AEO 2017_Table 13'!$C$36)</f>
        <v/>
      </c>
      <c r="U117" s="190" t="str">
        <f>IF(T117="","",$B117*'AEO 2017_Table 13'!V$36/'AEO 2017_Table 13'!$C$36)</f>
        <v/>
      </c>
      <c r="V117" s="190" t="str">
        <f>IF(U117="","",$B117*'AEO 2017_Table 13'!W$36/'AEO 2017_Table 13'!$C$36)</f>
        <v/>
      </c>
      <c r="W117" s="190" t="str">
        <f>IF(V117="","",$B117*'AEO 2017_Table 13'!X$36/'AEO 2017_Table 13'!$C$36)</f>
        <v/>
      </c>
      <c r="X117" s="190" t="str">
        <f>IF(W117="","",$B117*'AEO 2017_Table 13'!Y$36/'AEO 2017_Table 13'!$C$36)</f>
        <v/>
      </c>
      <c r="Y117" s="190" t="str">
        <f>IF(X117="","",$B117*'AEO 2017_Table 13'!Z$36/'AEO 2017_Table 13'!$C$36)</f>
        <v/>
      </c>
      <c r="Z117" s="190" t="str">
        <f>IF(Y117="","",$B117*'AEO 2017_Table 13'!AA$36/'AEO 2017_Table 13'!$C$36)</f>
        <v/>
      </c>
      <c r="AA117" s="190" t="str">
        <f>IF(Z117="","",$B117*'AEO 2017_Table 13'!AB$36/'AEO 2017_Table 13'!$C$36)</f>
        <v/>
      </c>
      <c r="AB117" s="190" t="str">
        <f>IF(AA117="","",$B117*'AEO 2017_Table 13'!AC$36/'AEO 2017_Table 13'!$C$36)</f>
        <v/>
      </c>
      <c r="AC117" s="190" t="str">
        <f>IF(AB117="","",$B117*'AEO 2017_Table 13'!AD$36/'AEO 2017_Table 13'!$C$36)</f>
        <v/>
      </c>
      <c r="AD117" s="190" t="str">
        <f>IF(AC117="","",$B117*'AEO 2017_Table 13'!AE$36/'AEO 2017_Table 13'!$C$36)</f>
        <v/>
      </c>
      <c r="AE117" s="190" t="str">
        <f>IF(AD117="","",$B117*'AEO 2017_Table 13'!AF$36/'AEO 2017_Table 13'!$C$36)</f>
        <v/>
      </c>
      <c r="AF117" s="190" t="str">
        <f>IF(AE117="","",$B117*'AEO 2017_Table 13'!AG$36/'AEO 2017_Table 13'!$C$36)</f>
        <v/>
      </c>
      <c r="AG117" s="190" t="str">
        <f>IF(AF117="","",$B117*'AEO 2017_Table 13'!AH$36/'AEO 2017_Table 13'!$C$36)</f>
        <v/>
      </c>
      <c r="AH117" s="190" t="str">
        <f>IF(AG117="","",$B117*'AEO 2017_Table 13'!AI$36/'AEO 2017_Table 13'!$C$36)</f>
        <v/>
      </c>
      <c r="AI117" s="190" t="str">
        <f>IF(AH117="","",$B117*'AEO 2017_Table 13'!AJ$36/'AEO 2017_Table 13'!$C$36)</f>
        <v/>
      </c>
      <c r="AJ117" s="190" t="str">
        <f>IF(AI117="","",$B117*'AEO 2017_Table 13'!AK$36/'AEO 2017_Table 13'!$C$36)</f>
        <v/>
      </c>
      <c r="AK117" s="190" t="str">
        <f>IF(AJ117="","",$B117*'AEO 2017_Table 13'!AL$36/'AEO 2017_Table 13'!$C$36)</f>
        <v/>
      </c>
    </row>
    <row r="118" spans="1:37" x14ac:dyDescent="0.25">
      <c r="A118" s="209" t="s">
        <v>1479</v>
      </c>
      <c r="B118" s="193"/>
      <c r="C118" s="193" t="str">
        <f>IF(B118="","",$B118*'AEO 2017_Table 13'!D$36/'AEO 2017_Table 13'!$C$36)</f>
        <v/>
      </c>
      <c r="D118" s="193" t="str">
        <f>IF(C118="","",$B118*'AEO 2017_Table 13'!E$36/'AEO 2017_Table 13'!$C$36)</f>
        <v/>
      </c>
      <c r="E118" s="193" t="str">
        <f>IF(D118="","",$B118*'AEO 2017_Table 13'!F$36/'AEO 2017_Table 13'!$C$36)</f>
        <v/>
      </c>
      <c r="F118" s="193" t="str">
        <f>IF(E118="","",$B118*'AEO 2017_Table 13'!G$36/'AEO 2017_Table 13'!$C$36)</f>
        <v/>
      </c>
      <c r="G118" s="193" t="str">
        <f>IF(F118="","",$B118*'AEO 2017_Table 13'!H$36/'AEO 2017_Table 13'!$C$36)</f>
        <v/>
      </c>
      <c r="H118" s="193" t="str">
        <f>IF(G118="","",$B118*'AEO 2017_Table 13'!I$36/'AEO 2017_Table 13'!$C$36)</f>
        <v/>
      </c>
      <c r="I118" s="193" t="str">
        <f>IF(H118="","",$B118*'AEO 2017_Table 13'!J$36/'AEO 2017_Table 13'!$C$36)</f>
        <v/>
      </c>
      <c r="J118" s="193" t="str">
        <f>IF(I118="","",$B118*'AEO 2017_Table 13'!K$36/'AEO 2017_Table 13'!$C$36)</f>
        <v/>
      </c>
      <c r="K118" s="193" t="str">
        <f>IF(J118="","",$B118*'AEO 2017_Table 13'!L$36/'AEO 2017_Table 13'!$C$36)</f>
        <v/>
      </c>
      <c r="L118" s="193" t="str">
        <f>IF(K118="","",$B118*'AEO 2017_Table 13'!M$36/'AEO 2017_Table 13'!$C$36)</f>
        <v/>
      </c>
      <c r="M118" s="193" t="str">
        <f>IF(L118="","",$B118*'AEO 2017_Table 13'!N$36/'AEO 2017_Table 13'!$C$36)</f>
        <v/>
      </c>
      <c r="N118" s="193" t="str">
        <f>IF(M118="","",$B118*'AEO 2017_Table 13'!O$36/'AEO 2017_Table 13'!$C$36)</f>
        <v/>
      </c>
      <c r="O118" s="193" t="str">
        <f>IF(N118="","",$B118*'AEO 2017_Table 13'!P$36/'AEO 2017_Table 13'!$C$36)</f>
        <v/>
      </c>
      <c r="P118" s="193" t="str">
        <f>IF(O118="","",$B118*'AEO 2017_Table 13'!Q$36/'AEO 2017_Table 13'!$C$36)</f>
        <v/>
      </c>
      <c r="Q118" s="193" t="str">
        <f>IF(P118="","",$B118*'AEO 2017_Table 13'!R$36/'AEO 2017_Table 13'!$C$36)</f>
        <v/>
      </c>
      <c r="R118" s="193" t="str">
        <f>IF(Q118="","",$B118*'AEO 2017_Table 13'!S$36/'AEO 2017_Table 13'!$C$36)</f>
        <v/>
      </c>
      <c r="S118" s="193" t="str">
        <f>IF(R118="","",$B118*'AEO 2017_Table 13'!T$36/'AEO 2017_Table 13'!$C$36)</f>
        <v/>
      </c>
      <c r="T118" s="193" t="str">
        <f>IF(S118="","",$B118*'AEO 2017_Table 13'!U$36/'AEO 2017_Table 13'!$C$36)</f>
        <v/>
      </c>
      <c r="U118" s="193" t="str">
        <f>IF(T118="","",$B118*'AEO 2017_Table 13'!V$36/'AEO 2017_Table 13'!$C$36)</f>
        <v/>
      </c>
      <c r="V118" s="193" t="str">
        <f>IF(U118="","",$B118*'AEO 2017_Table 13'!W$36/'AEO 2017_Table 13'!$C$36)</f>
        <v/>
      </c>
      <c r="W118" s="193" t="str">
        <f>IF(V118="","",$B118*'AEO 2017_Table 13'!X$36/'AEO 2017_Table 13'!$C$36)</f>
        <v/>
      </c>
      <c r="X118" s="193" t="str">
        <f>IF(W118="","",$B118*'AEO 2017_Table 13'!Y$36/'AEO 2017_Table 13'!$C$36)</f>
        <v/>
      </c>
      <c r="Y118" s="193" t="str">
        <f>IF(X118="","",$B118*'AEO 2017_Table 13'!Z$36/'AEO 2017_Table 13'!$C$36)</f>
        <v/>
      </c>
      <c r="Z118" s="193" t="str">
        <f>IF(Y118="","",$B118*'AEO 2017_Table 13'!AA$36/'AEO 2017_Table 13'!$C$36)</f>
        <v/>
      </c>
      <c r="AA118" s="193" t="str">
        <f>IF(Z118="","",$B118*'AEO 2017_Table 13'!AB$36/'AEO 2017_Table 13'!$C$36)</f>
        <v/>
      </c>
      <c r="AB118" s="193" t="str">
        <f>IF(AA118="","",$B118*'AEO 2017_Table 13'!AC$36/'AEO 2017_Table 13'!$C$36)</f>
        <v/>
      </c>
      <c r="AC118" s="193" t="str">
        <f>IF(AB118="","",$B118*'AEO 2017_Table 13'!AD$36/'AEO 2017_Table 13'!$C$36)</f>
        <v/>
      </c>
      <c r="AD118" s="193" t="str">
        <f>IF(AC118="","",$B118*'AEO 2017_Table 13'!AE$36/'AEO 2017_Table 13'!$C$36)</f>
        <v/>
      </c>
      <c r="AE118" s="193" t="str">
        <f>IF(AD118="","",$B118*'AEO 2017_Table 13'!AF$36/'AEO 2017_Table 13'!$C$36)</f>
        <v/>
      </c>
      <c r="AF118" s="193" t="str">
        <f>IF(AE118="","",$B118*'AEO 2017_Table 13'!AG$36/'AEO 2017_Table 13'!$C$36)</f>
        <v/>
      </c>
      <c r="AG118" s="193" t="str">
        <f>IF(AF118="","",$B118*'AEO 2017_Table 13'!AH$36/'AEO 2017_Table 13'!$C$36)</f>
        <v/>
      </c>
      <c r="AH118" s="193" t="str">
        <f>IF(AG118="","",$B118*'AEO 2017_Table 13'!AI$36/'AEO 2017_Table 13'!$C$36)</f>
        <v/>
      </c>
      <c r="AI118" s="193" t="str">
        <f>IF(AH118="","",$B118*'AEO 2017_Table 13'!AJ$36/'AEO 2017_Table 13'!$C$36)</f>
        <v/>
      </c>
      <c r="AJ118" s="193" t="str">
        <f>IF(AI118="","",$B118*'AEO 2017_Table 13'!AK$36/'AEO 2017_Table 13'!$C$36)</f>
        <v/>
      </c>
      <c r="AK118" s="193" t="str">
        <f>IF(AJ118="","",$B118*'AEO 2017_Table 13'!AL$36/'AEO 2017_Table 13'!$C$36)</f>
        <v/>
      </c>
    </row>
    <row r="119" spans="1:37" x14ac:dyDescent="0.25">
      <c r="A119" s="215" t="s">
        <v>1480</v>
      </c>
      <c r="B119" s="195">
        <v>2.1101121426744944</v>
      </c>
      <c r="C119" s="195">
        <f>IF(B119="","",$B119*'AEO 2017_Table 13'!D$36/'AEO 2017_Table 13'!$C$36)</f>
        <v>2.1401971284107693</v>
      </c>
      <c r="D119" s="195">
        <f>IF(C119="","",$B119*'AEO 2017_Table 13'!E$36/'AEO 2017_Table 13'!$C$36)</f>
        <v>2.1534210600176888</v>
      </c>
      <c r="E119" s="195">
        <f>IF(D119="","",$B119*'AEO 2017_Table 13'!F$36/'AEO 2017_Table 13'!$C$36)</f>
        <v>2.1758942424549144</v>
      </c>
      <c r="F119" s="195">
        <f>IF(E119="","",$B119*'AEO 2017_Table 13'!G$36/'AEO 2017_Table 13'!$C$36)</f>
        <v>2.1498737983638327</v>
      </c>
      <c r="G119" s="195">
        <f>IF(F119="","",$B119*'AEO 2017_Table 13'!H$36/'AEO 2017_Table 13'!$C$36)</f>
        <v>2.1157369535834376</v>
      </c>
      <c r="H119" s="195">
        <f>IF(G119="","",$B119*'AEO 2017_Table 13'!I$36/'AEO 2017_Table 13'!$C$36)</f>
        <v>2.1040653259481306</v>
      </c>
      <c r="I119" s="195">
        <f>IF(H119="","",$B119*'AEO 2017_Table 13'!J$36/'AEO 2017_Table 13'!$C$36)</f>
        <v>2.1085343188348689</v>
      </c>
      <c r="J119" s="195">
        <f>IF(I119="","",$B119*'AEO 2017_Table 13'!K$36/'AEO 2017_Table 13'!$C$36)</f>
        <v>2.1262801390549542</v>
      </c>
      <c r="K119" s="195">
        <f>IF(J119="","",$B119*'AEO 2017_Table 13'!L$36/'AEO 2017_Table 13'!$C$36)</f>
        <v>2.1439076398869776</v>
      </c>
      <c r="L119" s="195">
        <f>IF(K119="","",$B119*'AEO 2017_Table 13'!M$36/'AEO 2017_Table 13'!$C$36)</f>
        <v>2.1724073004890898</v>
      </c>
      <c r="M119" s="195">
        <f>IF(L119="","",$B119*'AEO 2017_Table 13'!N$36/'AEO 2017_Table 13'!$C$36)</f>
        <v>2.1951364549357826</v>
      </c>
      <c r="N119" s="195">
        <f>IF(M119="","",$B119*'AEO 2017_Table 13'!O$36/'AEO 2017_Table 13'!$C$36)</f>
        <v>2.19876901481515</v>
      </c>
      <c r="O119" s="195">
        <f>IF(N119="","",$B119*'AEO 2017_Table 13'!P$36/'AEO 2017_Table 13'!$C$36)</f>
        <v>2.2060481318348253</v>
      </c>
      <c r="P119" s="195">
        <f>IF(O119="","",$B119*'AEO 2017_Table 13'!Q$36/'AEO 2017_Table 13'!$C$36)</f>
        <v>2.2101402813372331</v>
      </c>
      <c r="Q119" s="195">
        <f>IF(P119="","",$B119*'AEO 2017_Table 13'!R$36/'AEO 2017_Table 13'!$C$36)</f>
        <v>2.2122138092797847</v>
      </c>
      <c r="R119" s="195">
        <f>IF(Q119="","",$B119*'AEO 2017_Table 13'!S$36/'AEO 2017_Table 13'!$C$36)</f>
        <v>2.22002103290147</v>
      </c>
      <c r="S119" s="195">
        <f>IF(R119="","",$B119*'AEO 2017_Table 13'!T$36/'AEO 2017_Table 13'!$C$36)</f>
        <v>2.2350206059915849</v>
      </c>
      <c r="T119" s="195">
        <f>IF(S119="","",$B119*'AEO 2017_Table 13'!U$36/'AEO 2017_Table 13'!$C$36)</f>
        <v>2.2493974943021739</v>
      </c>
      <c r="U119" s="195">
        <f>IF(T119="","",$B119*'AEO 2017_Table 13'!V$36/'AEO 2017_Table 13'!$C$36)</f>
        <v>2.2764046292901718</v>
      </c>
      <c r="V119" s="195">
        <f>IF(U119="","",$B119*'AEO 2017_Table 13'!W$36/'AEO 2017_Table 13'!$C$36)</f>
        <v>2.3092559687190946</v>
      </c>
      <c r="W119" s="195">
        <f>IF(V119="","",$B119*'AEO 2017_Table 13'!X$36/'AEO 2017_Table 13'!$C$36)</f>
        <v>2.3339356917442746</v>
      </c>
      <c r="X119" s="195">
        <f>IF(W119="","",$B119*'AEO 2017_Table 13'!Y$36/'AEO 2017_Table 13'!$C$36)</f>
        <v>2.3557215390696742</v>
      </c>
      <c r="Y119" s="195">
        <f>IF(X119="","",$B119*'AEO 2017_Table 13'!Z$36/'AEO 2017_Table 13'!$C$36)</f>
        <v>2.3780775621128378</v>
      </c>
      <c r="Z119" s="195">
        <f>IF(Y119="","",$B119*'AEO 2017_Table 13'!AA$36/'AEO 2017_Table 13'!$C$36)</f>
        <v>2.4068927410831149</v>
      </c>
      <c r="AA119" s="195">
        <f>IF(Z119="","",$B119*'AEO 2017_Table 13'!AB$36/'AEO 2017_Table 13'!$C$36)</f>
        <v>2.4227266591914001</v>
      </c>
      <c r="AB119" s="195">
        <f>IF(AA119="","",$B119*'AEO 2017_Table 13'!AC$36/'AEO 2017_Table 13'!$C$36)</f>
        <v>2.4389816551219052</v>
      </c>
      <c r="AC119" s="195">
        <f>IF(AB119="","",$B119*'AEO 2017_Table 13'!AD$36/'AEO 2017_Table 13'!$C$36)</f>
        <v>2.4505777284813064</v>
      </c>
      <c r="AD119" s="195">
        <f>IF(AC119="","",$B119*'AEO 2017_Table 13'!AE$36/'AEO 2017_Table 13'!$C$36)</f>
        <v>2.4664954754893684</v>
      </c>
      <c r="AE119" s="195">
        <f>IF(AD119="","",$B119*'AEO 2017_Table 13'!AF$36/'AEO 2017_Table 13'!$C$36)</f>
        <v>2.48921542731699</v>
      </c>
      <c r="AF119" s="195">
        <f>IF(AE119="","",$B119*'AEO 2017_Table 13'!AG$36/'AEO 2017_Table 13'!$C$36)</f>
        <v>2.5123028652440031</v>
      </c>
      <c r="AG119" s="195">
        <f>IF(AF119="","",$B119*'AEO 2017_Table 13'!AH$36/'AEO 2017_Table 13'!$C$36)</f>
        <v>2.5322538340592424</v>
      </c>
      <c r="AH119" s="195">
        <f>IF(AG119="","",$B119*'AEO 2017_Table 13'!AI$36/'AEO 2017_Table 13'!$C$36)</f>
        <v>2.5529449563798026</v>
      </c>
      <c r="AI119" s="195">
        <f>IF(AH119="","",$B119*'AEO 2017_Table 13'!AJ$36/'AEO 2017_Table 13'!$C$36)</f>
        <v>2.5691075394549259</v>
      </c>
      <c r="AJ119" s="195">
        <f>IF(AI119="","",$B119*'AEO 2017_Table 13'!AK$36/'AEO 2017_Table 13'!$C$36)</f>
        <v>2.5855772116084768</v>
      </c>
      <c r="AK119" s="195">
        <f>IF(AJ119="","",$B119*'AEO 2017_Table 13'!AL$36/'AEO 2017_Table 13'!$C$36)</f>
        <v>2.608259270298745</v>
      </c>
    </row>
    <row r="120" spans="1:37" x14ac:dyDescent="0.25">
      <c r="A120" s="208" t="s">
        <v>1481</v>
      </c>
      <c r="B120" s="197">
        <v>4.4367203546633531</v>
      </c>
      <c r="C120" s="197">
        <f>IF(B120="","",$B120*'AEO 2017_Table 13'!D$36/'AEO 2017_Table 13'!$C$36)</f>
        <v>4.4999770251911615</v>
      </c>
      <c r="D120" s="197">
        <f>IF(C120="","",$B120*'AEO 2017_Table 13'!E$36/'AEO 2017_Table 13'!$C$36)</f>
        <v>4.5277816547852696</v>
      </c>
      <c r="E120" s="197">
        <f>IF(D120="","",$B120*'AEO 2017_Table 13'!F$36/'AEO 2017_Table 13'!$C$36)</f>
        <v>4.5750337528784666</v>
      </c>
      <c r="F120" s="197">
        <f>IF(E120="","",$B120*'AEO 2017_Table 13'!G$36/'AEO 2017_Table 13'!$C$36)</f>
        <v>4.52032318484678</v>
      </c>
      <c r="G120" s="197">
        <f>IF(F120="","",$B120*'AEO 2017_Table 13'!H$36/'AEO 2017_Table 13'!$C$36)</f>
        <v>4.4485470782512335</v>
      </c>
      <c r="H120" s="197">
        <f>IF(G120="","",$B120*'AEO 2017_Table 13'!I$36/'AEO 2017_Table 13'!$C$36)</f>
        <v>4.4240063219310581</v>
      </c>
      <c r="I120" s="197">
        <f>IF(H120="","",$B120*'AEO 2017_Table 13'!J$36/'AEO 2017_Table 13'!$C$36)</f>
        <v>4.4334028233323091</v>
      </c>
      <c r="J120" s="197">
        <f>IF(I120="","",$B120*'AEO 2017_Table 13'!K$36/'AEO 2017_Table 13'!$C$36)</f>
        <v>4.4707151728460444</v>
      </c>
      <c r="K120" s="197">
        <f>IF(J120="","",$B120*'AEO 2017_Table 13'!L$36/'AEO 2017_Table 13'!$C$36)</f>
        <v>4.5077787440949919</v>
      </c>
      <c r="L120" s="197">
        <f>IF(K120="","",$B120*'AEO 2017_Table 13'!M$36/'AEO 2017_Table 13'!$C$36)</f>
        <v>4.5677021110749676</v>
      </c>
      <c r="M120" s="197">
        <f>IF(L120="","",$B120*'AEO 2017_Table 13'!N$36/'AEO 2017_Table 13'!$C$36)</f>
        <v>4.6154924157410102</v>
      </c>
      <c r="N120" s="197">
        <f>IF(M120="","",$B120*'AEO 2017_Table 13'!O$36/'AEO 2017_Table 13'!$C$36)</f>
        <v>4.6231302336703903</v>
      </c>
      <c r="O120" s="197">
        <f>IF(N120="","",$B120*'AEO 2017_Table 13'!P$36/'AEO 2017_Table 13'!$C$36)</f>
        <v>4.6384353001604763</v>
      </c>
      <c r="P120" s="197">
        <f>IF(O120="","",$B120*'AEO 2017_Table 13'!Q$36/'AEO 2017_Table 13'!$C$36)</f>
        <v>4.6470394509183812</v>
      </c>
      <c r="Q120" s="197">
        <f>IF(P120="","",$B120*'AEO 2017_Table 13'!R$36/'AEO 2017_Table 13'!$C$36)</f>
        <v>4.6513992493587724</v>
      </c>
      <c r="R120" s="197">
        <f>IF(Q120="","",$B120*'AEO 2017_Table 13'!S$36/'AEO 2017_Table 13'!$C$36)</f>
        <v>4.6678147124307188</v>
      </c>
      <c r="S120" s="197">
        <f>IF(R120="","",$B120*'AEO 2017_Table 13'!T$36/'AEO 2017_Table 13'!$C$36)</f>
        <v>4.699352804598572</v>
      </c>
      <c r="T120" s="197">
        <f>IF(S120="","",$B120*'AEO 2017_Table 13'!U$36/'AEO 2017_Table 13'!$C$36)</f>
        <v>4.7295816401729054</v>
      </c>
      <c r="U120" s="197">
        <f>IF(T120="","",$B120*'AEO 2017_Table 13'!V$36/'AEO 2017_Table 13'!$C$36)</f>
        <v>4.7863668238127284</v>
      </c>
      <c r="V120" s="197">
        <f>IF(U120="","",$B120*'AEO 2017_Table 13'!W$36/'AEO 2017_Table 13'!$C$36)</f>
        <v>4.8554400277314169</v>
      </c>
      <c r="W120" s="197">
        <f>IF(V120="","",$B120*'AEO 2017_Table 13'!X$36/'AEO 2017_Table 13'!$C$36)</f>
        <v>4.9073315965626758</v>
      </c>
      <c r="X120" s="197">
        <f>IF(W120="","",$B120*'AEO 2017_Table 13'!Y$36/'AEO 2017_Table 13'!$C$36)</f>
        <v>4.9531385043176721</v>
      </c>
      <c r="Y120" s="197">
        <f>IF(X120="","",$B120*'AEO 2017_Table 13'!Z$36/'AEO 2017_Table 13'!$C$36)</f>
        <v>5.0001442631486759</v>
      </c>
      <c r="Z120" s="197">
        <f>IF(Y120="","",$B120*'AEO 2017_Table 13'!AA$36/'AEO 2017_Table 13'!$C$36)</f>
        <v>5.0607310388347573</v>
      </c>
      <c r="AA120" s="197">
        <f>IF(Z120="","",$B120*'AEO 2017_Table 13'!AB$36/'AEO 2017_Table 13'!$C$36)</f>
        <v>5.0940234242698086</v>
      </c>
      <c r="AB120" s="197">
        <f>IF(AA120="","",$B120*'AEO 2017_Table 13'!AC$36/'AEO 2017_Table 13'!$C$36)</f>
        <v>5.1282011676471972</v>
      </c>
      <c r="AC120" s="197">
        <f>IF(AB120="","",$B120*'AEO 2017_Table 13'!AD$36/'AEO 2017_Table 13'!$C$36)</f>
        <v>5.1525830635982892</v>
      </c>
      <c r="AD120" s="197">
        <f>IF(AC120="","",$B120*'AEO 2017_Table 13'!AE$36/'AEO 2017_Table 13'!$C$36)</f>
        <v>5.1860517076209414</v>
      </c>
      <c r="AE120" s="197">
        <f>IF(AD120="","",$B120*'AEO 2017_Table 13'!AF$36/'AEO 2017_Table 13'!$C$36)</f>
        <v>5.2338226628663884</v>
      </c>
      <c r="AF120" s="197">
        <f>IF(AE120="","",$B120*'AEO 2017_Table 13'!AG$36/'AEO 2017_Table 13'!$C$36)</f>
        <v>5.2823662941342411</v>
      </c>
      <c r="AG120" s="197">
        <f>IF(AF120="","",$B120*'AEO 2017_Table 13'!AH$36/'AEO 2017_Table 13'!$C$36)</f>
        <v>5.3243151875829247</v>
      </c>
      <c r="AH120" s="197">
        <f>IF(AG120="","",$B120*'AEO 2017_Table 13'!AI$36/'AEO 2017_Table 13'!$C$36)</f>
        <v>5.3678203272880127</v>
      </c>
      <c r="AI120" s="197">
        <f>IF(AH120="","",$B120*'AEO 2017_Table 13'!AJ$36/'AEO 2017_Table 13'!$C$36)</f>
        <v>5.4018037634585898</v>
      </c>
      <c r="AJ120" s="197">
        <f>IF(AI120="","",$B120*'AEO 2017_Table 13'!AK$36/'AEO 2017_Table 13'!$C$36)</f>
        <v>5.4364328849164076</v>
      </c>
      <c r="AK120" s="197">
        <f>IF(AJ120="","",$B120*'AEO 2017_Table 13'!AL$36/'AEO 2017_Table 13'!$C$36)</f>
        <v>5.484124166077053</v>
      </c>
    </row>
    <row r="121" spans="1:37" x14ac:dyDescent="0.25">
      <c r="A121" s="209" t="s">
        <v>1460</v>
      </c>
      <c r="B121" s="193"/>
      <c r="C121" s="193" t="str">
        <f>IF(B121="","",$B121*'AEO 2017_Table 13'!D$36/'AEO 2017_Table 13'!$C$36)</f>
        <v/>
      </c>
      <c r="D121" s="193" t="str">
        <f>IF(C121="","",$B121*'AEO 2017_Table 13'!E$36/'AEO 2017_Table 13'!$C$36)</f>
        <v/>
      </c>
      <c r="E121" s="193" t="str">
        <f>IF(D121="","",$B121*'AEO 2017_Table 13'!F$36/'AEO 2017_Table 13'!$C$36)</f>
        <v/>
      </c>
      <c r="F121" s="193" t="str">
        <f>IF(E121="","",$B121*'AEO 2017_Table 13'!G$36/'AEO 2017_Table 13'!$C$36)</f>
        <v/>
      </c>
      <c r="G121" s="193" t="str">
        <f>IF(F121="","",$B121*'AEO 2017_Table 13'!H$36/'AEO 2017_Table 13'!$C$36)</f>
        <v/>
      </c>
      <c r="H121" s="193" t="str">
        <f>IF(G121="","",$B121*'AEO 2017_Table 13'!I$36/'AEO 2017_Table 13'!$C$36)</f>
        <v/>
      </c>
      <c r="I121" s="193" t="str">
        <f>IF(H121="","",$B121*'AEO 2017_Table 13'!J$36/'AEO 2017_Table 13'!$C$36)</f>
        <v/>
      </c>
      <c r="J121" s="193" t="str">
        <f>IF(I121="","",$B121*'AEO 2017_Table 13'!K$36/'AEO 2017_Table 13'!$C$36)</f>
        <v/>
      </c>
      <c r="K121" s="193" t="str">
        <f>IF(J121="","",$B121*'AEO 2017_Table 13'!L$36/'AEO 2017_Table 13'!$C$36)</f>
        <v/>
      </c>
      <c r="L121" s="193" t="str">
        <f>IF(K121="","",$B121*'AEO 2017_Table 13'!M$36/'AEO 2017_Table 13'!$C$36)</f>
        <v/>
      </c>
      <c r="M121" s="193" t="str">
        <f>IF(L121="","",$B121*'AEO 2017_Table 13'!N$36/'AEO 2017_Table 13'!$C$36)</f>
        <v/>
      </c>
      <c r="N121" s="193" t="str">
        <f>IF(M121="","",$B121*'AEO 2017_Table 13'!O$36/'AEO 2017_Table 13'!$C$36)</f>
        <v/>
      </c>
      <c r="O121" s="193" t="str">
        <f>IF(N121="","",$B121*'AEO 2017_Table 13'!P$36/'AEO 2017_Table 13'!$C$36)</f>
        <v/>
      </c>
      <c r="P121" s="193" t="str">
        <f>IF(O121="","",$B121*'AEO 2017_Table 13'!Q$36/'AEO 2017_Table 13'!$C$36)</f>
        <v/>
      </c>
      <c r="Q121" s="193" t="str">
        <f>IF(P121="","",$B121*'AEO 2017_Table 13'!R$36/'AEO 2017_Table 13'!$C$36)</f>
        <v/>
      </c>
      <c r="R121" s="193" t="str">
        <f>IF(Q121="","",$B121*'AEO 2017_Table 13'!S$36/'AEO 2017_Table 13'!$C$36)</f>
        <v/>
      </c>
      <c r="S121" s="193" t="str">
        <f>IF(R121="","",$B121*'AEO 2017_Table 13'!T$36/'AEO 2017_Table 13'!$C$36)</f>
        <v/>
      </c>
      <c r="T121" s="193" t="str">
        <f>IF(S121="","",$B121*'AEO 2017_Table 13'!U$36/'AEO 2017_Table 13'!$C$36)</f>
        <v/>
      </c>
      <c r="U121" s="193" t="str">
        <f>IF(T121="","",$B121*'AEO 2017_Table 13'!V$36/'AEO 2017_Table 13'!$C$36)</f>
        <v/>
      </c>
      <c r="V121" s="193" t="str">
        <f>IF(U121="","",$B121*'AEO 2017_Table 13'!W$36/'AEO 2017_Table 13'!$C$36)</f>
        <v/>
      </c>
      <c r="W121" s="193" t="str">
        <f>IF(V121="","",$B121*'AEO 2017_Table 13'!X$36/'AEO 2017_Table 13'!$C$36)</f>
        <v/>
      </c>
      <c r="X121" s="193" t="str">
        <f>IF(W121="","",$B121*'AEO 2017_Table 13'!Y$36/'AEO 2017_Table 13'!$C$36)</f>
        <v/>
      </c>
      <c r="Y121" s="193" t="str">
        <f>IF(X121="","",$B121*'AEO 2017_Table 13'!Z$36/'AEO 2017_Table 13'!$C$36)</f>
        <v/>
      </c>
      <c r="Z121" s="193" t="str">
        <f>IF(Y121="","",$B121*'AEO 2017_Table 13'!AA$36/'AEO 2017_Table 13'!$C$36)</f>
        <v/>
      </c>
      <c r="AA121" s="193" t="str">
        <f>IF(Z121="","",$B121*'AEO 2017_Table 13'!AB$36/'AEO 2017_Table 13'!$C$36)</f>
        <v/>
      </c>
      <c r="AB121" s="193" t="str">
        <f>IF(AA121="","",$B121*'AEO 2017_Table 13'!AC$36/'AEO 2017_Table 13'!$C$36)</f>
        <v/>
      </c>
      <c r="AC121" s="193" t="str">
        <f>IF(AB121="","",$B121*'AEO 2017_Table 13'!AD$36/'AEO 2017_Table 13'!$C$36)</f>
        <v/>
      </c>
      <c r="AD121" s="193" t="str">
        <f>IF(AC121="","",$B121*'AEO 2017_Table 13'!AE$36/'AEO 2017_Table 13'!$C$36)</f>
        <v/>
      </c>
      <c r="AE121" s="193" t="str">
        <f>IF(AD121="","",$B121*'AEO 2017_Table 13'!AF$36/'AEO 2017_Table 13'!$C$36)</f>
        <v/>
      </c>
      <c r="AF121" s="193" t="str">
        <f>IF(AE121="","",$B121*'AEO 2017_Table 13'!AG$36/'AEO 2017_Table 13'!$C$36)</f>
        <v/>
      </c>
      <c r="AG121" s="193" t="str">
        <f>IF(AF121="","",$B121*'AEO 2017_Table 13'!AH$36/'AEO 2017_Table 13'!$C$36)</f>
        <v/>
      </c>
      <c r="AH121" s="193" t="str">
        <f>IF(AG121="","",$B121*'AEO 2017_Table 13'!AI$36/'AEO 2017_Table 13'!$C$36)</f>
        <v/>
      </c>
      <c r="AI121" s="193" t="str">
        <f>IF(AH121="","",$B121*'AEO 2017_Table 13'!AJ$36/'AEO 2017_Table 13'!$C$36)</f>
        <v/>
      </c>
      <c r="AJ121" s="193" t="str">
        <f>IF(AI121="","",$B121*'AEO 2017_Table 13'!AK$36/'AEO 2017_Table 13'!$C$36)</f>
        <v/>
      </c>
      <c r="AK121" s="193" t="str">
        <f>IF(AJ121="","",$B121*'AEO 2017_Table 13'!AL$36/'AEO 2017_Table 13'!$C$36)</f>
        <v/>
      </c>
    </row>
    <row r="122" spans="1:37" x14ac:dyDescent="0.25">
      <c r="A122" s="215" t="s">
        <v>1482</v>
      </c>
      <c r="B122" s="195">
        <v>251.96144183623005</v>
      </c>
      <c r="C122" s="195">
        <f>IF(B122="","",$B122*'AEO 2017_Table 13'!D$36/'AEO 2017_Table 13'!$C$36)</f>
        <v>255.55378947995601</v>
      </c>
      <c r="D122" s="195">
        <f>IF(C122="","",$B122*'AEO 2017_Table 13'!E$36/'AEO 2017_Table 13'!$C$36)</f>
        <v>257.13281497677156</v>
      </c>
      <c r="E122" s="195">
        <f>IF(D122="","",$B122*'AEO 2017_Table 13'!F$36/'AEO 2017_Table 13'!$C$36)</f>
        <v>259.81626261683635</v>
      </c>
      <c r="F122" s="195">
        <f>IF(E122="","",$B122*'AEO 2017_Table 13'!G$36/'AEO 2017_Table 13'!$C$36)</f>
        <v>256.70924831280121</v>
      </c>
      <c r="G122" s="195">
        <f>IF(F122="","",$B122*'AEO 2017_Table 13'!H$36/'AEO 2017_Table 13'!$C$36)</f>
        <v>252.63308171641063</v>
      </c>
      <c r="H122" s="195">
        <f>IF(G122="","",$B122*'AEO 2017_Table 13'!I$36/'AEO 2017_Table 13'!$C$36)</f>
        <v>251.23941165115991</v>
      </c>
      <c r="I122" s="195">
        <f>IF(H122="","",$B122*'AEO 2017_Table 13'!J$36/'AEO 2017_Table 13'!$C$36)</f>
        <v>251.77303916247845</v>
      </c>
      <c r="J122" s="195">
        <f>IF(I122="","",$B122*'AEO 2017_Table 13'!K$36/'AEO 2017_Table 13'!$C$36)</f>
        <v>253.89200827259978</v>
      </c>
      <c r="K122" s="195">
        <f>IF(J122="","",$B122*'AEO 2017_Table 13'!L$36/'AEO 2017_Table 13'!$C$36)</f>
        <v>255.99684925985488</v>
      </c>
      <c r="L122" s="195">
        <f>IF(K122="","",$B122*'AEO 2017_Table 13'!M$36/'AEO 2017_Table 13'!$C$36)</f>
        <v>259.39989852530766</v>
      </c>
      <c r="M122" s="195">
        <f>IF(L122="","",$B122*'AEO 2017_Table 13'!N$36/'AEO 2017_Table 13'!$C$36)</f>
        <v>262.11391092791314</v>
      </c>
      <c r="N122" s="195">
        <f>IF(M122="","",$B122*'AEO 2017_Table 13'!O$36/'AEO 2017_Table 13'!$C$36)</f>
        <v>262.54766276804133</v>
      </c>
      <c r="O122" s="195">
        <f>IF(N122="","",$B122*'AEO 2017_Table 13'!P$36/'AEO 2017_Table 13'!$C$36)</f>
        <v>263.41683781446682</v>
      </c>
      <c r="P122" s="195">
        <f>IF(O122="","",$B122*'AEO 2017_Table 13'!Q$36/'AEO 2017_Table 13'!$C$36)</f>
        <v>263.90546771615971</v>
      </c>
      <c r="Q122" s="195">
        <f>IF(P122="","",$B122*'AEO 2017_Table 13'!R$36/'AEO 2017_Table 13'!$C$36)</f>
        <v>264.15306076087387</v>
      </c>
      <c r="R122" s="195">
        <f>IF(Q122="","",$B122*'AEO 2017_Table 13'!S$36/'AEO 2017_Table 13'!$C$36)</f>
        <v>265.08529525243239</v>
      </c>
      <c r="S122" s="195">
        <f>IF(R122="","",$B122*'AEO 2017_Table 13'!T$36/'AEO 2017_Table 13'!$C$36)</f>
        <v>266.87634416698114</v>
      </c>
      <c r="T122" s="195">
        <f>IF(S122="","",$B122*'AEO 2017_Table 13'!U$36/'AEO 2017_Table 13'!$C$36)</f>
        <v>268.59304037217106</v>
      </c>
      <c r="U122" s="195">
        <f>IF(T122="","",$B122*'AEO 2017_Table 13'!V$36/'AEO 2017_Table 13'!$C$36)</f>
        <v>271.81787214003003</v>
      </c>
      <c r="V122" s="195">
        <f>IF(U122="","",$B122*'AEO 2017_Table 13'!W$36/'AEO 2017_Table 13'!$C$36)</f>
        <v>275.74054083680909</v>
      </c>
      <c r="W122" s="195">
        <f>IF(V122="","",$B122*'AEO 2017_Table 13'!X$36/'AEO 2017_Table 13'!$C$36)</f>
        <v>278.68746411722856</v>
      </c>
      <c r="X122" s="195">
        <f>IF(W122="","",$B122*'AEO 2017_Table 13'!Y$36/'AEO 2017_Table 13'!$C$36)</f>
        <v>281.28883936772792</v>
      </c>
      <c r="Y122" s="195">
        <f>IF(X122="","",$B122*'AEO 2017_Table 13'!Z$36/'AEO 2017_Table 13'!$C$36)</f>
        <v>283.95829739593495</v>
      </c>
      <c r="Z122" s="195">
        <f>IF(Y122="","",$B122*'AEO 2017_Table 13'!AA$36/'AEO 2017_Table 13'!$C$36)</f>
        <v>287.39902165569765</v>
      </c>
      <c r="AA122" s="195">
        <f>IF(Z122="","",$B122*'AEO 2017_Table 13'!AB$36/'AEO 2017_Table 13'!$C$36)</f>
        <v>289.28969692162156</v>
      </c>
      <c r="AB122" s="195">
        <f>IF(AA122="","",$B122*'AEO 2017_Table 13'!AC$36/'AEO 2017_Table 13'!$C$36)</f>
        <v>291.2306516836282</v>
      </c>
      <c r="AC122" s="195">
        <f>IF(AB122="","",$B122*'AEO 2017_Table 13'!AD$36/'AEO 2017_Table 13'!$C$36)</f>
        <v>292.61530006519251</v>
      </c>
      <c r="AD122" s="195">
        <f>IF(AC122="","",$B122*'AEO 2017_Table 13'!AE$36/'AEO 2017_Table 13'!$C$36)</f>
        <v>294.51598505999669</v>
      </c>
      <c r="AE122" s="195">
        <f>IF(AD122="","",$B122*'AEO 2017_Table 13'!AF$36/'AEO 2017_Table 13'!$C$36)</f>
        <v>297.22889860860153</v>
      </c>
      <c r="AF122" s="195">
        <f>IF(AE122="","",$B122*'AEO 2017_Table 13'!AG$36/'AEO 2017_Table 13'!$C$36)</f>
        <v>299.98569244469678</v>
      </c>
      <c r="AG122" s="195">
        <f>IF(AF122="","",$B122*'AEO 2017_Table 13'!AH$36/'AEO 2017_Table 13'!$C$36)</f>
        <v>302.36797098196257</v>
      </c>
      <c r="AH122" s="195">
        <f>IF(AG122="","",$B122*'AEO 2017_Table 13'!AI$36/'AEO 2017_Table 13'!$C$36)</f>
        <v>304.83862877671385</v>
      </c>
      <c r="AI122" s="195">
        <f>IF(AH122="","",$B122*'AEO 2017_Table 13'!AJ$36/'AEO 2017_Table 13'!$C$36)</f>
        <v>306.76854882837722</v>
      </c>
      <c r="AJ122" s="195">
        <f>IF(AI122="","",$B122*'AEO 2017_Table 13'!AK$36/'AEO 2017_Table 13'!$C$36)</f>
        <v>308.73513736102228</v>
      </c>
      <c r="AK122" s="195">
        <f>IF(AJ122="","",$B122*'AEO 2017_Table 13'!AL$36/'AEO 2017_Table 13'!$C$36)</f>
        <v>311.44352621668298</v>
      </c>
    </row>
    <row r="123" spans="1:37" x14ac:dyDescent="0.25">
      <c r="A123" s="214" t="s">
        <v>1483</v>
      </c>
      <c r="B123" s="198">
        <v>1.4278517010199805</v>
      </c>
      <c r="C123" s="198">
        <f>IF(B123="","",$B123*'AEO 2017_Table 13'!D$36/'AEO 2017_Table 13'!$C$36)</f>
        <v>1.4482093385075576</v>
      </c>
      <c r="D123" s="198">
        <f>IF(C123="","",$B123*'AEO 2017_Table 13'!E$36/'AEO 2017_Table 13'!$C$36)</f>
        <v>1.4571575895778441</v>
      </c>
      <c r="E123" s="198">
        <f>IF(D123="","",$B123*'AEO 2017_Table 13'!F$36/'AEO 2017_Table 13'!$C$36)</f>
        <v>1.4723645404888295</v>
      </c>
      <c r="F123" s="198">
        <f>IF(E123="","",$B123*'AEO 2017_Table 13'!G$36/'AEO 2017_Table 13'!$C$36)</f>
        <v>1.4547572604749552</v>
      </c>
      <c r="G123" s="198">
        <f>IF(F123="","",$B123*'AEO 2017_Table 13'!H$36/'AEO 2017_Table 13'!$C$36)</f>
        <v>1.43165784746207</v>
      </c>
      <c r="H123" s="198">
        <f>IF(G123="","",$B123*'AEO 2017_Table 13'!I$36/'AEO 2017_Table 13'!$C$36)</f>
        <v>1.4237599954779465</v>
      </c>
      <c r="I123" s="198">
        <f>IF(H123="","",$B123*'AEO 2017_Table 13'!J$36/'AEO 2017_Table 13'!$C$36)</f>
        <v>1.4267840333791206</v>
      </c>
      <c r="J123" s="198">
        <f>IF(I123="","",$B123*'AEO 2017_Table 13'!K$36/'AEO 2017_Table 13'!$C$36)</f>
        <v>1.4387921153548624</v>
      </c>
      <c r="K123" s="198">
        <f>IF(J123="","",$B123*'AEO 2017_Table 13'!L$36/'AEO 2017_Table 13'!$C$36)</f>
        <v>1.4507201340315543</v>
      </c>
      <c r="L123" s="198">
        <f>IF(K123="","",$B123*'AEO 2017_Table 13'!M$36/'AEO 2017_Table 13'!$C$36)</f>
        <v>1.4700050279697698</v>
      </c>
      <c r="M123" s="198">
        <f>IF(L123="","",$B123*'AEO 2017_Table 13'!N$36/'AEO 2017_Table 13'!$C$36)</f>
        <v>1.4853851877172617</v>
      </c>
      <c r="N123" s="198">
        <f>IF(M123="","",$B123*'AEO 2017_Table 13'!O$36/'AEO 2017_Table 13'!$C$36)</f>
        <v>1.4878432356560016</v>
      </c>
      <c r="O123" s="198">
        <f>IF(N123="","",$B123*'AEO 2017_Table 13'!P$36/'AEO 2017_Table 13'!$C$36)</f>
        <v>1.4927688030740884</v>
      </c>
      <c r="P123" s="198">
        <f>IF(O123="","",$B123*'AEO 2017_Table 13'!Q$36/'AEO 2017_Table 13'!$C$36)</f>
        <v>1.4955378419842364</v>
      </c>
      <c r="Q123" s="198">
        <f>IF(P123="","",$B123*'AEO 2017_Table 13'!R$36/'AEO 2017_Table 13'!$C$36)</f>
        <v>1.4969409382178482</v>
      </c>
      <c r="R123" s="198">
        <f>IF(Q123="","",$B123*'AEO 2017_Table 13'!S$36/'AEO 2017_Table 13'!$C$36)</f>
        <v>1.5022238600602564</v>
      </c>
      <c r="S123" s="198">
        <f>IF(R123="","",$B123*'AEO 2017_Table 13'!T$36/'AEO 2017_Table 13'!$C$36)</f>
        <v>1.5123736362347819</v>
      </c>
      <c r="T123" s="198">
        <f>IF(S123="","",$B123*'AEO 2017_Table 13'!U$36/'AEO 2017_Table 13'!$C$36)</f>
        <v>1.5221020596746995</v>
      </c>
      <c r="U123" s="198">
        <f>IF(T123="","",$B123*'AEO 2017_Table 13'!V$36/'AEO 2017_Table 13'!$C$36)</f>
        <v>1.5403770048079057</v>
      </c>
      <c r="V123" s="198">
        <f>IF(U123="","",$B123*'AEO 2017_Table 13'!W$36/'AEO 2017_Table 13'!$C$36)</f>
        <v>1.5626065536246425</v>
      </c>
      <c r="W123" s="198">
        <f>IF(V123="","",$B123*'AEO 2017_Table 13'!X$36/'AEO 2017_Table 13'!$C$36)</f>
        <v>1.5793066065694785</v>
      </c>
      <c r="X123" s="198">
        <f>IF(W123="","",$B123*'AEO 2017_Table 13'!Y$36/'AEO 2017_Table 13'!$C$36)</f>
        <v>1.5940484577406233</v>
      </c>
      <c r="Y123" s="198">
        <f>IF(X123="","",$B123*'AEO 2017_Table 13'!Z$36/'AEO 2017_Table 13'!$C$36)</f>
        <v>1.6091761302868632</v>
      </c>
      <c r="Z123" s="198">
        <f>IF(Y123="","",$B123*'AEO 2017_Table 13'!AA$36/'AEO 2017_Table 13'!$C$36)</f>
        <v>1.6286745263558782</v>
      </c>
      <c r="AA123" s="198">
        <f>IF(Z123="","",$B123*'AEO 2017_Table 13'!AB$36/'AEO 2017_Table 13'!$C$36)</f>
        <v>1.6393888796110896</v>
      </c>
      <c r="AB123" s="198">
        <f>IF(AA123="","",$B123*'AEO 2017_Table 13'!AC$36/'AEO 2017_Table 13'!$C$36)</f>
        <v>1.6503881640188025</v>
      </c>
      <c r="AC123" s="198">
        <f>IF(AB123="","",$B123*'AEO 2017_Table 13'!AD$36/'AEO 2017_Table 13'!$C$36)</f>
        <v>1.658234890615232</v>
      </c>
      <c r="AD123" s="198">
        <f>IF(AC123="","",$B123*'AEO 2017_Table 13'!AE$36/'AEO 2017_Table 13'!$C$36)</f>
        <v>1.6690059684561755</v>
      </c>
      <c r="AE123" s="198">
        <f>IF(AD123="","",$B123*'AEO 2017_Table 13'!AF$36/'AEO 2017_Table 13'!$C$36)</f>
        <v>1.6843799010581859</v>
      </c>
      <c r="AF123" s="198">
        <f>IF(AE123="","",$B123*'AEO 2017_Table 13'!AG$36/'AEO 2017_Table 13'!$C$36)</f>
        <v>1.7000025008478334</v>
      </c>
      <c r="AG123" s="198">
        <f>IF(AF123="","",$B123*'AEO 2017_Table 13'!AH$36/'AEO 2017_Table 13'!$C$36)</f>
        <v>1.7135027429362608</v>
      </c>
      <c r="AH123" s="198">
        <f>IF(AG123="","",$B123*'AEO 2017_Table 13'!AI$36/'AEO 2017_Table 13'!$C$36)</f>
        <v>1.727503825439856</v>
      </c>
      <c r="AI123" s="198">
        <f>IF(AH123="","",$B123*'AEO 2017_Table 13'!AJ$36/'AEO 2017_Table 13'!$C$36)</f>
        <v>1.7384405767479838</v>
      </c>
      <c r="AJ123" s="198">
        <f>IF(AI123="","",$B123*'AEO 2017_Table 13'!AK$36/'AEO 2017_Table 13'!$C$36)</f>
        <v>1.7495851263309667</v>
      </c>
      <c r="AK123" s="198">
        <f>IF(AJ123="","",$B123*'AEO 2017_Table 13'!AL$36/'AEO 2017_Table 13'!$C$36)</f>
        <v>1.7649334177456992</v>
      </c>
    </row>
    <row r="124" spans="1:37" x14ac:dyDescent="0.25">
      <c r="A124" s="214" t="s">
        <v>1484</v>
      </c>
      <c r="B124" s="198">
        <v>22.363058381493651</v>
      </c>
      <c r="C124" s="198">
        <f>IF(B124="","",$B124*'AEO 2017_Table 13'!D$36/'AEO 2017_Table 13'!$C$36)</f>
        <v>22.681900341984896</v>
      </c>
      <c r="D124" s="198">
        <f>IF(C124="","",$B124*'AEO 2017_Table 13'!E$36/'AEO 2017_Table 13'!$C$36)</f>
        <v>22.822048132511139</v>
      </c>
      <c r="E124" s="198">
        <f>IF(D124="","",$B124*'AEO 2017_Table 13'!F$36/'AEO 2017_Table 13'!$C$36)</f>
        <v>23.06021987736667</v>
      </c>
      <c r="F124" s="198">
        <f>IF(E124="","",$B124*'AEO 2017_Table 13'!G$36/'AEO 2017_Table 13'!$C$36)</f>
        <v>22.784454102385766</v>
      </c>
      <c r="G124" s="198">
        <f>IF(F124="","",$B124*'AEO 2017_Table 13'!H$36/'AEO 2017_Table 13'!$C$36)</f>
        <v>22.42267036713065</v>
      </c>
      <c r="H124" s="198">
        <f>IF(G124="","",$B124*'AEO 2017_Table 13'!I$36/'AEO 2017_Table 13'!$C$36)</f>
        <v>22.298973960225656</v>
      </c>
      <c r="I124" s="198">
        <f>IF(H124="","",$B124*'AEO 2017_Table 13'!J$36/'AEO 2017_Table 13'!$C$36)</f>
        <v>22.346336537224019</v>
      </c>
      <c r="J124" s="198">
        <f>IF(I124="","",$B124*'AEO 2017_Table 13'!K$36/'AEO 2017_Table 13'!$C$36)</f>
        <v>22.534407495910731</v>
      </c>
      <c r="K124" s="198">
        <f>IF(J124="","",$B124*'AEO 2017_Table 13'!L$36/'AEO 2017_Table 13'!$C$36)</f>
        <v>22.721224500682204</v>
      </c>
      <c r="L124" s="198">
        <f>IF(K124="","",$B124*'AEO 2017_Table 13'!M$36/'AEO 2017_Table 13'!$C$36)</f>
        <v>23.023265117864753</v>
      </c>
      <c r="M124" s="198">
        <f>IF(L124="","",$B124*'AEO 2017_Table 13'!N$36/'AEO 2017_Table 13'!$C$36)</f>
        <v>23.26414966498135</v>
      </c>
      <c r="N124" s="198">
        <f>IF(M124="","",$B124*'AEO 2017_Table 13'!O$36/'AEO 2017_Table 13'!$C$36)</f>
        <v>23.302647689334499</v>
      </c>
      <c r="O124" s="198">
        <f>IF(N124="","",$B124*'AEO 2017_Table 13'!P$36/'AEO 2017_Table 13'!$C$36)</f>
        <v>23.379792081608553</v>
      </c>
      <c r="P124" s="198">
        <f>IF(O124="","",$B124*'AEO 2017_Table 13'!Q$36/'AEO 2017_Table 13'!$C$36)</f>
        <v>23.423160856365786</v>
      </c>
      <c r="Q124" s="198">
        <f>IF(P124="","",$B124*'AEO 2017_Table 13'!R$36/'AEO 2017_Table 13'!$C$36)</f>
        <v>23.44513619383584</v>
      </c>
      <c r="R124" s="198">
        <f>IF(Q124="","",$B124*'AEO 2017_Table 13'!S$36/'AEO 2017_Table 13'!$C$36)</f>
        <v>23.527877482375999</v>
      </c>
      <c r="S124" s="198">
        <f>IF(R124="","",$B124*'AEO 2017_Table 13'!T$36/'AEO 2017_Table 13'!$C$36)</f>
        <v>23.686843596985703</v>
      </c>
      <c r="T124" s="198">
        <f>IF(S124="","",$B124*'AEO 2017_Table 13'!U$36/'AEO 2017_Table 13'!$C$36)</f>
        <v>23.839210471774841</v>
      </c>
      <c r="U124" s="198">
        <f>IF(T124="","",$B124*'AEO 2017_Table 13'!V$36/'AEO 2017_Table 13'!$C$36)</f>
        <v>24.125433238915537</v>
      </c>
      <c r="V124" s="198">
        <f>IF(U124="","",$B124*'AEO 2017_Table 13'!W$36/'AEO 2017_Table 13'!$C$36)</f>
        <v>24.473593133691601</v>
      </c>
      <c r="W124" s="198">
        <f>IF(V124="","",$B124*'AEO 2017_Table 13'!X$36/'AEO 2017_Table 13'!$C$36)</f>
        <v>24.735149889699681</v>
      </c>
      <c r="X124" s="198">
        <f>IF(W124="","",$B124*'AEO 2017_Table 13'!Y$36/'AEO 2017_Table 13'!$C$36)</f>
        <v>24.966037227758743</v>
      </c>
      <c r="Y124" s="198">
        <f>IF(X124="","",$B124*'AEO 2017_Table 13'!Z$36/'AEO 2017_Table 13'!$C$36)</f>
        <v>25.202967312364876</v>
      </c>
      <c r="Z124" s="198">
        <f>IF(Y124="","",$B124*'AEO 2017_Table 13'!AA$36/'AEO 2017_Table 13'!$C$36)</f>
        <v>25.508351806654716</v>
      </c>
      <c r="AA124" s="198">
        <f>IF(Z124="","",$B124*'AEO 2017_Table 13'!AB$36/'AEO 2017_Table 13'!$C$36)</f>
        <v>25.676160345311128</v>
      </c>
      <c r="AB124" s="198">
        <f>IF(AA124="","",$B124*'AEO 2017_Table 13'!AC$36/'AEO 2017_Table 13'!$C$36)</f>
        <v>25.84843148466588</v>
      </c>
      <c r="AC124" s="198">
        <f>IF(AB124="","",$B124*'AEO 2017_Table 13'!AD$36/'AEO 2017_Table 13'!$C$36)</f>
        <v>25.971327164136113</v>
      </c>
      <c r="AD124" s="198">
        <f>IF(AC124="","",$B124*'AEO 2017_Table 13'!AE$36/'AEO 2017_Table 13'!$C$36)</f>
        <v>26.140024125043581</v>
      </c>
      <c r="AE124" s="198">
        <f>IF(AD124="","",$B124*'AEO 2017_Table 13'!AF$36/'AEO 2017_Table 13'!$C$36)</f>
        <v>26.380811142411215</v>
      </c>
      <c r="AF124" s="198">
        <f>IF(AE124="","",$B124*'AEO 2017_Table 13'!AG$36/'AEO 2017_Table 13'!$C$36)</f>
        <v>26.62549279311558</v>
      </c>
      <c r="AG124" s="198">
        <f>IF(AF124="","",$B124*'AEO 2017_Table 13'!AH$36/'AEO 2017_Table 13'!$C$36)</f>
        <v>26.836934010555826</v>
      </c>
      <c r="AH124" s="198">
        <f>IF(AG124="","",$B124*'AEO 2017_Table 13'!AI$36/'AEO 2017_Table 13'!$C$36)</f>
        <v>27.05621940637694</v>
      </c>
      <c r="AI124" s="198">
        <f>IF(AH124="","",$B124*'AEO 2017_Table 13'!AJ$36/'AEO 2017_Table 13'!$C$36)</f>
        <v>27.22751115035345</v>
      </c>
      <c r="AJ124" s="198">
        <f>IF(AI124="","",$B124*'AEO 2017_Table 13'!AK$36/'AEO 2017_Table 13'!$C$36)</f>
        <v>27.402057437465519</v>
      </c>
      <c r="AK124" s="198">
        <f>IF(AJ124="","",$B124*'AEO 2017_Table 13'!AL$36/'AEO 2017_Table 13'!$C$36)</f>
        <v>27.642442861749192</v>
      </c>
    </row>
    <row r="125" spans="1:37" x14ac:dyDescent="0.25">
      <c r="A125" s="214" t="s">
        <v>1485</v>
      </c>
      <c r="B125" s="198">
        <v>0.18657274250570094</v>
      </c>
      <c r="C125" s="198">
        <f>IF(B125="","",$B125*'AEO 2017_Table 13'!D$36/'AEO 2017_Table 13'!$C$36)</f>
        <v>0.18923280885172339</v>
      </c>
      <c r="D125" s="198">
        <f>IF(C125="","",$B125*'AEO 2017_Table 13'!E$36/'AEO 2017_Table 13'!$C$36)</f>
        <v>0.19040204774510447</v>
      </c>
      <c r="E125" s="198">
        <f>IF(D125="","",$B125*'AEO 2017_Table 13'!F$36/'AEO 2017_Table 13'!$C$36)</f>
        <v>0.19238909061138068</v>
      </c>
      <c r="F125" s="198">
        <f>IF(E125="","",$B125*'AEO 2017_Table 13'!G$36/'AEO 2017_Table 13'!$C$36)</f>
        <v>0.19008840454019579</v>
      </c>
      <c r="G125" s="198">
        <f>IF(F125="","",$B125*'AEO 2017_Table 13'!H$36/'AEO 2017_Table 13'!$C$36)</f>
        <v>0.18707007929464875</v>
      </c>
      <c r="H125" s="198">
        <f>IF(G125="","",$B125*'AEO 2017_Table 13'!I$36/'AEO 2017_Table 13'!$C$36)</f>
        <v>0.18603809263698015</v>
      </c>
      <c r="I125" s="198">
        <f>IF(H125="","",$B125*'AEO 2017_Table 13'!J$36/'AEO 2017_Table 13'!$C$36)</f>
        <v>0.18643323384405386</v>
      </c>
      <c r="J125" s="198">
        <f>IF(I125="","",$B125*'AEO 2017_Table 13'!K$36/'AEO 2017_Table 13'!$C$36)</f>
        <v>0.18800229090008216</v>
      </c>
      <c r="K125" s="198">
        <f>IF(J125="","",$B125*'AEO 2017_Table 13'!L$36/'AEO 2017_Table 13'!$C$36)</f>
        <v>0.18956088634495916</v>
      </c>
      <c r="L125" s="198">
        <f>IF(K125="","",$B125*'AEO 2017_Table 13'!M$36/'AEO 2017_Table 13'!$C$36)</f>
        <v>0.19208078077686283</v>
      </c>
      <c r="M125" s="198">
        <f>IF(L125="","",$B125*'AEO 2017_Table 13'!N$36/'AEO 2017_Table 13'!$C$36)</f>
        <v>0.19409045627902843</v>
      </c>
      <c r="N125" s="198">
        <f>IF(M125="","",$B125*'AEO 2017_Table 13'!O$36/'AEO 2017_Table 13'!$C$36)</f>
        <v>0.19441164141668218</v>
      </c>
      <c r="O125" s="198">
        <f>IF(N125="","",$B125*'AEO 2017_Table 13'!P$36/'AEO 2017_Table 13'!$C$36)</f>
        <v>0.19505524930742649</v>
      </c>
      <c r="P125" s="198">
        <f>IF(O125="","",$B125*'AEO 2017_Table 13'!Q$36/'AEO 2017_Table 13'!$C$36)</f>
        <v>0.19541707062486602</v>
      </c>
      <c r="Q125" s="198">
        <f>IF(P125="","",$B125*'AEO 2017_Table 13'!R$36/'AEO 2017_Table 13'!$C$36)</f>
        <v>0.19560040865087905</v>
      </c>
      <c r="R125" s="198">
        <f>IF(Q125="","",$B125*'AEO 2017_Table 13'!S$36/'AEO 2017_Table 13'!$C$36)</f>
        <v>0.1962907108831608</v>
      </c>
      <c r="S125" s="198">
        <f>IF(R125="","",$B125*'AEO 2017_Table 13'!T$36/'AEO 2017_Table 13'!$C$36)</f>
        <v>0.19761694915800931</v>
      </c>
      <c r="T125" s="198">
        <f>IF(S125="","",$B125*'AEO 2017_Table 13'!U$36/'AEO 2017_Table 13'!$C$36)</f>
        <v>0.19888813064005367</v>
      </c>
      <c r="U125" s="198">
        <f>IF(T125="","",$B125*'AEO 2017_Table 13'!V$36/'AEO 2017_Table 13'!$C$36)</f>
        <v>0.20127605834305526</v>
      </c>
      <c r="V125" s="198">
        <f>IF(U125="","",$B125*'AEO 2017_Table 13'!W$36/'AEO 2017_Table 13'!$C$36)</f>
        <v>0.20418072126038778</v>
      </c>
      <c r="W125" s="198">
        <f>IF(V125="","",$B125*'AEO 2017_Table 13'!X$36/'AEO 2017_Table 13'!$C$36)</f>
        <v>0.20636286291815428</v>
      </c>
      <c r="X125" s="198">
        <f>IF(W125="","",$B125*'AEO 2017_Table 13'!Y$36/'AEO 2017_Table 13'!$C$36)</f>
        <v>0.20828913271259206</v>
      </c>
      <c r="Y125" s="198">
        <f>IF(X125="","",$B125*'AEO 2017_Table 13'!Z$36/'AEO 2017_Table 13'!$C$36)</f>
        <v>0.21026581653253218</v>
      </c>
      <c r="Z125" s="198">
        <f>IF(Y125="","",$B125*'AEO 2017_Table 13'!AA$36/'AEO 2017_Table 13'!$C$36)</f>
        <v>0.21281360859417262</v>
      </c>
      <c r="AA125" s="198">
        <f>IF(Z125="","",$B125*'AEO 2017_Table 13'!AB$36/'AEO 2017_Table 13'!$C$36)</f>
        <v>0.21421361832177366</v>
      </c>
      <c r="AB125" s="198">
        <f>IF(AA125="","",$B125*'AEO 2017_Table 13'!AC$36/'AEO 2017_Table 13'!$C$36)</f>
        <v>0.21565085907729553</v>
      </c>
      <c r="AC125" s="198">
        <f>IF(AB125="","",$B125*'AEO 2017_Table 13'!AD$36/'AEO 2017_Table 13'!$C$36)</f>
        <v>0.21667616534666687</v>
      </c>
      <c r="AD125" s="198">
        <f>IF(AC125="","",$B125*'AEO 2017_Table 13'!AE$36/'AEO 2017_Table 13'!$C$36)</f>
        <v>0.21808358709158035</v>
      </c>
      <c r="AE125" s="198">
        <f>IF(AD125="","",$B125*'AEO 2017_Table 13'!AF$36/'AEO 2017_Table 13'!$C$36)</f>
        <v>0.22009244891287863</v>
      </c>
      <c r="AF125" s="198">
        <f>IF(AE125="","",$B125*'AEO 2017_Table 13'!AG$36/'AEO 2017_Table 13'!$C$36)</f>
        <v>0.2221338032676351</v>
      </c>
      <c r="AG125" s="198">
        <f>IF(AF125="","",$B125*'AEO 2017_Table 13'!AH$36/'AEO 2017_Table 13'!$C$36)</f>
        <v>0.22389783603737545</v>
      </c>
      <c r="AH125" s="198">
        <f>IF(AG125="","",$B125*'AEO 2017_Table 13'!AI$36/'AEO 2017_Table 13'!$C$36)</f>
        <v>0.22572731199687346</v>
      </c>
      <c r="AI125" s="198">
        <f>IF(AH125="","",$B125*'AEO 2017_Table 13'!AJ$36/'AEO 2017_Table 13'!$C$36)</f>
        <v>0.22715638175545036</v>
      </c>
      <c r="AJ125" s="198">
        <f>IF(AI125="","",$B125*'AEO 2017_Table 13'!AK$36/'AEO 2017_Table 13'!$C$36)</f>
        <v>0.22861260383944024</v>
      </c>
      <c r="AK125" s="198">
        <f>IF(AJ125="","",$B125*'AEO 2017_Table 13'!AL$36/'AEO 2017_Table 13'!$C$36)</f>
        <v>0.23061811521010836</v>
      </c>
    </row>
    <row r="126" spans="1:37" x14ac:dyDescent="0.25">
      <c r="A126" s="214" t="s">
        <v>1486</v>
      </c>
      <c r="B126" s="198">
        <v>12.329776335383642</v>
      </c>
      <c r="C126" s="198">
        <f>IF(B126="","",$B126*'AEO 2017_Table 13'!D$36/'AEO 2017_Table 13'!$C$36)</f>
        <v>12.505568482957051</v>
      </c>
      <c r="D126" s="198">
        <f>IF(C126="","",$B126*'AEO 2017_Table 13'!E$36/'AEO 2017_Table 13'!$C$36)</f>
        <v>12.582838366244422</v>
      </c>
      <c r="E126" s="198">
        <f>IF(D126="","",$B126*'AEO 2017_Table 13'!F$36/'AEO 2017_Table 13'!$C$36)</f>
        <v>12.714153336378695</v>
      </c>
      <c r="F126" s="198">
        <f>IF(E126="","",$B126*'AEO 2017_Table 13'!G$36/'AEO 2017_Table 13'!$C$36)</f>
        <v>12.562111058955583</v>
      </c>
      <c r="G126" s="198">
        <f>IF(F126="","",$B126*'AEO 2017_Table 13'!H$36/'AEO 2017_Table 13'!$C$36)</f>
        <v>12.362643148020526</v>
      </c>
      <c r="H126" s="198">
        <f>IF(G126="","",$B126*'AEO 2017_Table 13'!I$36/'AEO 2017_Table 13'!$C$36)</f>
        <v>12.294443664541502</v>
      </c>
      <c r="I126" s="198">
        <f>IF(H126="","",$B126*'AEO 2017_Table 13'!J$36/'AEO 2017_Table 13'!$C$36)</f>
        <v>12.320556818256669</v>
      </c>
      <c r="J126" s="198">
        <f>IF(I126="","",$B126*'AEO 2017_Table 13'!K$36/'AEO 2017_Table 13'!$C$36)</f>
        <v>12.424248934792361</v>
      </c>
      <c r="K126" s="198">
        <f>IF(J126="","",$B126*'AEO 2017_Table 13'!L$36/'AEO 2017_Table 13'!$C$36)</f>
        <v>12.527249689214429</v>
      </c>
      <c r="L126" s="198">
        <f>IF(K126="","",$B126*'AEO 2017_Table 13'!M$36/'AEO 2017_Table 13'!$C$36)</f>
        <v>12.693778488206602</v>
      </c>
      <c r="M126" s="198">
        <f>IF(L126="","",$B126*'AEO 2017_Table 13'!N$36/'AEO 2017_Table 13'!$C$36)</f>
        <v>12.826589150233746</v>
      </c>
      <c r="N126" s="198">
        <f>IF(M126="","",$B126*'AEO 2017_Table 13'!O$36/'AEO 2017_Table 13'!$C$36)</f>
        <v>12.847814870863322</v>
      </c>
      <c r="O126" s="198">
        <f>IF(N126="","",$B126*'AEO 2017_Table 13'!P$36/'AEO 2017_Table 13'!$C$36)</f>
        <v>12.890348100712391</v>
      </c>
      <c r="P126" s="198">
        <f>IF(O126="","",$B126*'AEO 2017_Table 13'!Q$36/'AEO 2017_Table 13'!$C$36)</f>
        <v>12.9142592886892</v>
      </c>
      <c r="Q126" s="198">
        <f>IF(P126="","",$B126*'AEO 2017_Table 13'!R$36/'AEO 2017_Table 13'!$C$36)</f>
        <v>12.926375296762794</v>
      </c>
      <c r="R126" s="198">
        <f>IF(Q126="","",$B126*'AEO 2017_Table 13'!S$36/'AEO 2017_Table 13'!$C$36)</f>
        <v>12.971994351366067</v>
      </c>
      <c r="S126" s="198">
        <f>IF(R126="","",$B126*'AEO 2017_Table 13'!T$36/'AEO 2017_Table 13'!$C$36)</f>
        <v>13.059639636935087</v>
      </c>
      <c r="T126" s="198">
        <f>IF(S126="","",$B126*'AEO 2017_Table 13'!U$36/'AEO 2017_Table 13'!$C$36)</f>
        <v>13.143646459929657</v>
      </c>
      <c r="U126" s="198">
        <f>IF(T126="","",$B126*'AEO 2017_Table 13'!V$36/'AEO 2017_Table 13'!$C$36)</f>
        <v>13.301454155135598</v>
      </c>
      <c r="V126" s="198">
        <f>IF(U126="","",$B126*'AEO 2017_Table 13'!W$36/'AEO 2017_Table 13'!$C$36)</f>
        <v>13.49341062004793</v>
      </c>
      <c r="W126" s="198">
        <f>IF(V126="","",$B126*'AEO 2017_Table 13'!X$36/'AEO 2017_Table 13'!$C$36)</f>
        <v>13.637618815795291</v>
      </c>
      <c r="X126" s="198">
        <f>IF(W126="","",$B126*'AEO 2017_Table 13'!Y$36/'AEO 2017_Table 13'!$C$36)</f>
        <v>13.764917559481269</v>
      </c>
      <c r="Y126" s="198">
        <f>IF(X126="","",$B126*'AEO 2017_Table 13'!Z$36/'AEO 2017_Table 13'!$C$36)</f>
        <v>13.895547945561855</v>
      </c>
      <c r="Z126" s="198">
        <f>IF(Y126="","",$B126*'AEO 2017_Table 13'!AA$36/'AEO 2017_Table 13'!$C$36)</f>
        <v>14.063920376857025</v>
      </c>
      <c r="AA126" s="198">
        <f>IF(Z126="","",$B126*'AEO 2017_Table 13'!AB$36/'AEO 2017_Table 13'!$C$36)</f>
        <v>14.156440895003747</v>
      </c>
      <c r="AB126" s="198">
        <f>IF(AA126="","",$B126*'AEO 2017_Table 13'!AC$36/'AEO 2017_Table 13'!$C$36)</f>
        <v>14.251421848907778</v>
      </c>
      <c r="AC126" s="198">
        <f>IF(AB126="","",$B126*'AEO 2017_Table 13'!AD$36/'AEO 2017_Table 13'!$C$36)</f>
        <v>14.319179854749541</v>
      </c>
      <c r="AD126" s="198">
        <f>IF(AC126="","",$B126*'AEO 2017_Table 13'!AE$36/'AEO 2017_Table 13'!$C$36)</f>
        <v>14.412190200694411</v>
      </c>
      <c r="AE126" s="198">
        <f>IF(AD126="","",$B126*'AEO 2017_Table 13'!AF$36/'AEO 2017_Table 13'!$C$36)</f>
        <v>14.544947090112718</v>
      </c>
      <c r="AF126" s="198">
        <f>IF(AE126="","",$B126*'AEO 2017_Table 13'!AG$36/'AEO 2017_Table 13'!$C$36)</f>
        <v>14.679851268919219</v>
      </c>
      <c r="AG126" s="198">
        <f>IF(AF126="","",$B126*'AEO 2017_Table 13'!AH$36/'AEO 2017_Table 13'!$C$36)</f>
        <v>14.796428477396075</v>
      </c>
      <c r="AH126" s="198">
        <f>IF(AG126="","",$B126*'AEO 2017_Table 13'!AI$36/'AEO 2017_Table 13'!$C$36)</f>
        <v>14.917330539983716</v>
      </c>
      <c r="AI126" s="198">
        <f>IF(AH126="","",$B126*'AEO 2017_Table 13'!AJ$36/'AEO 2017_Table 13'!$C$36)</f>
        <v>15.011771508446058</v>
      </c>
      <c r="AJ126" s="198">
        <f>IF(AI126="","",$B126*'AEO 2017_Table 13'!AK$36/'AEO 2017_Table 13'!$C$36)</f>
        <v>15.108006855309188</v>
      </c>
      <c r="AK126" s="198">
        <f>IF(AJ126="","",$B126*'AEO 2017_Table 13'!AL$36/'AEO 2017_Table 13'!$C$36)</f>
        <v>15.240542328102867</v>
      </c>
    </row>
    <row r="127" spans="1:37" x14ac:dyDescent="0.25">
      <c r="A127" s="208" t="s">
        <v>1487</v>
      </c>
      <c r="B127" s="240">
        <v>3.4529262723160922E-3</v>
      </c>
      <c r="C127" s="240">
        <f>IF(B127="","",$B127*'AEO 2017_Table 13'!D$36/'AEO 2017_Table 13'!$C$36)</f>
        <v>3.5021564698729736E-3</v>
      </c>
      <c r="D127" s="240">
        <f>IF(C127="","",$B127*'AEO 2017_Table 13'!E$36/'AEO 2017_Table 13'!$C$36)</f>
        <v>3.5237957277803604E-3</v>
      </c>
      <c r="E127" s="240">
        <f>IF(D127="","",$B127*'AEO 2017_Table 13'!F$36/'AEO 2017_Table 13'!$C$36)</f>
        <v>3.560570191322234E-3</v>
      </c>
      <c r="F127" s="240">
        <f>IF(E127="","",$B127*'AEO 2017_Table 13'!G$36/'AEO 2017_Table 13'!$C$36)</f>
        <v>3.51799109175573E-3</v>
      </c>
      <c r="G127" s="240">
        <f>IF(F127="","",$B127*'AEO 2017_Table 13'!H$36/'AEO 2017_Table 13'!$C$36)</f>
        <v>3.4621305496488047E-3</v>
      </c>
      <c r="H127" s="240">
        <f>IF(G127="","",$B127*'AEO 2017_Table 13'!I$36/'AEO 2017_Table 13'!$C$36)</f>
        <v>3.4430314369108621E-3</v>
      </c>
      <c r="I127" s="240">
        <f>IF(H127="","",$B127*'AEO 2017_Table 13'!J$36/'AEO 2017_Table 13'!$C$36)</f>
        <v>3.4503443671752478E-3</v>
      </c>
      <c r="J127" s="240">
        <f>IF(I127="","",$B127*'AEO 2017_Table 13'!K$36/'AEO 2017_Table 13'!$C$36)</f>
        <v>3.4793831123786506E-3</v>
      </c>
      <c r="K127" s="240">
        <f>IF(J127="","",$B127*'AEO 2017_Table 13'!L$36/'AEO 2017_Table 13'!$C$36)</f>
        <v>3.5082282431691974E-3</v>
      </c>
      <c r="L127" s="240">
        <f>IF(K127="","",$B127*'AEO 2017_Table 13'!M$36/'AEO 2017_Table 13'!$C$36)</f>
        <v>3.5548642606845499E-3</v>
      </c>
      <c r="M127" s="240">
        <f>IF(L127="","",$B127*'AEO 2017_Table 13'!N$36/'AEO 2017_Table 13'!$C$36)</f>
        <v>3.5920575893941048E-3</v>
      </c>
      <c r="N127" s="240">
        <f>IF(M127="","",$B127*'AEO 2017_Table 13'!O$36/'AEO 2017_Table 13'!$C$36)</f>
        <v>3.5980018049595061E-3</v>
      </c>
      <c r="O127" s="240">
        <f>IF(N127="","",$B127*'AEO 2017_Table 13'!P$36/'AEO 2017_Table 13'!$C$36)</f>
        <v>3.6099131408018959E-3</v>
      </c>
      <c r="P127" s="240">
        <f>IF(O127="","",$B127*'AEO 2017_Table 13'!Q$36/'AEO 2017_Table 13'!$C$36)</f>
        <v>3.6166094154886056E-3</v>
      </c>
      <c r="Q127" s="240">
        <f>IF(P127="","",$B127*'AEO 2017_Table 13'!R$36/'AEO 2017_Table 13'!$C$36)</f>
        <v>3.6200024764375571E-3</v>
      </c>
      <c r="R127" s="240">
        <f>IF(Q127="","",$B127*'AEO 2017_Table 13'!S$36/'AEO 2017_Table 13'!$C$36)</f>
        <v>3.6327779905971956E-3</v>
      </c>
      <c r="S127" s="240">
        <f>IF(R127="","",$B127*'AEO 2017_Table 13'!T$36/'AEO 2017_Table 13'!$C$36)</f>
        <v>3.6573228566964635E-3</v>
      </c>
      <c r="T127" s="240">
        <f>IF(S127="","",$B127*'AEO 2017_Table 13'!U$36/'AEO 2017_Table 13'!$C$36)</f>
        <v>3.6808487794935652E-3</v>
      </c>
      <c r="U127" s="240">
        <f>IF(T127="","",$B127*'AEO 2017_Table 13'!V$36/'AEO 2017_Table 13'!$C$36)</f>
        <v>3.7250424714088438E-3</v>
      </c>
      <c r="V127" s="240">
        <f>IF(U127="","",$B127*'AEO 2017_Table 13'!W$36/'AEO 2017_Table 13'!$C$36)</f>
        <v>3.7787994498655088E-3</v>
      </c>
      <c r="W127" s="240">
        <f>IF(V127="","",$B127*'AEO 2017_Table 13'!X$36/'AEO 2017_Table 13'!$C$36)</f>
        <v>3.8191846323890871E-3</v>
      </c>
      <c r="X127" s="240">
        <f>IF(W127="","",$B127*'AEO 2017_Table 13'!Y$36/'AEO 2017_Table 13'!$C$36)</f>
        <v>3.8548343607012489E-3</v>
      </c>
      <c r="Y127" s="240">
        <f>IF(X127="","",$B127*'AEO 2017_Table 13'!Z$36/'AEO 2017_Table 13'!$C$36)</f>
        <v>3.8914171080107851E-3</v>
      </c>
      <c r="Z127" s="240">
        <f>IF(Y127="","",$B127*'AEO 2017_Table 13'!AA$36/'AEO 2017_Table 13'!$C$36)</f>
        <v>3.9385694306270855E-3</v>
      </c>
      <c r="AA127" s="240">
        <f>IF(Z127="","",$B127*'AEO 2017_Table 13'!AB$36/'AEO 2017_Table 13'!$C$36)</f>
        <v>3.9644795947004043E-3</v>
      </c>
      <c r="AB127" s="240">
        <f>IF(AA127="","",$B127*'AEO 2017_Table 13'!AC$36/'AEO 2017_Table 13'!$C$36)</f>
        <v>3.9910787983018269E-3</v>
      </c>
      <c r="AC127" s="240">
        <f>IF(AB127="","",$B127*'AEO 2017_Table 13'!AD$36/'AEO 2017_Table 13'!$C$36)</f>
        <v>4.0100542762153517E-3</v>
      </c>
      <c r="AD127" s="240">
        <f>IF(AC127="","",$B127*'AEO 2017_Table 13'!AE$36/'AEO 2017_Table 13'!$C$36)</f>
        <v>4.0361016154674516E-3</v>
      </c>
      <c r="AE127" s="240">
        <f>IF(AD127="","",$B127*'AEO 2017_Table 13'!AF$36/'AEO 2017_Table 13'!$C$36)</f>
        <v>4.0732798852782283E-3</v>
      </c>
      <c r="AF127" s="240">
        <f>IF(AE127="","",$B127*'AEO 2017_Table 13'!AG$36/'AEO 2017_Table 13'!$C$36)</f>
        <v>4.1110594986771692E-3</v>
      </c>
      <c r="AG127" s="240">
        <f>IF(AF127="","",$B127*'AEO 2017_Table 13'!AH$36/'AEO 2017_Table 13'!$C$36)</f>
        <v>4.1437066850456544E-3</v>
      </c>
      <c r="AH127" s="240">
        <f>IF(AG127="","",$B127*'AEO 2017_Table 13'!AI$36/'AEO 2017_Table 13'!$C$36)</f>
        <v>4.1775650371301152E-3</v>
      </c>
      <c r="AI127" s="240">
        <f>IF(AH127="","",$B127*'AEO 2017_Table 13'!AJ$36/'AEO 2017_Table 13'!$C$36)</f>
        <v>4.2040130190169204E-3</v>
      </c>
      <c r="AJ127" s="240">
        <f>IF(AI127="","",$B127*'AEO 2017_Table 13'!AK$36/'AEO 2017_Table 13'!$C$36)</f>
        <v>4.2309635125595772E-3</v>
      </c>
      <c r="AK127" s="240">
        <f>IF(AJ127="","",$B127*'AEO 2017_Table 13'!AL$36/'AEO 2017_Table 13'!$C$36)</f>
        <v>4.2680797751400929E-3</v>
      </c>
    </row>
    <row r="128" spans="1:37" x14ac:dyDescent="0.25">
      <c r="A128" s="209" t="s">
        <v>1488</v>
      </c>
      <c r="B128" s="193"/>
      <c r="C128" s="193" t="str">
        <f>IF(B128="","",$B128*'AEO 2017_Table 13'!D$36/'AEO 2017_Table 13'!$C$36)</f>
        <v/>
      </c>
      <c r="D128" s="193" t="str">
        <f>IF(C128="","",$B128*'AEO 2017_Table 13'!E$36/'AEO 2017_Table 13'!$C$36)</f>
        <v/>
      </c>
      <c r="E128" s="193" t="str">
        <f>IF(D128="","",$B128*'AEO 2017_Table 13'!F$36/'AEO 2017_Table 13'!$C$36)</f>
        <v/>
      </c>
      <c r="F128" s="193" t="str">
        <f>IF(E128="","",$B128*'AEO 2017_Table 13'!G$36/'AEO 2017_Table 13'!$C$36)</f>
        <v/>
      </c>
      <c r="G128" s="193" t="str">
        <f>IF(F128="","",$B128*'AEO 2017_Table 13'!H$36/'AEO 2017_Table 13'!$C$36)</f>
        <v/>
      </c>
      <c r="H128" s="193" t="str">
        <f>IF(G128="","",$B128*'AEO 2017_Table 13'!I$36/'AEO 2017_Table 13'!$C$36)</f>
        <v/>
      </c>
      <c r="I128" s="193" t="str">
        <f>IF(H128="","",$B128*'AEO 2017_Table 13'!J$36/'AEO 2017_Table 13'!$C$36)</f>
        <v/>
      </c>
      <c r="J128" s="193" t="str">
        <f>IF(I128="","",$B128*'AEO 2017_Table 13'!K$36/'AEO 2017_Table 13'!$C$36)</f>
        <v/>
      </c>
      <c r="K128" s="193" t="str">
        <f>IF(J128="","",$B128*'AEO 2017_Table 13'!L$36/'AEO 2017_Table 13'!$C$36)</f>
        <v/>
      </c>
      <c r="L128" s="193" t="str">
        <f>IF(K128="","",$B128*'AEO 2017_Table 13'!M$36/'AEO 2017_Table 13'!$C$36)</f>
        <v/>
      </c>
      <c r="M128" s="193" t="str">
        <f>IF(L128="","",$B128*'AEO 2017_Table 13'!N$36/'AEO 2017_Table 13'!$C$36)</f>
        <v/>
      </c>
      <c r="N128" s="193" t="str">
        <f>IF(M128="","",$B128*'AEO 2017_Table 13'!O$36/'AEO 2017_Table 13'!$C$36)</f>
        <v/>
      </c>
      <c r="O128" s="193" t="str">
        <f>IF(N128="","",$B128*'AEO 2017_Table 13'!P$36/'AEO 2017_Table 13'!$C$36)</f>
        <v/>
      </c>
      <c r="P128" s="193" t="str">
        <f>IF(O128="","",$B128*'AEO 2017_Table 13'!Q$36/'AEO 2017_Table 13'!$C$36)</f>
        <v/>
      </c>
      <c r="Q128" s="193" t="str">
        <f>IF(P128="","",$B128*'AEO 2017_Table 13'!R$36/'AEO 2017_Table 13'!$C$36)</f>
        <v/>
      </c>
      <c r="R128" s="193" t="str">
        <f>IF(Q128="","",$B128*'AEO 2017_Table 13'!S$36/'AEO 2017_Table 13'!$C$36)</f>
        <v/>
      </c>
      <c r="S128" s="193" t="str">
        <f>IF(R128="","",$B128*'AEO 2017_Table 13'!T$36/'AEO 2017_Table 13'!$C$36)</f>
        <v/>
      </c>
      <c r="T128" s="193" t="str">
        <f>IF(S128="","",$B128*'AEO 2017_Table 13'!U$36/'AEO 2017_Table 13'!$C$36)</f>
        <v/>
      </c>
      <c r="U128" s="193" t="str">
        <f>IF(T128="","",$B128*'AEO 2017_Table 13'!V$36/'AEO 2017_Table 13'!$C$36)</f>
        <v/>
      </c>
      <c r="V128" s="193" t="str">
        <f>IF(U128="","",$B128*'AEO 2017_Table 13'!W$36/'AEO 2017_Table 13'!$C$36)</f>
        <v/>
      </c>
      <c r="W128" s="193" t="str">
        <f>IF(V128="","",$B128*'AEO 2017_Table 13'!X$36/'AEO 2017_Table 13'!$C$36)</f>
        <v/>
      </c>
      <c r="X128" s="193" t="str">
        <f>IF(W128="","",$B128*'AEO 2017_Table 13'!Y$36/'AEO 2017_Table 13'!$C$36)</f>
        <v/>
      </c>
      <c r="Y128" s="193" t="str">
        <f>IF(X128="","",$B128*'AEO 2017_Table 13'!Z$36/'AEO 2017_Table 13'!$C$36)</f>
        <v/>
      </c>
      <c r="Z128" s="193" t="str">
        <f>IF(Y128="","",$B128*'AEO 2017_Table 13'!AA$36/'AEO 2017_Table 13'!$C$36)</f>
        <v/>
      </c>
      <c r="AA128" s="193" t="str">
        <f>IF(Z128="","",$B128*'AEO 2017_Table 13'!AB$36/'AEO 2017_Table 13'!$C$36)</f>
        <v/>
      </c>
      <c r="AB128" s="193" t="str">
        <f>IF(AA128="","",$B128*'AEO 2017_Table 13'!AC$36/'AEO 2017_Table 13'!$C$36)</f>
        <v/>
      </c>
      <c r="AC128" s="193" t="str">
        <f>IF(AB128="","",$B128*'AEO 2017_Table 13'!AD$36/'AEO 2017_Table 13'!$C$36)</f>
        <v/>
      </c>
      <c r="AD128" s="193" t="str">
        <f>IF(AC128="","",$B128*'AEO 2017_Table 13'!AE$36/'AEO 2017_Table 13'!$C$36)</f>
        <v/>
      </c>
      <c r="AE128" s="193" t="str">
        <f>IF(AD128="","",$B128*'AEO 2017_Table 13'!AF$36/'AEO 2017_Table 13'!$C$36)</f>
        <v/>
      </c>
      <c r="AF128" s="193" t="str">
        <f>IF(AE128="","",$B128*'AEO 2017_Table 13'!AG$36/'AEO 2017_Table 13'!$C$36)</f>
        <v/>
      </c>
      <c r="AG128" s="193" t="str">
        <f>IF(AF128="","",$B128*'AEO 2017_Table 13'!AH$36/'AEO 2017_Table 13'!$C$36)</f>
        <v/>
      </c>
      <c r="AH128" s="193" t="str">
        <f>IF(AG128="","",$B128*'AEO 2017_Table 13'!AI$36/'AEO 2017_Table 13'!$C$36)</f>
        <v/>
      </c>
      <c r="AI128" s="193" t="str">
        <f>IF(AH128="","",$B128*'AEO 2017_Table 13'!AJ$36/'AEO 2017_Table 13'!$C$36)</f>
        <v/>
      </c>
      <c r="AJ128" s="193" t="str">
        <f>IF(AI128="","",$B128*'AEO 2017_Table 13'!AK$36/'AEO 2017_Table 13'!$C$36)</f>
        <v/>
      </c>
      <c r="AK128" s="193" t="str">
        <f>IF(AJ128="","",$B128*'AEO 2017_Table 13'!AL$36/'AEO 2017_Table 13'!$C$36)</f>
        <v/>
      </c>
    </row>
    <row r="129" spans="1:37" x14ac:dyDescent="0.25">
      <c r="A129" s="215" t="s">
        <v>1489</v>
      </c>
      <c r="B129" s="195">
        <v>29.576821119999973</v>
      </c>
      <c r="C129" s="195">
        <f>IF(B129="","",$B129*'AEO 2017_Table 13'!D$36/'AEO 2017_Table 13'!$C$36)</f>
        <v>29.998513514221138</v>
      </c>
      <c r="D129" s="195">
        <f>IF(C129="","",$B129*'AEO 2017_Table 13'!E$36/'AEO 2017_Table 13'!$C$36)</f>
        <v>30.183869473144359</v>
      </c>
      <c r="E129" s="195">
        <f>IF(D129="","",$B129*'AEO 2017_Table 13'!F$36/'AEO 2017_Table 13'!$C$36)</f>
        <v>30.498869459875152</v>
      </c>
      <c r="F129" s="195">
        <f>IF(E129="","",$B129*'AEO 2017_Table 13'!G$36/'AEO 2017_Table 13'!$C$36)</f>
        <v>30.134148550127936</v>
      </c>
      <c r="G129" s="195">
        <f>IF(F129="","",$B129*'AEO 2017_Table 13'!H$36/'AEO 2017_Table 13'!$C$36)</f>
        <v>29.655662439720913</v>
      </c>
      <c r="H129" s="195">
        <f>IF(G129="","",$B129*'AEO 2017_Table 13'!I$36/'AEO 2017_Table 13'!$C$36)</f>
        <v>29.492064668888137</v>
      </c>
      <c r="I129" s="195">
        <f>IF(H129="","",$B129*'AEO 2017_Table 13'!J$36/'AEO 2017_Table 13'!$C$36)</f>
        <v>29.554705227427398</v>
      </c>
      <c r="J129" s="195">
        <f>IF(I129="","",$B129*'AEO 2017_Table 13'!K$36/'AEO 2017_Table 13'!$C$36)</f>
        <v>29.803443168725575</v>
      </c>
      <c r="K129" s="195">
        <f>IF(J129="","",$B129*'AEO 2017_Table 13'!L$36/'AEO 2017_Table 13'!$C$36)</f>
        <v>30.050522661970231</v>
      </c>
      <c r="L129" s="195">
        <f>IF(K129="","",$B129*'AEO 2017_Table 13'!M$36/'AEO 2017_Table 13'!$C$36)</f>
        <v>30.449994020180135</v>
      </c>
      <c r="M129" s="195">
        <f>IF(L129="","",$B129*'AEO 2017_Table 13'!N$36/'AEO 2017_Table 13'!$C$36)</f>
        <v>30.768581891262009</v>
      </c>
      <c r="N129" s="195">
        <f>IF(M129="","",$B129*'AEO 2017_Table 13'!O$36/'AEO 2017_Table 13'!$C$36)</f>
        <v>30.819498414411132</v>
      </c>
      <c r="O129" s="195">
        <f>IF(N129="","",$B129*'AEO 2017_Table 13'!P$36/'AEO 2017_Table 13'!$C$36)</f>
        <v>30.921527656198069</v>
      </c>
      <c r="P129" s="195">
        <f>IF(O129="","",$B129*'AEO 2017_Table 13'!Q$36/'AEO 2017_Table 13'!$C$36)</f>
        <v>30.978886111884506</v>
      </c>
      <c r="Q129" s="195">
        <f>IF(P129="","",$B129*'AEO 2017_Table 13'!R$36/'AEO 2017_Table 13'!$C$36)</f>
        <v>31.007950143034265</v>
      </c>
      <c r="R129" s="195">
        <f>IF(Q129="","",$B129*'AEO 2017_Table 13'!S$36/'AEO 2017_Table 13'!$C$36)</f>
        <v>31.117381699695393</v>
      </c>
      <c r="S129" s="195">
        <f>IF(R129="","",$B129*'AEO 2017_Table 13'!T$36/'AEO 2017_Table 13'!$C$36)</f>
        <v>31.327626302904207</v>
      </c>
      <c r="T129" s="195">
        <f>IF(S129="","",$B129*'AEO 2017_Table 13'!U$36/'AEO 2017_Table 13'!$C$36)</f>
        <v>31.529142916748985</v>
      </c>
      <c r="U129" s="195">
        <f>IF(T129="","",$B129*'AEO 2017_Table 13'!V$36/'AEO 2017_Table 13'!$C$36)</f>
        <v>31.907693982519014</v>
      </c>
      <c r="V129" s="195">
        <f>IF(U129="","",$B129*'AEO 2017_Table 13'!W$36/'AEO 2017_Table 13'!$C$36)</f>
        <v>32.368161542603346</v>
      </c>
      <c r="W129" s="195">
        <f>IF(V129="","",$B129*'AEO 2017_Table 13'!X$36/'AEO 2017_Table 13'!$C$36)</f>
        <v>32.71408995960288</v>
      </c>
      <c r="X129" s="195">
        <f>IF(W129="","",$B129*'AEO 2017_Table 13'!Y$36/'AEO 2017_Table 13'!$C$36)</f>
        <v>33.019455772281567</v>
      </c>
      <c r="Y129" s="195">
        <f>IF(X129="","",$B129*'AEO 2017_Table 13'!Z$36/'AEO 2017_Table 13'!$C$36)</f>
        <v>33.332813570253478</v>
      </c>
      <c r="Z129" s="195">
        <f>IF(Y129="","",$B129*'AEO 2017_Table 13'!AA$36/'AEO 2017_Table 13'!$C$36)</f>
        <v>33.736707456606112</v>
      </c>
      <c r="AA129" s="195">
        <f>IF(Z129="","",$B129*'AEO 2017_Table 13'!AB$36/'AEO 2017_Table 13'!$C$36)</f>
        <v>33.958646828474706</v>
      </c>
      <c r="AB129" s="195">
        <f>IF(AA129="","",$B129*'AEO 2017_Table 13'!AC$36/'AEO 2017_Table 13'!$C$36)</f>
        <v>34.186488324298487</v>
      </c>
      <c r="AC129" s="195">
        <f>IF(AB129="","",$B129*'AEO 2017_Table 13'!AD$36/'AEO 2017_Table 13'!$C$36)</f>
        <v>34.349027073073557</v>
      </c>
      <c r="AD129" s="195">
        <f>IF(AC129="","",$B129*'AEO 2017_Table 13'!AE$36/'AEO 2017_Table 13'!$C$36)</f>
        <v>34.572141449968306</v>
      </c>
      <c r="AE129" s="195">
        <f>IF(AD129="","",$B129*'AEO 2017_Table 13'!AF$36/'AEO 2017_Table 13'!$C$36)</f>
        <v>34.890600330646016</v>
      </c>
      <c r="AF129" s="195">
        <f>IF(AE129="","",$B129*'AEO 2017_Table 13'!AG$36/'AEO 2017_Table 13'!$C$36)</f>
        <v>35.214210155866446</v>
      </c>
      <c r="AG129" s="195">
        <f>IF(AF129="","",$B129*'AEO 2017_Table 13'!AH$36/'AEO 2017_Table 13'!$C$36)</f>
        <v>35.493857016279797</v>
      </c>
      <c r="AH129" s="195">
        <f>IF(AG129="","",$B129*'AEO 2017_Table 13'!AI$36/'AEO 2017_Table 13'!$C$36)</f>
        <v>35.783878390627983</v>
      </c>
      <c r="AI129" s="195">
        <f>IF(AH129="","",$B129*'AEO 2017_Table 13'!AJ$36/'AEO 2017_Table 13'!$C$36)</f>
        <v>36.010424562645248</v>
      </c>
      <c r="AJ129" s="195">
        <f>IF(AI129="","",$B129*'AEO 2017_Table 13'!AK$36/'AEO 2017_Table 13'!$C$36)</f>
        <v>36.241275111930854</v>
      </c>
      <c r="AK129" s="195">
        <f>IF(AJ129="","",$B129*'AEO 2017_Table 13'!AL$36/'AEO 2017_Table 13'!$C$36)</f>
        <v>36.559202855650248</v>
      </c>
    </row>
    <row r="130" spans="1:37" x14ac:dyDescent="0.25">
      <c r="A130" s="214" t="s">
        <v>1422</v>
      </c>
      <c r="B130" s="198">
        <v>14.630387200000008</v>
      </c>
      <c r="C130" s="198">
        <f>IF(B130="","",$B130*'AEO 2017_Table 13'!D$36/'AEO 2017_Table 13'!$C$36)</f>
        <v>14.838980374422624</v>
      </c>
      <c r="D130" s="198">
        <f>IF(C130="","",$B130*'AEO 2017_Table 13'!E$36/'AEO 2017_Table 13'!$C$36)</f>
        <v>14.930668032060728</v>
      </c>
      <c r="E130" s="198">
        <f>IF(D130="","",$B130*'AEO 2017_Table 13'!F$36/'AEO 2017_Table 13'!$C$36)</f>
        <v>15.086485040087666</v>
      </c>
      <c r="F130" s="198">
        <f>IF(E130="","",$B130*'AEO 2017_Table 13'!G$36/'AEO 2017_Table 13'!$C$36)</f>
        <v>14.906073220038158</v>
      </c>
      <c r="G130" s="198">
        <f>IF(F130="","",$B130*'AEO 2017_Table 13'!H$36/'AEO 2017_Table 13'!$C$36)</f>
        <v>14.669386625604147</v>
      </c>
      <c r="H130" s="198">
        <f>IF(G130="","",$B130*'AEO 2017_Table 13'!I$36/'AEO 2017_Table 13'!$C$36)</f>
        <v>14.588461812128438</v>
      </c>
      <c r="I130" s="198">
        <f>IF(H130="","",$B130*'AEO 2017_Table 13'!J$36/'AEO 2017_Table 13'!$C$36)</f>
        <v>14.619447414743926</v>
      </c>
      <c r="J130" s="198">
        <f>IF(I130="","",$B130*'AEO 2017_Table 13'!K$36/'AEO 2017_Table 13'!$C$36)</f>
        <v>14.74248742562807</v>
      </c>
      <c r="K130" s="198">
        <f>IF(J130="","",$B130*'AEO 2017_Table 13'!L$36/'AEO 2017_Table 13'!$C$36)</f>
        <v>14.864707073259666</v>
      </c>
      <c r="L130" s="198">
        <f>IF(K130="","",$B130*'AEO 2017_Table 13'!M$36/'AEO 2017_Table 13'!$C$36)</f>
        <v>15.062308452468356</v>
      </c>
      <c r="M130" s="198">
        <f>IF(L130="","",$B130*'AEO 2017_Table 13'!N$36/'AEO 2017_Table 13'!$C$36)</f>
        <v>15.219900233283493</v>
      </c>
      <c r="N130" s="198">
        <f>IF(M130="","",$B130*'AEO 2017_Table 13'!O$36/'AEO 2017_Table 13'!$C$36)</f>
        <v>15.245086457507087</v>
      </c>
      <c r="O130" s="198">
        <f>IF(N130="","",$B130*'AEO 2017_Table 13'!P$36/'AEO 2017_Table 13'!$C$36)</f>
        <v>15.295555955463238</v>
      </c>
      <c r="P130" s="198">
        <f>IF(O130="","",$B130*'AEO 2017_Table 13'!Q$36/'AEO 2017_Table 13'!$C$36)</f>
        <v>15.323928727928607</v>
      </c>
      <c r="Q130" s="198">
        <f>IF(P130="","",$B130*'AEO 2017_Table 13'!R$36/'AEO 2017_Table 13'!$C$36)</f>
        <v>15.338305459883289</v>
      </c>
      <c r="R130" s="198">
        <f>IF(Q130="","",$B130*'AEO 2017_Table 13'!S$36/'AEO 2017_Table 13'!$C$36)</f>
        <v>15.392436566108508</v>
      </c>
      <c r="S130" s="198">
        <f>IF(R130="","",$B130*'AEO 2017_Table 13'!T$36/'AEO 2017_Table 13'!$C$36)</f>
        <v>15.496435570571341</v>
      </c>
      <c r="T130" s="198">
        <f>IF(S130="","",$B130*'AEO 2017_Table 13'!U$36/'AEO 2017_Table 13'!$C$36)</f>
        <v>15.596117212348197</v>
      </c>
      <c r="U130" s="198">
        <f>IF(T130="","",$B130*'AEO 2017_Table 13'!V$36/'AEO 2017_Table 13'!$C$36)</f>
        <v>15.78337021850183</v>
      </c>
      <c r="V130" s="198">
        <f>IF(U130="","",$B130*'AEO 2017_Table 13'!W$36/'AEO 2017_Table 13'!$C$36)</f>
        <v>16.011143807480178</v>
      </c>
      <c r="W130" s="198">
        <f>IF(V130="","",$B130*'AEO 2017_Table 13'!X$36/'AEO 2017_Table 13'!$C$36)</f>
        <v>16.182259785889499</v>
      </c>
      <c r="X130" s="198">
        <f>IF(W130="","",$B130*'AEO 2017_Table 13'!Y$36/'AEO 2017_Table 13'!$C$36)</f>
        <v>16.333311180459788</v>
      </c>
      <c r="Y130" s="198">
        <f>IF(X130="","",$B130*'AEO 2017_Table 13'!Z$36/'AEO 2017_Table 13'!$C$36)</f>
        <v>16.488315868011156</v>
      </c>
      <c r="Z130" s="198">
        <f>IF(Y130="","",$B130*'AEO 2017_Table 13'!AA$36/'AEO 2017_Table 13'!$C$36)</f>
        <v>16.688104882559987</v>
      </c>
      <c r="AA130" s="198">
        <f>IF(Z130="","",$B130*'AEO 2017_Table 13'!AB$36/'AEO 2017_Table 13'!$C$36)</f>
        <v>16.797888788416138</v>
      </c>
      <c r="AB130" s="198">
        <f>IF(AA130="","",$B130*'AEO 2017_Table 13'!AC$36/'AEO 2017_Table 13'!$C$36)</f>
        <v>16.910592222318137</v>
      </c>
      <c r="AC130" s="198">
        <f>IF(AB130="","",$B130*'AEO 2017_Table 13'!AD$36/'AEO 2017_Table 13'!$C$36)</f>
        <v>16.990993182919503</v>
      </c>
      <c r="AD130" s="198">
        <f>IF(AC130="","",$B130*'AEO 2017_Table 13'!AE$36/'AEO 2017_Table 13'!$C$36)</f>
        <v>17.101358313459162</v>
      </c>
      <c r="AE130" s="198">
        <f>IF(AD130="","",$B130*'AEO 2017_Table 13'!AF$36/'AEO 2017_Table 13'!$C$36)</f>
        <v>17.258886288243545</v>
      </c>
      <c r="AF130" s="198">
        <f>IF(AE130="","",$B130*'AEO 2017_Table 13'!AG$36/'AEO 2017_Table 13'!$C$36)</f>
        <v>17.418962214777029</v>
      </c>
      <c r="AG130" s="198">
        <f>IF(AF130="","",$B130*'AEO 2017_Table 13'!AH$36/'AEO 2017_Table 13'!$C$36)</f>
        <v>17.557291544711177</v>
      </c>
      <c r="AH130" s="198">
        <f>IF(AG130="","",$B130*'AEO 2017_Table 13'!AI$36/'AEO 2017_Table 13'!$C$36)</f>
        <v>17.700752702547401</v>
      </c>
      <c r="AI130" s="198">
        <f>IF(AH130="","",$B130*'AEO 2017_Table 13'!AJ$36/'AEO 2017_Table 13'!$C$36)</f>
        <v>17.812815395216195</v>
      </c>
      <c r="AJ130" s="198">
        <f>IF(AI130="","",$B130*'AEO 2017_Table 13'!AK$36/'AEO 2017_Table 13'!$C$36)</f>
        <v>17.927007279045696</v>
      </c>
      <c r="AK130" s="198">
        <f>IF(AJ130="","",$B130*'AEO 2017_Table 13'!AL$36/'AEO 2017_Table 13'!$C$36)</f>
        <v>18.08427252311521</v>
      </c>
    </row>
    <row r="131" spans="1:37" x14ac:dyDescent="0.25">
      <c r="A131" s="214" t="s">
        <v>1423</v>
      </c>
      <c r="B131" s="198">
        <v>14.140459520000014</v>
      </c>
      <c r="C131" s="198">
        <f>IF(B131="","",$B131*'AEO 2017_Table 13'!D$36/'AEO 2017_Table 13'!$C$36)</f>
        <v>14.342067536161837</v>
      </c>
      <c r="D131" s="198">
        <f>IF(C131="","",$B131*'AEO 2017_Table 13'!E$36/'AEO 2017_Table 13'!$C$36)</f>
        <v>14.43068484981128</v>
      </c>
      <c r="E131" s="198">
        <f>IF(D131="","",$B131*'AEO 2017_Table 13'!F$36/'AEO 2017_Table 13'!$C$36)</f>
        <v>14.581284014714615</v>
      </c>
      <c r="F131" s="198">
        <f>IF(E131="","",$B131*'AEO 2017_Table 13'!G$36/'AEO 2017_Table 13'!$C$36)</f>
        <v>14.406913644097248</v>
      </c>
      <c r="G131" s="198">
        <f>IF(F131="","",$B131*'AEO 2017_Table 13'!H$36/'AEO 2017_Table 13'!$C$36)</f>
        <v>14.178152972095292</v>
      </c>
      <c r="H131" s="198">
        <f>IF(G131="","",$B131*'AEO 2017_Table 13'!I$36/'AEO 2017_Table 13'!$C$36)</f>
        <v>14.099938087316522</v>
      </c>
      <c r="I131" s="198">
        <f>IF(H131="","",$B131*'AEO 2017_Table 13'!J$36/'AEO 2017_Table 13'!$C$36)</f>
        <v>14.129886075260893</v>
      </c>
      <c r="J131" s="198">
        <f>IF(I131="","",$B131*'AEO 2017_Table 13'!K$36/'AEO 2017_Table 13'!$C$36)</f>
        <v>14.248805846109311</v>
      </c>
      <c r="K131" s="198">
        <f>IF(J131="","",$B131*'AEO 2017_Table 13'!L$36/'AEO 2017_Table 13'!$C$36)</f>
        <v>14.366932725204023</v>
      </c>
      <c r="L131" s="198">
        <f>IF(K131="","",$B131*'AEO 2017_Table 13'!M$36/'AEO 2017_Table 13'!$C$36)</f>
        <v>14.557917028325999</v>
      </c>
      <c r="M131" s="198">
        <f>IF(L131="","",$B131*'AEO 2017_Table 13'!N$36/'AEO 2017_Table 13'!$C$36)</f>
        <v>14.710231534212841</v>
      </c>
      <c r="N131" s="198">
        <f>IF(M131="","",$B131*'AEO 2017_Table 13'!O$36/'AEO 2017_Table 13'!$C$36)</f>
        <v>14.734574347511408</v>
      </c>
      <c r="O131" s="198">
        <f>IF(N131="","",$B131*'AEO 2017_Table 13'!P$36/'AEO 2017_Table 13'!$C$36)</f>
        <v>14.783353773721242</v>
      </c>
      <c r="P131" s="198">
        <f>IF(O131="","",$B131*'AEO 2017_Table 13'!Q$36/'AEO 2017_Table 13'!$C$36)</f>
        <v>14.810776427341557</v>
      </c>
      <c r="Q131" s="198">
        <f>IF(P131="","",$B131*'AEO 2017_Table 13'!R$36/'AEO 2017_Table 13'!$C$36)</f>
        <v>14.824671725767772</v>
      </c>
      <c r="R131" s="198">
        <f>IF(Q131="","",$B131*'AEO 2017_Table 13'!S$36/'AEO 2017_Table 13'!$C$36)</f>
        <v>14.876990143994634</v>
      </c>
      <c r="S131" s="198">
        <f>IF(R131="","",$B131*'AEO 2017_Table 13'!T$36/'AEO 2017_Table 13'!$C$36)</f>
        <v>14.977506534478612</v>
      </c>
      <c r="T131" s="198">
        <f>IF(S131="","",$B131*'AEO 2017_Table 13'!U$36/'AEO 2017_Table 13'!$C$36)</f>
        <v>15.073850137772501</v>
      </c>
      <c r="U131" s="198">
        <f>IF(T131="","",$B131*'AEO 2017_Table 13'!V$36/'AEO 2017_Table 13'!$C$36)</f>
        <v>15.25483260373989</v>
      </c>
      <c r="V131" s="198">
        <f>IF(U131="","",$B131*'AEO 2017_Table 13'!W$36/'AEO 2017_Table 13'!$C$36)</f>
        <v>15.474978740041291</v>
      </c>
      <c r="W131" s="198">
        <f>IF(V131="","",$B131*'AEO 2017_Table 13'!X$36/'AEO 2017_Table 13'!$C$36)</f>
        <v>15.640364558806375</v>
      </c>
      <c r="X131" s="198">
        <f>IF(W131="","",$B131*'AEO 2017_Table 13'!Y$36/'AEO 2017_Table 13'!$C$36)</f>
        <v>15.786357696319556</v>
      </c>
      <c r="Y131" s="198">
        <f>IF(X131="","",$B131*'AEO 2017_Table 13'!Z$36/'AEO 2017_Table 13'!$C$36)</f>
        <v>15.936171742917749</v>
      </c>
      <c r="Z131" s="198">
        <f>IF(Y131="","",$B131*'AEO 2017_Table 13'!AA$36/'AEO 2017_Table 13'!$C$36)</f>
        <v>16.129270424049608</v>
      </c>
      <c r="AA131" s="198">
        <f>IF(Z131="","",$B131*'AEO 2017_Table 13'!AB$36/'AEO 2017_Table 13'!$C$36)</f>
        <v>16.23537799697197</v>
      </c>
      <c r="AB131" s="198">
        <f>IF(AA131="","",$B131*'AEO 2017_Table 13'!AC$36/'AEO 2017_Table 13'!$C$36)</f>
        <v>16.344307331723698</v>
      </c>
      <c r="AC131" s="198">
        <f>IF(AB131="","",$B131*'AEO 2017_Table 13'!AD$36/'AEO 2017_Table 13'!$C$36)</f>
        <v>16.422015905885889</v>
      </c>
      <c r="AD131" s="198">
        <f>IF(AC131="","",$B131*'AEO 2017_Table 13'!AE$36/'AEO 2017_Table 13'!$C$36)</f>
        <v>16.5286852400246</v>
      </c>
      <c r="AE131" s="198">
        <f>IF(AD131="","",$B131*'AEO 2017_Table 13'!AF$36/'AEO 2017_Table 13'!$C$36)</f>
        <v>16.68093807655282</v>
      </c>
      <c r="AF131" s="198">
        <f>IF(AE131="","",$B131*'AEO 2017_Table 13'!AG$36/'AEO 2017_Table 13'!$C$36)</f>
        <v>16.835653541586666</v>
      </c>
      <c r="AG131" s="198">
        <f>IF(AF131="","",$B131*'AEO 2017_Table 13'!AH$36/'AEO 2017_Table 13'!$C$36)</f>
        <v>16.969350638158556</v>
      </c>
      <c r="AH131" s="198">
        <f>IF(AG131="","",$B131*'AEO 2017_Table 13'!AI$36/'AEO 2017_Table 13'!$C$36)</f>
        <v>17.108007713145295</v>
      </c>
      <c r="AI131" s="198">
        <f>IF(AH131="","",$B131*'AEO 2017_Table 13'!AJ$36/'AEO 2017_Table 13'!$C$36)</f>
        <v>17.216317763161285</v>
      </c>
      <c r="AJ131" s="198">
        <f>IF(AI131="","",$B131*'AEO 2017_Table 13'!AK$36/'AEO 2017_Table 13'!$C$36)</f>
        <v>17.326685704127581</v>
      </c>
      <c r="AK131" s="198">
        <f>IF(AJ131="","",$B131*'AEO 2017_Table 13'!AL$36/'AEO 2017_Table 13'!$C$36)</f>
        <v>17.478684608002652</v>
      </c>
    </row>
    <row r="132" spans="1:37" x14ac:dyDescent="0.25">
      <c r="A132" s="214" t="s">
        <v>1421</v>
      </c>
      <c r="B132" s="198">
        <v>0.80597439999999987</v>
      </c>
      <c r="C132" s="198">
        <f>IF(B132="","",$B132*'AEO 2017_Table 13'!D$36/'AEO 2017_Table 13'!$C$36)</f>
        <v>0.81746560363672682</v>
      </c>
      <c r="D132" s="198">
        <f>IF(C132="","",$B132*'AEO 2017_Table 13'!E$36/'AEO 2017_Table 13'!$C$36)</f>
        <v>0.82251659127239773</v>
      </c>
      <c r="E132" s="198">
        <f>IF(D132="","",$B132*'AEO 2017_Table 13'!F$36/'AEO 2017_Table 13'!$C$36)</f>
        <v>0.83110040507291727</v>
      </c>
      <c r="F132" s="198">
        <f>IF(E132="","",$B132*'AEO 2017_Table 13'!G$36/'AEO 2017_Table 13'!$C$36)</f>
        <v>0.82116168599258366</v>
      </c>
      <c r="G132" s="198">
        <f>IF(F132="","",$B132*'AEO 2017_Table 13'!H$36/'AEO 2017_Table 13'!$C$36)</f>
        <v>0.8081228420215234</v>
      </c>
      <c r="H132" s="198">
        <f>IF(G132="","",$B132*'AEO 2017_Table 13'!I$36/'AEO 2017_Table 13'!$C$36)</f>
        <v>0.80366476944322573</v>
      </c>
      <c r="I132" s="198">
        <f>IF(H132="","",$B132*'AEO 2017_Table 13'!J$36/'AEO 2017_Table 13'!$C$36)</f>
        <v>0.80537173742262813</v>
      </c>
      <c r="J132" s="198">
        <f>IF(I132="","",$B132*'AEO 2017_Table 13'!K$36/'AEO 2017_Table 13'!$C$36)</f>
        <v>0.8121498969882438</v>
      </c>
      <c r="K132" s="198">
        <f>IF(J132="","",$B132*'AEO 2017_Table 13'!L$36/'AEO 2017_Table 13'!$C$36)</f>
        <v>0.81888286350659301</v>
      </c>
      <c r="L132" s="198">
        <f>IF(K132="","",$B132*'AEO 2017_Table 13'!M$36/'AEO 2017_Table 13'!$C$36)</f>
        <v>0.82976853938582729</v>
      </c>
      <c r="M132" s="198">
        <f>IF(L132="","",$B132*'AEO 2017_Table 13'!N$36/'AEO 2017_Table 13'!$C$36)</f>
        <v>0.83845012376572747</v>
      </c>
      <c r="N132" s="198">
        <f>IF(M132="","",$B132*'AEO 2017_Table 13'!O$36/'AEO 2017_Table 13'!$C$36)</f>
        <v>0.83983760939268859</v>
      </c>
      <c r="O132" s="198">
        <f>IF(N132="","",$B132*'AEO 2017_Table 13'!P$36/'AEO 2017_Table 13'!$C$36)</f>
        <v>0.84261792701364058</v>
      </c>
      <c r="P132" s="198">
        <f>IF(O132="","",$B132*'AEO 2017_Table 13'!Q$36/'AEO 2017_Table 13'!$C$36)</f>
        <v>0.84418095661439585</v>
      </c>
      <c r="Q132" s="198">
        <f>IF(P132="","",$B132*'AEO 2017_Table 13'!R$36/'AEO 2017_Table 13'!$C$36)</f>
        <v>0.84497295738325695</v>
      </c>
      <c r="R132" s="198">
        <f>IF(Q132="","",$B132*'AEO 2017_Table 13'!S$36/'AEO 2017_Table 13'!$C$36)</f>
        <v>0.84795498959230253</v>
      </c>
      <c r="S132" s="198">
        <f>IF(R132="","",$B132*'AEO 2017_Table 13'!T$36/'AEO 2017_Table 13'!$C$36)</f>
        <v>0.85368419785430461</v>
      </c>
      <c r="T132" s="198">
        <f>IF(S132="","",$B132*'AEO 2017_Table 13'!U$36/'AEO 2017_Table 13'!$C$36)</f>
        <v>0.85917556662833938</v>
      </c>
      <c r="U132" s="198">
        <f>IF(T132="","",$B132*'AEO 2017_Table 13'!V$36/'AEO 2017_Table 13'!$C$36)</f>
        <v>0.86949116027734874</v>
      </c>
      <c r="V132" s="198">
        <f>IF(U132="","",$B132*'AEO 2017_Table 13'!W$36/'AEO 2017_Table 13'!$C$36)</f>
        <v>0.88203899508193062</v>
      </c>
      <c r="W132" s="198">
        <f>IF(V132="","",$B132*'AEO 2017_Table 13'!X$36/'AEO 2017_Table 13'!$C$36)</f>
        <v>0.891465614907062</v>
      </c>
      <c r="X132" s="198">
        <f>IF(W132="","",$B132*'AEO 2017_Table 13'!Y$36/'AEO 2017_Table 13'!$C$36)</f>
        <v>0.8997868955022843</v>
      </c>
      <c r="Y132" s="198">
        <f>IF(X132="","",$B132*'AEO 2017_Table 13'!Z$36/'AEO 2017_Table 13'!$C$36)</f>
        <v>0.90832595932462823</v>
      </c>
      <c r="Z132" s="198">
        <f>IF(Y132="","",$B132*'AEO 2017_Table 13'!AA$36/'AEO 2017_Table 13'!$C$36)</f>
        <v>0.9193321499965732</v>
      </c>
      <c r="AA132" s="198">
        <f>IF(Z132="","",$B132*'AEO 2017_Table 13'!AB$36/'AEO 2017_Table 13'!$C$36)</f>
        <v>0.92538004308665289</v>
      </c>
      <c r="AB132" s="198">
        <f>IF(AA132="","",$B132*'AEO 2017_Table 13'!AC$36/'AEO 2017_Table 13'!$C$36)</f>
        <v>0.93158877025671039</v>
      </c>
      <c r="AC132" s="198">
        <f>IF(AB132="","",$B132*'AEO 2017_Table 13'!AD$36/'AEO 2017_Table 13'!$C$36)</f>
        <v>0.93601798426822402</v>
      </c>
      <c r="AD132" s="198">
        <f>IF(AC132="","",$B132*'AEO 2017_Table 13'!AE$36/'AEO 2017_Table 13'!$C$36)</f>
        <v>0.94209789648460218</v>
      </c>
      <c r="AE132" s="198">
        <f>IF(AD132="","",$B132*'AEO 2017_Table 13'!AF$36/'AEO 2017_Table 13'!$C$36)</f>
        <v>0.95077596584971491</v>
      </c>
      <c r="AF132" s="198">
        <f>IF(AE132="","",$B132*'AEO 2017_Table 13'!AG$36/'AEO 2017_Table 13'!$C$36)</f>
        <v>0.95959439950280856</v>
      </c>
      <c r="AG132" s="198">
        <f>IF(AF132="","",$B132*'AEO 2017_Table 13'!AH$36/'AEO 2017_Table 13'!$C$36)</f>
        <v>0.96721483341012693</v>
      </c>
      <c r="AH132" s="198">
        <f>IF(AG132="","",$B132*'AEO 2017_Table 13'!AI$36/'AEO 2017_Table 13'!$C$36)</f>
        <v>0.97511797493534602</v>
      </c>
      <c r="AI132" s="198">
        <f>IF(AH132="","",$B132*'AEO 2017_Table 13'!AJ$36/'AEO 2017_Table 13'!$C$36)</f>
        <v>0.98129140426783257</v>
      </c>
      <c r="AJ132" s="198">
        <f>IF(AI132="","",$B132*'AEO 2017_Table 13'!AK$36/'AEO 2017_Table 13'!$C$36)</f>
        <v>0.98758212875763651</v>
      </c>
      <c r="AK132" s="198">
        <f>IF(AJ132="","",$B132*'AEO 2017_Table 13'!AL$36/'AEO 2017_Table 13'!$C$36)</f>
        <v>0.9962457245324482</v>
      </c>
    </row>
    <row r="133" spans="1:37" x14ac:dyDescent="0.25">
      <c r="A133" s="214" t="s">
        <v>1490</v>
      </c>
      <c r="B133" s="198">
        <v>22.461364046153847</v>
      </c>
      <c r="C133" s="198">
        <f>IF(B133="","",$B133*'AEO 2017_Table 13'!D$36/'AEO 2017_Table 13'!$C$36)</f>
        <v>22.781607602541008</v>
      </c>
      <c r="D133" s="198">
        <f>IF(C133="","",$B133*'AEO 2017_Table 13'!E$36/'AEO 2017_Table 13'!$C$36)</f>
        <v>22.922371468089871</v>
      </c>
      <c r="E133" s="198">
        <f>IF(D133="","",$B133*'AEO 2017_Table 13'!F$36/'AEO 2017_Table 13'!$C$36)</f>
        <v>23.161590191014412</v>
      </c>
      <c r="F133" s="198">
        <f>IF(E133="","",$B133*'AEO 2017_Table 13'!G$36/'AEO 2017_Table 13'!$C$36)</f>
        <v>22.884612178541769</v>
      </c>
      <c r="G133" s="198">
        <f>IF(F133="","",$B133*'AEO 2017_Table 13'!H$36/'AEO 2017_Table 13'!$C$36)</f>
        <v>22.521238079842131</v>
      </c>
      <c r="H133" s="198">
        <f>IF(G133="","",$B133*'AEO 2017_Table 13'!I$36/'AEO 2017_Table 13'!$C$36)</f>
        <v>22.396997916475506</v>
      </c>
      <c r="I133" s="198">
        <f>IF(H133="","",$B133*'AEO 2017_Table 13'!J$36/'AEO 2017_Table 13'!$C$36)</f>
        <v>22.444568694406517</v>
      </c>
      <c r="J133" s="198">
        <f>IF(I133="","",$B133*'AEO 2017_Table 13'!K$36/'AEO 2017_Table 13'!$C$36)</f>
        <v>22.633466393348588</v>
      </c>
      <c r="K133" s="198">
        <f>IF(J133="","",$B133*'AEO 2017_Table 13'!L$36/'AEO 2017_Table 13'!$C$36)</f>
        <v>22.821104626125223</v>
      </c>
      <c r="L133" s="198">
        <f>IF(K133="","",$B133*'AEO 2017_Table 13'!M$36/'AEO 2017_Table 13'!$C$36)</f>
        <v>23.124472982256528</v>
      </c>
      <c r="M133" s="198">
        <f>IF(L133="","",$B133*'AEO 2017_Table 13'!N$36/'AEO 2017_Table 13'!$C$36)</f>
        <v>23.366416432637013</v>
      </c>
      <c r="N133" s="198">
        <f>IF(M133="","",$B133*'AEO 2017_Table 13'!O$36/'AEO 2017_Table 13'!$C$36)</f>
        <v>23.405083690276932</v>
      </c>
      <c r="O133" s="198">
        <f>IF(N133="","",$B133*'AEO 2017_Table 13'!P$36/'AEO 2017_Table 13'!$C$36)</f>
        <v>23.482567201227329</v>
      </c>
      <c r="P133" s="198">
        <f>IF(O133="","",$B133*'AEO 2017_Table 13'!Q$36/'AEO 2017_Table 13'!$C$36)</f>
        <v>23.526126620580449</v>
      </c>
      <c r="Q133" s="198">
        <f>IF(P133="","",$B133*'AEO 2017_Table 13'!R$36/'AEO 2017_Table 13'!$C$36)</f>
        <v>23.548198559334612</v>
      </c>
      <c r="R133" s="198">
        <f>IF(Q133="","",$B133*'AEO 2017_Table 13'!S$36/'AEO 2017_Table 13'!$C$36)</f>
        <v>23.63130356992146</v>
      </c>
      <c r="S133" s="198">
        <f>IF(R133="","",$B133*'AEO 2017_Table 13'!T$36/'AEO 2017_Table 13'!$C$36)</f>
        <v>23.790968482937384</v>
      </c>
      <c r="T133" s="198">
        <f>IF(S133="","",$B133*'AEO 2017_Table 13'!U$36/'AEO 2017_Table 13'!$C$36)</f>
        <v>23.944005146565008</v>
      </c>
      <c r="U133" s="198">
        <f>IF(T133="","",$B133*'AEO 2017_Table 13'!V$36/'AEO 2017_Table 13'!$C$36)</f>
        <v>24.231486119040799</v>
      </c>
      <c r="V133" s="198">
        <f>IF(U133="","",$B133*'AEO 2017_Table 13'!W$36/'AEO 2017_Table 13'!$C$36)</f>
        <v>24.581176488284182</v>
      </c>
      <c r="W133" s="198">
        <f>IF(V133="","",$B133*'AEO 2017_Table 13'!X$36/'AEO 2017_Table 13'!$C$36)</f>
        <v>24.843883020423373</v>
      </c>
      <c r="X133" s="198">
        <f>IF(W133="","",$B133*'AEO 2017_Table 13'!Y$36/'AEO 2017_Table 13'!$C$36)</f>
        <v>25.075785315061374</v>
      </c>
      <c r="Y133" s="198">
        <f>IF(X133="","",$B133*'AEO 2017_Table 13'!Z$36/'AEO 2017_Table 13'!$C$36)</f>
        <v>25.313756919527975</v>
      </c>
      <c r="Z133" s="198">
        <f>IF(Y133="","",$B133*'AEO 2017_Table 13'!AA$36/'AEO 2017_Table 13'!$C$36)</f>
        <v>25.620483852100449</v>
      </c>
      <c r="AA133" s="198">
        <f>IF(Z133="","",$B133*'AEO 2017_Table 13'!AB$36/'AEO 2017_Table 13'!$C$36)</f>
        <v>25.789030059533957</v>
      </c>
      <c r="AB133" s="198">
        <f>IF(AA133="","",$B133*'AEO 2017_Table 13'!AC$36/'AEO 2017_Table 13'!$C$36)</f>
        <v>25.962058484791516</v>
      </c>
      <c r="AC133" s="198">
        <f>IF(AB133="","",$B133*'AEO 2017_Table 13'!AD$36/'AEO 2017_Table 13'!$C$36)</f>
        <v>26.085494400809367</v>
      </c>
      <c r="AD133" s="198">
        <f>IF(AC133="","",$B133*'AEO 2017_Table 13'!AE$36/'AEO 2017_Table 13'!$C$36)</f>
        <v>26.254932935905181</v>
      </c>
      <c r="AE133" s="198">
        <f>IF(AD133="","",$B133*'AEO 2017_Table 13'!AF$36/'AEO 2017_Table 13'!$C$36)</f>
        <v>26.496778427806127</v>
      </c>
      <c r="AF133" s="198">
        <f>IF(AE133="","",$B133*'AEO 2017_Table 13'!AG$36/'AEO 2017_Table 13'!$C$36)</f>
        <v>26.74253567344444</v>
      </c>
      <c r="AG133" s="198">
        <f>IF(AF133="","",$B133*'AEO 2017_Table 13'!AH$36/'AEO 2017_Table 13'!$C$36)</f>
        <v>26.954906364352155</v>
      </c>
      <c r="AH133" s="198">
        <f>IF(AG133="","",$B133*'AEO 2017_Table 13'!AI$36/'AEO 2017_Table 13'!$C$36)</f>
        <v>27.175155715828115</v>
      </c>
      <c r="AI133" s="198">
        <f>IF(AH133="","",$B133*'AEO 2017_Table 13'!AJ$36/'AEO 2017_Table 13'!$C$36)</f>
        <v>27.34720044038783</v>
      </c>
      <c r="AJ133" s="198">
        <f>IF(AI133="","",$B133*'AEO 2017_Table 13'!AK$36/'AEO 2017_Table 13'!$C$36)</f>
        <v>27.52251401471419</v>
      </c>
      <c r="AK133" s="198">
        <f>IF(AJ133="","",$B133*'AEO 2017_Table 13'!AL$36/'AEO 2017_Table 13'!$C$36)</f>
        <v>27.763956148169999</v>
      </c>
    </row>
    <row r="134" spans="1:37" x14ac:dyDescent="0.25">
      <c r="A134" s="214" t="s">
        <v>1422</v>
      </c>
      <c r="B134" s="198">
        <v>16.20822678461538</v>
      </c>
      <c r="C134" s="198">
        <f>IF(B134="","",$B134*'AEO 2017_Table 13'!D$36/'AEO 2017_Table 13'!$C$36)</f>
        <v>16.439316053173126</v>
      </c>
      <c r="D134" s="198">
        <f>IF(C134="","",$B134*'AEO 2017_Table 13'!E$36/'AEO 2017_Table 13'!$C$36)</f>
        <v>16.540891925912064</v>
      </c>
      <c r="E134" s="198">
        <f>IF(D134="","",$B134*'AEO 2017_Table 13'!F$36/'AEO 2017_Table 13'!$C$36)</f>
        <v>16.713513290505944</v>
      </c>
      <c r="F134" s="198">
        <f>IF(E134="","",$B134*'AEO 2017_Table 13'!G$36/'AEO 2017_Table 13'!$C$36)</f>
        <v>16.513644643558059</v>
      </c>
      <c r="G134" s="198">
        <f>IF(F134="","",$B134*'AEO 2017_Table 13'!H$36/'AEO 2017_Table 13'!$C$36)</f>
        <v>16.251432171186533</v>
      </c>
      <c r="H134" s="198">
        <f>IF(G134="","",$B134*'AEO 2017_Table 13'!I$36/'AEO 2017_Table 13'!$C$36)</f>
        <v>16.161779880280861</v>
      </c>
      <c r="I134" s="198">
        <f>IF(H134="","",$B134*'AEO 2017_Table 13'!J$36/'AEO 2017_Table 13'!$C$36)</f>
        <v>16.196107179168056</v>
      </c>
      <c r="J134" s="198">
        <f>IF(I134="","",$B134*'AEO 2017_Table 13'!K$36/'AEO 2017_Table 13'!$C$36)</f>
        <v>16.332416654285144</v>
      </c>
      <c r="K134" s="198">
        <f>IF(J134="","",$B134*'AEO 2017_Table 13'!L$36/'AEO 2017_Table 13'!$C$36)</f>
        <v>16.467817292646149</v>
      </c>
      <c r="L134" s="198">
        <f>IF(K134="","",$B134*'AEO 2017_Table 13'!M$36/'AEO 2017_Table 13'!$C$36)</f>
        <v>16.686729336694256</v>
      </c>
      <c r="M134" s="198">
        <f>IF(L134="","",$B134*'AEO 2017_Table 13'!N$36/'AEO 2017_Table 13'!$C$36)</f>
        <v>16.861316877538229</v>
      </c>
      <c r="N134" s="198">
        <f>IF(M134="","",$B134*'AEO 2017_Table 13'!O$36/'AEO 2017_Table 13'!$C$36)</f>
        <v>16.889219353971946</v>
      </c>
      <c r="O134" s="198">
        <f>IF(N134="","",$B134*'AEO 2017_Table 13'!P$36/'AEO 2017_Table 13'!$C$36)</f>
        <v>16.94513182282164</v>
      </c>
      <c r="P134" s="198">
        <f>IF(O134="","",$B134*'AEO 2017_Table 13'!Q$36/'AEO 2017_Table 13'!$C$36)</f>
        <v>16.976564506341255</v>
      </c>
      <c r="Q134" s="198">
        <f>IF(P134="","",$B134*'AEO 2017_Table 13'!R$36/'AEO 2017_Table 13'!$C$36)</f>
        <v>16.992491721988909</v>
      </c>
      <c r="R134" s="198">
        <f>IF(Q134="","",$B134*'AEO 2017_Table 13'!S$36/'AEO 2017_Table 13'!$C$36)</f>
        <v>17.052460691627694</v>
      </c>
      <c r="S134" s="198">
        <f>IF(R134="","",$B134*'AEO 2017_Table 13'!T$36/'AEO 2017_Table 13'!$C$36)</f>
        <v>17.167675649828379</v>
      </c>
      <c r="T134" s="198">
        <f>IF(S134="","",$B134*'AEO 2017_Table 13'!U$36/'AEO 2017_Table 13'!$C$36)</f>
        <v>17.278107631846058</v>
      </c>
      <c r="U134" s="198">
        <f>IF(T134="","",$B134*'AEO 2017_Table 13'!V$36/'AEO 2017_Table 13'!$C$36)</f>
        <v>17.485555264526553</v>
      </c>
      <c r="V134" s="198">
        <f>IF(U134="","",$B134*'AEO 2017_Table 13'!W$36/'AEO 2017_Table 13'!$C$36)</f>
        <v>17.737893492848141</v>
      </c>
      <c r="W134" s="198">
        <f>IF(V134="","",$B134*'AEO 2017_Table 13'!X$36/'AEO 2017_Table 13'!$C$36)</f>
        <v>17.927463771926583</v>
      </c>
      <c r="X134" s="198">
        <f>IF(W134="","",$B134*'AEO 2017_Table 13'!Y$36/'AEO 2017_Table 13'!$C$36)</f>
        <v>18.094805567181847</v>
      </c>
      <c r="Y134" s="198">
        <f>IF(X134="","",$B134*'AEO 2017_Table 13'!Z$36/'AEO 2017_Table 13'!$C$36)</f>
        <v>18.266527005183914</v>
      </c>
      <c r="Z134" s="198">
        <f>IF(Y134="","",$B134*'AEO 2017_Table 13'!AA$36/'AEO 2017_Table 13'!$C$36)</f>
        <v>18.487862613914917</v>
      </c>
      <c r="AA134" s="198">
        <f>IF(Z134="","",$B134*'AEO 2017_Table 13'!AB$36/'AEO 2017_Table 13'!$C$36)</f>
        <v>18.609486356273379</v>
      </c>
      <c r="AB134" s="198">
        <f>IF(AA134="","",$B134*'AEO 2017_Table 13'!AC$36/'AEO 2017_Table 13'!$C$36)</f>
        <v>18.734344488263794</v>
      </c>
      <c r="AC134" s="198">
        <f>IF(AB134="","",$B134*'AEO 2017_Table 13'!AD$36/'AEO 2017_Table 13'!$C$36)</f>
        <v>18.823416430469663</v>
      </c>
      <c r="AD134" s="198">
        <f>IF(AC134="","",$B134*'AEO 2017_Table 13'!AE$36/'AEO 2017_Table 13'!$C$36)</f>
        <v>18.94568408069976</v>
      </c>
      <c r="AE134" s="198">
        <f>IF(AD134="","",$B134*'AEO 2017_Table 13'!AF$36/'AEO 2017_Table 13'!$C$36)</f>
        <v>19.120200934240483</v>
      </c>
      <c r="AF134" s="198">
        <f>IF(AE134="","",$B134*'AEO 2017_Table 13'!AG$36/'AEO 2017_Table 13'!$C$36)</f>
        <v>19.297540527823632</v>
      </c>
      <c r="AG134" s="198">
        <f>IF(AF134="","",$B134*'AEO 2017_Table 13'!AH$36/'AEO 2017_Table 13'!$C$36)</f>
        <v>19.450788225228152</v>
      </c>
      <c r="AH134" s="198">
        <f>IF(AG134="","",$B134*'AEO 2017_Table 13'!AI$36/'AEO 2017_Table 13'!$C$36)</f>
        <v>19.6097212014513</v>
      </c>
      <c r="AI134" s="198">
        <f>IF(AH134="","",$B134*'AEO 2017_Table 13'!AJ$36/'AEO 2017_Table 13'!$C$36)</f>
        <v>19.73386949035444</v>
      </c>
      <c r="AJ134" s="198">
        <f>IF(AI134="","",$B134*'AEO 2017_Table 13'!AK$36/'AEO 2017_Table 13'!$C$36)</f>
        <v>19.86037659674675</v>
      </c>
      <c r="AK134" s="198">
        <f>IF(AJ134="","",$B134*'AEO 2017_Table 13'!AL$36/'AEO 2017_Table 13'!$C$36)</f>
        <v>20.03460238492114</v>
      </c>
    </row>
    <row r="135" spans="1:37" x14ac:dyDescent="0.25">
      <c r="A135" s="214" t="s">
        <v>1423</v>
      </c>
      <c r="B135" s="198">
        <v>5.8440083692307701</v>
      </c>
      <c r="C135" s="198">
        <f>IF(B135="","",$B135*'AEO 2017_Table 13'!D$36/'AEO 2017_Table 13'!$C$36)</f>
        <v>5.927329489883693</v>
      </c>
      <c r="D135" s="198">
        <f>IF(C135="","",$B135*'AEO 2017_Table 13'!E$36/'AEO 2017_Table 13'!$C$36)</f>
        <v>5.9639534993010406</v>
      </c>
      <c r="E135" s="198">
        <f>IF(D135="","",$B135*'AEO 2017_Table 13'!F$36/'AEO 2017_Table 13'!$C$36)</f>
        <v>6.0261935402876476</v>
      </c>
      <c r="F135" s="198">
        <f>IF(E135="","",$B135*'AEO 2017_Table 13'!G$36/'AEO 2017_Table 13'!$C$36)</f>
        <v>5.9541292694064589</v>
      </c>
      <c r="G135" s="198">
        <f>IF(F135="","",$B135*'AEO 2017_Table 13'!H$36/'AEO 2017_Table 13'!$C$36)</f>
        <v>5.8595864237627637</v>
      </c>
      <c r="H135" s="198">
        <f>IF(G135="","",$B135*'AEO 2017_Table 13'!I$36/'AEO 2017_Table 13'!$C$36)</f>
        <v>5.8272615590298269</v>
      </c>
      <c r="I135" s="198">
        <f>IF(H135="","",$B135*'AEO 2017_Table 13'!J$36/'AEO 2017_Table 13'!$C$36)</f>
        <v>5.8396385466334477</v>
      </c>
      <c r="J135" s="198">
        <f>IF(I135="","",$B135*'AEO 2017_Table 13'!K$36/'AEO 2017_Table 13'!$C$36)</f>
        <v>5.8887860396920857</v>
      </c>
      <c r="K135" s="198">
        <f>IF(J135="","",$B135*'AEO 2017_Table 13'!L$36/'AEO 2017_Table 13'!$C$36)</f>
        <v>5.9376058442454109</v>
      </c>
      <c r="L135" s="198">
        <f>IF(K135="","",$B135*'AEO 2017_Table 13'!M$36/'AEO 2017_Table 13'!$C$36)</f>
        <v>6.0165363672781256</v>
      </c>
      <c r="M135" s="198">
        <f>IF(L135="","",$B135*'AEO 2017_Table 13'!N$36/'AEO 2017_Table 13'!$C$36)</f>
        <v>6.0794853291487758</v>
      </c>
      <c r="N135" s="198">
        <f>IF(M135="","",$B135*'AEO 2017_Table 13'!O$36/'AEO 2017_Table 13'!$C$36)</f>
        <v>6.0895457946128753</v>
      </c>
      <c r="O135" s="198">
        <f>IF(N135="","",$B135*'AEO 2017_Table 13'!P$36/'AEO 2017_Table 13'!$C$36)</f>
        <v>6.1097054913054292</v>
      </c>
      <c r="P135" s="198">
        <f>IF(O135="","",$B135*'AEO 2017_Table 13'!Q$36/'AEO 2017_Table 13'!$C$36)</f>
        <v>6.1210388017284023</v>
      </c>
      <c r="Q135" s="198">
        <f>IF(P135="","",$B135*'AEO 2017_Table 13'!R$36/'AEO 2017_Table 13'!$C$36)</f>
        <v>6.1267814892401411</v>
      </c>
      <c r="R135" s="198">
        <f>IF(Q135="","",$B135*'AEO 2017_Table 13'!S$36/'AEO 2017_Table 13'!$C$36)</f>
        <v>6.1484037903789597</v>
      </c>
      <c r="S135" s="198">
        <f>IF(R135="","",$B135*'AEO 2017_Table 13'!T$36/'AEO 2017_Table 13'!$C$36)</f>
        <v>6.1899454833064347</v>
      </c>
      <c r="T135" s="198">
        <f>IF(S135="","",$B135*'AEO 2017_Table 13'!U$36/'AEO 2017_Table 13'!$C$36)</f>
        <v>6.2297626351588891</v>
      </c>
      <c r="U135" s="198">
        <f>IF(T135="","",$B135*'AEO 2017_Table 13'!V$36/'AEO 2017_Table 13'!$C$36)</f>
        <v>6.3045595711637974</v>
      </c>
      <c r="V135" s="198">
        <f>IF(U135="","",$B135*'AEO 2017_Table 13'!W$36/'AEO 2017_Table 13'!$C$36)</f>
        <v>6.3955421775762371</v>
      </c>
      <c r="W135" s="198">
        <f>IF(V135="","",$B135*'AEO 2017_Table 13'!X$36/'AEO 2017_Table 13'!$C$36)</f>
        <v>6.4638932879236926</v>
      </c>
      <c r="X135" s="198">
        <f>IF(W135="","",$B135*'AEO 2017_Table 13'!Y$36/'AEO 2017_Table 13'!$C$36)</f>
        <v>6.5242297371225719</v>
      </c>
      <c r="Y135" s="198">
        <f>IF(X135="","",$B135*'AEO 2017_Table 13'!Z$36/'AEO 2017_Table 13'!$C$36)</f>
        <v>6.5861453022362699</v>
      </c>
      <c r="Z135" s="198">
        <f>IF(Y135="","",$B135*'AEO 2017_Table 13'!AA$36/'AEO 2017_Table 13'!$C$36)</f>
        <v>6.665949661283153</v>
      </c>
      <c r="AA135" s="198">
        <f>IF(Z135="","",$B135*'AEO 2017_Table 13'!AB$36/'AEO 2017_Table 13'!$C$36)</f>
        <v>6.7098020936118203</v>
      </c>
      <c r="AB135" s="198">
        <f>IF(AA135="","",$B135*'AEO 2017_Table 13'!AC$36/'AEO 2017_Table 13'!$C$36)</f>
        <v>6.7548207115035135</v>
      </c>
      <c r="AC135" s="198">
        <f>IF(AB135="","",$B135*'AEO 2017_Table 13'!AD$36/'AEO 2017_Table 13'!$C$36)</f>
        <v>6.7869363267791361</v>
      </c>
      <c r="AD135" s="198">
        <f>IF(AC135="","",$B135*'AEO 2017_Table 13'!AE$36/'AEO 2017_Table 13'!$C$36)</f>
        <v>6.8310209253429397</v>
      </c>
      <c r="AE135" s="198">
        <f>IF(AD135="","",$B135*'AEO 2017_Table 13'!AF$36/'AEO 2017_Table 13'!$C$36)</f>
        <v>6.8939444003298416</v>
      </c>
      <c r="AF135" s="198">
        <f>IF(AE135="","",$B135*'AEO 2017_Table 13'!AG$36/'AEO 2017_Table 13'!$C$36)</f>
        <v>6.9578856372626587</v>
      </c>
      <c r="AG135" s="198">
        <f>IF(AF135="","",$B135*'AEO 2017_Table 13'!AH$36/'AEO 2017_Table 13'!$C$36)</f>
        <v>7.0131403445232596</v>
      </c>
      <c r="AH135" s="198">
        <f>IF(AG135="","",$B135*'AEO 2017_Table 13'!AI$36/'AEO 2017_Table 13'!$C$36)</f>
        <v>7.0704449254337653</v>
      </c>
      <c r="AI135" s="198">
        <f>IF(AH135="","",$B135*'AEO 2017_Table 13'!AJ$36/'AEO 2017_Table 13'!$C$36)</f>
        <v>7.1152076036105241</v>
      </c>
      <c r="AJ135" s="198">
        <f>IF(AI135="","",$B135*'AEO 2017_Table 13'!AK$36/'AEO 2017_Table 13'!$C$36)</f>
        <v>7.1608207726726416</v>
      </c>
      <c r="AK135" s="198">
        <f>IF(AJ135="","",$B135*'AEO 2017_Table 13'!AL$36/'AEO 2017_Table 13'!$C$36)</f>
        <v>7.2236393016676468</v>
      </c>
    </row>
    <row r="136" spans="1:37" x14ac:dyDescent="0.25">
      <c r="A136" s="208" t="s">
        <v>1421</v>
      </c>
      <c r="B136" s="197">
        <v>0.40912889230769245</v>
      </c>
      <c r="C136" s="197">
        <f>IF(B136="","",$B136*'AEO 2017_Table 13'!D$36/'AEO 2017_Table 13'!$C$36)</f>
        <v>0.41496205948418863</v>
      </c>
      <c r="D136" s="197">
        <f>IF(C136="","",$B136*'AEO 2017_Table 13'!E$36/'AEO 2017_Table 13'!$C$36)</f>
        <v>0.4175260428767652</v>
      </c>
      <c r="E136" s="197">
        <f>IF(D136="","",$B136*'AEO 2017_Table 13'!F$36/'AEO 2017_Table 13'!$C$36)</f>
        <v>0.42188336022081746</v>
      </c>
      <c r="F136" s="197">
        <f>IF(E136="","",$B136*'AEO 2017_Table 13'!G$36/'AEO 2017_Table 13'!$C$36)</f>
        <v>0.41683826557724779</v>
      </c>
      <c r="G136" s="197">
        <f>IF(F136="","",$B136*'AEO 2017_Table 13'!H$36/'AEO 2017_Table 13'!$C$36)</f>
        <v>0.41021948489283316</v>
      </c>
      <c r="H136" s="197">
        <f>IF(G136="","",$B136*'AEO 2017_Table 13'!I$36/'AEO 2017_Table 13'!$C$36)</f>
        <v>0.40795647716481326</v>
      </c>
      <c r="I136" s="197">
        <f>IF(H136="","",$B136*'AEO 2017_Table 13'!J$36/'AEO 2017_Table 13'!$C$36)</f>
        <v>0.40882296860500977</v>
      </c>
      <c r="J136" s="197">
        <f>IF(I136="","",$B136*'AEO 2017_Table 13'!K$36/'AEO 2017_Table 13'!$C$36)</f>
        <v>0.41226369937135315</v>
      </c>
      <c r="K136" s="197">
        <f>IF(J136="","",$B136*'AEO 2017_Table 13'!L$36/'AEO 2017_Table 13'!$C$36)</f>
        <v>0.41568148923365772</v>
      </c>
      <c r="L136" s="197">
        <f>IF(K136="","",$B136*'AEO 2017_Table 13'!M$36/'AEO 2017_Table 13'!$C$36)</f>
        <v>0.42120727828414328</v>
      </c>
      <c r="M136" s="197">
        <f>IF(L136="","",$B136*'AEO 2017_Table 13'!N$36/'AEO 2017_Table 13'!$C$36)</f>
        <v>0.42561422595000509</v>
      </c>
      <c r="N136" s="197">
        <f>IF(M136="","",$B136*'AEO 2017_Table 13'!O$36/'AEO 2017_Table 13'!$C$36)</f>
        <v>0.42631854169210737</v>
      </c>
      <c r="O136" s="197">
        <f>IF(N136="","",$B136*'AEO 2017_Table 13'!P$36/'AEO 2017_Table 13'!$C$36)</f>
        <v>0.42772988710025389</v>
      </c>
      <c r="P136" s="197">
        <f>IF(O136="","",$B136*'AEO 2017_Table 13'!Q$36/'AEO 2017_Table 13'!$C$36)</f>
        <v>0.42852331251078946</v>
      </c>
      <c r="Q136" s="197">
        <f>IF(P136="","",$B136*'AEO 2017_Table 13'!R$36/'AEO 2017_Table 13'!$C$36)</f>
        <v>0.42892534810555644</v>
      </c>
      <c r="R136" s="197">
        <f>IF(Q136="","",$B136*'AEO 2017_Table 13'!S$36/'AEO 2017_Table 13'!$C$36)</f>
        <v>0.43043908791480184</v>
      </c>
      <c r="S136" s="197">
        <f>IF(R136="","",$B136*'AEO 2017_Table 13'!T$36/'AEO 2017_Table 13'!$C$36)</f>
        <v>0.43334734980256528</v>
      </c>
      <c r="T136" s="197">
        <f>IF(S136="","",$B136*'AEO 2017_Table 13'!U$36/'AEO 2017_Table 13'!$C$36)</f>
        <v>0.4361348795600537</v>
      </c>
      <c r="U136" s="197">
        <f>IF(T136="","",$B136*'AEO 2017_Table 13'!V$36/'AEO 2017_Table 13'!$C$36)</f>
        <v>0.4413712833504414</v>
      </c>
      <c r="V136" s="197">
        <f>IF(U136="","",$B136*'AEO 2017_Table 13'!W$36/'AEO 2017_Table 13'!$C$36)</f>
        <v>0.44774081785979869</v>
      </c>
      <c r="W136" s="197">
        <f>IF(V136="","",$B136*'AEO 2017_Table 13'!X$36/'AEO 2017_Table 13'!$C$36)</f>
        <v>0.45252596057309297</v>
      </c>
      <c r="X136" s="197">
        <f>IF(W136="","",$B136*'AEO 2017_Table 13'!Y$36/'AEO 2017_Table 13'!$C$36)</f>
        <v>0.45675001075695093</v>
      </c>
      <c r="Y136" s="197">
        <f>IF(X136="","",$B136*'AEO 2017_Table 13'!Z$36/'AEO 2017_Table 13'!$C$36)</f>
        <v>0.46108461210778817</v>
      </c>
      <c r="Z136" s="197">
        <f>IF(Y136="","",$B136*'AEO 2017_Table 13'!AA$36/'AEO 2017_Table 13'!$C$36)</f>
        <v>0.46667157690237737</v>
      </c>
      <c r="AA136" s="197">
        <f>IF(Z136="","",$B136*'AEO 2017_Table 13'!AB$36/'AEO 2017_Table 13'!$C$36)</f>
        <v>0.46974160964875189</v>
      </c>
      <c r="AB136" s="197">
        <f>IF(AA136="","",$B136*'AEO 2017_Table 13'!AC$36/'AEO 2017_Table 13'!$C$36)</f>
        <v>0.47289328502420591</v>
      </c>
      <c r="AC136" s="197">
        <f>IF(AB136="","",$B136*'AEO 2017_Table 13'!AD$36/'AEO 2017_Table 13'!$C$36)</f>
        <v>0.47514164356056177</v>
      </c>
      <c r="AD136" s="197">
        <f>IF(AC136="","",$B136*'AEO 2017_Table 13'!AE$36/'AEO 2017_Table 13'!$C$36)</f>
        <v>0.47822792986247759</v>
      </c>
      <c r="AE136" s="197">
        <f>IF(AD136="","",$B136*'AEO 2017_Table 13'!AF$36/'AEO 2017_Table 13'!$C$36)</f>
        <v>0.482633093235803</v>
      </c>
      <c r="AF136" s="197">
        <f>IF(AE136="","",$B136*'AEO 2017_Table 13'!AG$36/'AEO 2017_Table 13'!$C$36)</f>
        <v>0.48710950835814315</v>
      </c>
      <c r="AG136" s="197">
        <f>IF(AF136="","",$B136*'AEO 2017_Table 13'!AH$36/'AEO 2017_Table 13'!$C$36)</f>
        <v>0.49097779460073987</v>
      </c>
      <c r="AH136" s="197">
        <f>IF(AG136="","",$B136*'AEO 2017_Table 13'!AI$36/'AEO 2017_Table 13'!$C$36)</f>
        <v>0.4949895889430464</v>
      </c>
      <c r="AI136" s="197">
        <f>IF(AH136="","",$B136*'AEO 2017_Table 13'!AJ$36/'AEO 2017_Table 13'!$C$36)</f>
        <v>0.4981233464228621</v>
      </c>
      <c r="AJ136" s="197">
        <f>IF(AI136="","",$B136*'AEO 2017_Table 13'!AK$36/'AEO 2017_Table 13'!$C$36)</f>
        <v>0.50131664529479447</v>
      </c>
      <c r="AK136" s="197">
        <f>IF(AJ136="","",$B136*'AEO 2017_Table 13'!AL$36/'AEO 2017_Table 13'!$C$36)</f>
        <v>0.50571446158120548</v>
      </c>
    </row>
    <row r="137" spans="1:37" x14ac:dyDescent="0.25">
      <c r="A137" s="209" t="s">
        <v>1491</v>
      </c>
      <c r="B137" s="193"/>
      <c r="C137" s="193" t="str">
        <f>IF(B137="","",$B137*'AEO 2017_Table 13'!D$36/'AEO 2017_Table 13'!$C$36)</f>
        <v/>
      </c>
      <c r="D137" s="193" t="str">
        <f>IF(C137="","",$B137*'AEO 2017_Table 13'!E$36/'AEO 2017_Table 13'!$C$36)</f>
        <v/>
      </c>
      <c r="E137" s="193" t="str">
        <f>IF(D137="","",$B137*'AEO 2017_Table 13'!F$36/'AEO 2017_Table 13'!$C$36)</f>
        <v/>
      </c>
      <c r="F137" s="193" t="str">
        <f>IF(E137="","",$B137*'AEO 2017_Table 13'!G$36/'AEO 2017_Table 13'!$C$36)</f>
        <v/>
      </c>
      <c r="G137" s="193" t="str">
        <f>IF(F137="","",$B137*'AEO 2017_Table 13'!H$36/'AEO 2017_Table 13'!$C$36)</f>
        <v/>
      </c>
      <c r="H137" s="193" t="str">
        <f>IF(G137="","",$B137*'AEO 2017_Table 13'!I$36/'AEO 2017_Table 13'!$C$36)</f>
        <v/>
      </c>
      <c r="I137" s="193" t="str">
        <f>IF(H137="","",$B137*'AEO 2017_Table 13'!J$36/'AEO 2017_Table 13'!$C$36)</f>
        <v/>
      </c>
      <c r="J137" s="193" t="str">
        <f>IF(I137="","",$B137*'AEO 2017_Table 13'!K$36/'AEO 2017_Table 13'!$C$36)</f>
        <v/>
      </c>
      <c r="K137" s="193" t="str">
        <f>IF(J137="","",$B137*'AEO 2017_Table 13'!L$36/'AEO 2017_Table 13'!$C$36)</f>
        <v/>
      </c>
      <c r="L137" s="193" t="str">
        <f>IF(K137="","",$B137*'AEO 2017_Table 13'!M$36/'AEO 2017_Table 13'!$C$36)</f>
        <v/>
      </c>
      <c r="M137" s="193" t="str">
        <f>IF(L137="","",$B137*'AEO 2017_Table 13'!N$36/'AEO 2017_Table 13'!$C$36)</f>
        <v/>
      </c>
      <c r="N137" s="193" t="str">
        <f>IF(M137="","",$B137*'AEO 2017_Table 13'!O$36/'AEO 2017_Table 13'!$C$36)</f>
        <v/>
      </c>
      <c r="O137" s="193" t="str">
        <f>IF(N137="","",$B137*'AEO 2017_Table 13'!P$36/'AEO 2017_Table 13'!$C$36)</f>
        <v/>
      </c>
      <c r="P137" s="193" t="str">
        <f>IF(O137="","",$B137*'AEO 2017_Table 13'!Q$36/'AEO 2017_Table 13'!$C$36)</f>
        <v/>
      </c>
      <c r="Q137" s="193" t="str">
        <f>IF(P137="","",$B137*'AEO 2017_Table 13'!R$36/'AEO 2017_Table 13'!$C$36)</f>
        <v/>
      </c>
      <c r="R137" s="193" t="str">
        <f>IF(Q137="","",$B137*'AEO 2017_Table 13'!S$36/'AEO 2017_Table 13'!$C$36)</f>
        <v/>
      </c>
      <c r="S137" s="193" t="str">
        <f>IF(R137="","",$B137*'AEO 2017_Table 13'!T$36/'AEO 2017_Table 13'!$C$36)</f>
        <v/>
      </c>
      <c r="T137" s="193" t="str">
        <f>IF(S137="","",$B137*'AEO 2017_Table 13'!U$36/'AEO 2017_Table 13'!$C$36)</f>
        <v/>
      </c>
      <c r="U137" s="193" t="str">
        <f>IF(T137="","",$B137*'AEO 2017_Table 13'!V$36/'AEO 2017_Table 13'!$C$36)</f>
        <v/>
      </c>
      <c r="V137" s="193" t="str">
        <f>IF(U137="","",$B137*'AEO 2017_Table 13'!W$36/'AEO 2017_Table 13'!$C$36)</f>
        <v/>
      </c>
      <c r="W137" s="193" t="str">
        <f>IF(V137="","",$B137*'AEO 2017_Table 13'!X$36/'AEO 2017_Table 13'!$C$36)</f>
        <v/>
      </c>
      <c r="X137" s="193" t="str">
        <f>IF(W137="","",$B137*'AEO 2017_Table 13'!Y$36/'AEO 2017_Table 13'!$C$36)</f>
        <v/>
      </c>
      <c r="Y137" s="193" t="str">
        <f>IF(X137="","",$B137*'AEO 2017_Table 13'!Z$36/'AEO 2017_Table 13'!$C$36)</f>
        <v/>
      </c>
      <c r="Z137" s="193" t="str">
        <f>IF(Y137="","",$B137*'AEO 2017_Table 13'!AA$36/'AEO 2017_Table 13'!$C$36)</f>
        <v/>
      </c>
      <c r="AA137" s="193" t="str">
        <f>IF(Z137="","",$B137*'AEO 2017_Table 13'!AB$36/'AEO 2017_Table 13'!$C$36)</f>
        <v/>
      </c>
      <c r="AB137" s="193" t="str">
        <f>IF(AA137="","",$B137*'AEO 2017_Table 13'!AC$36/'AEO 2017_Table 13'!$C$36)</f>
        <v/>
      </c>
      <c r="AC137" s="193" t="str">
        <f>IF(AB137="","",$B137*'AEO 2017_Table 13'!AD$36/'AEO 2017_Table 13'!$C$36)</f>
        <v/>
      </c>
      <c r="AD137" s="193" t="str">
        <f>IF(AC137="","",$B137*'AEO 2017_Table 13'!AE$36/'AEO 2017_Table 13'!$C$36)</f>
        <v/>
      </c>
      <c r="AE137" s="193" t="str">
        <f>IF(AD137="","",$B137*'AEO 2017_Table 13'!AF$36/'AEO 2017_Table 13'!$C$36)</f>
        <v/>
      </c>
      <c r="AF137" s="193" t="str">
        <f>IF(AE137="","",$B137*'AEO 2017_Table 13'!AG$36/'AEO 2017_Table 13'!$C$36)</f>
        <v/>
      </c>
      <c r="AG137" s="193" t="str">
        <f>IF(AF137="","",$B137*'AEO 2017_Table 13'!AH$36/'AEO 2017_Table 13'!$C$36)</f>
        <v/>
      </c>
      <c r="AH137" s="193" t="str">
        <f>IF(AG137="","",$B137*'AEO 2017_Table 13'!AI$36/'AEO 2017_Table 13'!$C$36)</f>
        <v/>
      </c>
      <c r="AI137" s="193" t="str">
        <f>IF(AH137="","",$B137*'AEO 2017_Table 13'!AJ$36/'AEO 2017_Table 13'!$C$36)</f>
        <v/>
      </c>
      <c r="AJ137" s="193" t="str">
        <f>IF(AI137="","",$B137*'AEO 2017_Table 13'!AK$36/'AEO 2017_Table 13'!$C$36)</f>
        <v/>
      </c>
      <c r="AK137" s="193" t="str">
        <f>IF(AJ137="","",$B137*'AEO 2017_Table 13'!AL$36/'AEO 2017_Table 13'!$C$36)</f>
        <v/>
      </c>
    </row>
    <row r="138" spans="1:37" x14ac:dyDescent="0.25">
      <c r="A138" s="219" t="s">
        <v>1492</v>
      </c>
      <c r="B138" s="220">
        <v>183.63994080299997</v>
      </c>
      <c r="C138" s="220">
        <f>IF(B138="","",$B138*'AEO 2017_Table 13'!D$36/'AEO 2017_Table 13'!$C$36)</f>
        <v>186.25819264276532</v>
      </c>
      <c r="D138" s="220">
        <f>IF(C138="","",$B138*'AEO 2017_Table 13'!E$36/'AEO 2017_Table 13'!$C$36)</f>
        <v>187.40905186411436</v>
      </c>
      <c r="E138" s="220">
        <f>IF(D138="","",$B138*'AEO 2017_Table 13'!F$36/'AEO 2017_Table 13'!$C$36)</f>
        <v>189.36485971383192</v>
      </c>
      <c r="F138" s="220">
        <f>IF(E138="","",$B138*'AEO 2017_Table 13'!G$36/'AEO 2017_Table 13'!$C$36)</f>
        <v>187.10033892561566</v>
      </c>
      <c r="G138" s="220">
        <f>IF(F138="","",$B138*'AEO 2017_Table 13'!H$36/'AEO 2017_Table 13'!$C$36)</f>
        <v>184.12945978232645</v>
      </c>
      <c r="H138" s="220">
        <f>IF(G138="","",$B138*'AEO 2017_Table 13'!I$36/'AEO 2017_Table 13'!$C$36)</f>
        <v>183.11369528115364</v>
      </c>
      <c r="I138" s="220">
        <f>IF(H138="","",$B138*'AEO 2017_Table 13'!J$36/'AEO 2017_Table 13'!$C$36)</f>
        <v>183.50262512643167</v>
      </c>
      <c r="J138" s="220">
        <f>IF(I138="","",$B138*'AEO 2017_Table 13'!K$36/'AEO 2017_Table 13'!$C$36)</f>
        <v>185.04701762994415</v>
      </c>
      <c r="K138" s="220">
        <f>IF(J138="","",$B138*'AEO 2017_Table 13'!L$36/'AEO 2017_Table 13'!$C$36)</f>
        <v>186.58111297200244</v>
      </c>
      <c r="L138" s="220">
        <f>IF(K138="","",$B138*'AEO 2017_Table 13'!M$36/'AEO 2017_Table 13'!$C$36)</f>
        <v>189.06139630862356</v>
      </c>
      <c r="M138" s="220">
        <f>IF(L138="","",$B138*'AEO 2017_Table 13'!N$36/'AEO 2017_Table 13'!$C$36)</f>
        <v>191.03948102397075</v>
      </c>
      <c r="N138" s="220">
        <f>IF(M138="","",$B138*'AEO 2017_Table 13'!O$36/'AEO 2017_Table 13'!$C$36)</f>
        <v>191.35561734095572</v>
      </c>
      <c r="O138" s="220">
        <f>IF(N138="","",$B138*'AEO 2017_Table 13'!P$36/'AEO 2017_Table 13'!$C$36)</f>
        <v>191.98910813585584</v>
      </c>
      <c r="P138" s="220">
        <f>IF(O138="","",$B138*'AEO 2017_Table 13'!Q$36/'AEO 2017_Table 13'!$C$36)</f>
        <v>192.34524185841087</v>
      </c>
      <c r="Q138" s="220">
        <f>IF(P138="","",$B138*'AEO 2017_Table 13'!R$36/'AEO 2017_Table 13'!$C$36)</f>
        <v>192.52569793035258</v>
      </c>
      <c r="R138" s="220">
        <f>IF(Q138="","",$B138*'AEO 2017_Table 13'!S$36/'AEO 2017_Table 13'!$C$36)</f>
        <v>193.20514906222692</v>
      </c>
      <c r="S138" s="220">
        <f>IF(R138="","",$B138*'AEO 2017_Table 13'!T$36/'AEO 2017_Table 13'!$C$36)</f>
        <v>194.51053973726837</v>
      </c>
      <c r="T138" s="220">
        <f>IF(S138="","",$B138*'AEO 2017_Table 13'!U$36/'AEO 2017_Table 13'!$C$36)</f>
        <v>195.76173907634316</v>
      </c>
      <c r="U138" s="220">
        <f>IF(T138="","",$B138*'AEO 2017_Table 13'!V$36/'AEO 2017_Table 13'!$C$36)</f>
        <v>198.11213011488221</v>
      </c>
      <c r="V138" s="220">
        <f>IF(U138="","",$B138*'AEO 2017_Table 13'!W$36/'AEO 2017_Table 13'!$C$36)</f>
        <v>200.97113362754868</v>
      </c>
      <c r="W138" s="220">
        <f>IF(V138="","",$B138*'AEO 2017_Table 13'!X$36/'AEO 2017_Table 13'!$C$36)</f>
        <v>203.11897344313027</v>
      </c>
      <c r="X138" s="220">
        <f>IF(W138="","",$B138*'AEO 2017_Table 13'!Y$36/'AEO 2017_Table 13'!$C$36)</f>
        <v>205.01496353402123</v>
      </c>
      <c r="Y138" s="220">
        <f>IF(X138="","",$B138*'AEO 2017_Table 13'!Z$36/'AEO 2017_Table 13'!$C$36)</f>
        <v>206.96057517484789</v>
      </c>
      <c r="Z138" s="220">
        <f>IF(Y138="","",$B138*'AEO 2017_Table 13'!AA$36/'AEO 2017_Table 13'!$C$36)</f>
        <v>209.46831760868017</v>
      </c>
      <c r="AA138" s="220">
        <f>IF(Z138="","",$B138*'AEO 2017_Table 13'!AB$36/'AEO 2017_Table 13'!$C$36)</f>
        <v>210.84632009740076</v>
      </c>
      <c r="AB138" s="220">
        <f>IF(AA138="","",$B138*'AEO 2017_Table 13'!AC$36/'AEO 2017_Table 13'!$C$36)</f>
        <v>212.26096836659062</v>
      </c>
      <c r="AC138" s="220">
        <f>IF(AB138="","",$B138*'AEO 2017_Table 13'!AD$36/'AEO 2017_Table 13'!$C$36)</f>
        <v>213.27015749080869</v>
      </c>
      <c r="AD138" s="220">
        <f>IF(AC138="","",$B138*'AEO 2017_Table 13'!AE$36/'AEO 2017_Table 13'!$C$36)</f>
        <v>214.65545548476874</v>
      </c>
      <c r="AE138" s="220">
        <f>IF(AD138="","",$B138*'AEO 2017_Table 13'!AF$36/'AEO 2017_Table 13'!$C$36)</f>
        <v>216.63273930978056</v>
      </c>
      <c r="AF138" s="220">
        <f>IF(AE138="","",$B138*'AEO 2017_Table 13'!AG$36/'AEO 2017_Table 13'!$C$36)</f>
        <v>218.64200490683834</v>
      </c>
      <c r="AG138" s="220">
        <f>IF(AF138="","",$B138*'AEO 2017_Table 13'!AH$36/'AEO 2017_Table 13'!$C$36)</f>
        <v>220.37830823313894</v>
      </c>
      <c r="AH138" s="220">
        <f>IF(AG138="","",$B138*'AEO 2017_Table 13'!AI$36/'AEO 2017_Table 13'!$C$36)</f>
        <v>222.17902602498069</v>
      </c>
      <c r="AI138" s="220">
        <f>IF(AH138="","",$B138*'AEO 2017_Table 13'!AJ$36/'AEO 2017_Table 13'!$C$36)</f>
        <v>223.58563173996285</v>
      </c>
      <c r="AJ138" s="220">
        <f>IF(AI138="","",$B138*'AEO 2017_Table 13'!AK$36/'AEO 2017_Table 13'!$C$36)</f>
        <v>225.01896296352976</v>
      </c>
      <c r="AK138" s="220">
        <f>IF(AJ138="","",$B138*'AEO 2017_Table 13'!AL$36/'AEO 2017_Table 13'!$C$36)</f>
        <v>226.99294900480788</v>
      </c>
    </row>
    <row r="139" spans="1:37" x14ac:dyDescent="0.25">
      <c r="A139" s="209" t="s">
        <v>1493</v>
      </c>
      <c r="B139" s="193"/>
      <c r="C139" s="193" t="str">
        <f>IF(B139="","",$B139*'AEO 2017_Table 13'!D$36/'AEO 2017_Table 13'!$C$36)</f>
        <v/>
      </c>
      <c r="D139" s="193" t="str">
        <f>IF(C139="","",$B139*'AEO 2017_Table 13'!E$36/'AEO 2017_Table 13'!$C$36)</f>
        <v/>
      </c>
      <c r="E139" s="193" t="str">
        <f>IF(D139="","",$B139*'AEO 2017_Table 13'!F$36/'AEO 2017_Table 13'!$C$36)</f>
        <v/>
      </c>
      <c r="F139" s="193" t="str">
        <f>IF(E139="","",$B139*'AEO 2017_Table 13'!G$36/'AEO 2017_Table 13'!$C$36)</f>
        <v/>
      </c>
      <c r="G139" s="193" t="str">
        <f>IF(F139="","",$B139*'AEO 2017_Table 13'!H$36/'AEO 2017_Table 13'!$C$36)</f>
        <v/>
      </c>
      <c r="H139" s="193" t="str">
        <f>IF(G139="","",$B139*'AEO 2017_Table 13'!I$36/'AEO 2017_Table 13'!$C$36)</f>
        <v/>
      </c>
      <c r="I139" s="193" t="str">
        <f>IF(H139="","",$B139*'AEO 2017_Table 13'!J$36/'AEO 2017_Table 13'!$C$36)</f>
        <v/>
      </c>
      <c r="J139" s="193" t="str">
        <f>IF(I139="","",$B139*'AEO 2017_Table 13'!K$36/'AEO 2017_Table 13'!$C$36)</f>
        <v/>
      </c>
      <c r="K139" s="193" t="str">
        <f>IF(J139="","",$B139*'AEO 2017_Table 13'!L$36/'AEO 2017_Table 13'!$C$36)</f>
        <v/>
      </c>
      <c r="L139" s="193" t="str">
        <f>IF(K139="","",$B139*'AEO 2017_Table 13'!M$36/'AEO 2017_Table 13'!$C$36)</f>
        <v/>
      </c>
      <c r="M139" s="193" t="str">
        <f>IF(L139="","",$B139*'AEO 2017_Table 13'!N$36/'AEO 2017_Table 13'!$C$36)</f>
        <v/>
      </c>
      <c r="N139" s="193" t="str">
        <f>IF(M139="","",$B139*'AEO 2017_Table 13'!O$36/'AEO 2017_Table 13'!$C$36)</f>
        <v/>
      </c>
      <c r="O139" s="193" t="str">
        <f>IF(N139="","",$B139*'AEO 2017_Table 13'!P$36/'AEO 2017_Table 13'!$C$36)</f>
        <v/>
      </c>
      <c r="P139" s="193" t="str">
        <f>IF(O139="","",$B139*'AEO 2017_Table 13'!Q$36/'AEO 2017_Table 13'!$C$36)</f>
        <v/>
      </c>
      <c r="Q139" s="193" t="str">
        <f>IF(P139="","",$B139*'AEO 2017_Table 13'!R$36/'AEO 2017_Table 13'!$C$36)</f>
        <v/>
      </c>
      <c r="R139" s="193" t="str">
        <f>IF(Q139="","",$B139*'AEO 2017_Table 13'!S$36/'AEO 2017_Table 13'!$C$36)</f>
        <v/>
      </c>
      <c r="S139" s="193" t="str">
        <f>IF(R139="","",$B139*'AEO 2017_Table 13'!T$36/'AEO 2017_Table 13'!$C$36)</f>
        <v/>
      </c>
      <c r="T139" s="193" t="str">
        <f>IF(S139="","",$B139*'AEO 2017_Table 13'!U$36/'AEO 2017_Table 13'!$C$36)</f>
        <v/>
      </c>
      <c r="U139" s="193" t="str">
        <f>IF(T139="","",$B139*'AEO 2017_Table 13'!V$36/'AEO 2017_Table 13'!$C$36)</f>
        <v/>
      </c>
      <c r="V139" s="193" t="str">
        <f>IF(U139="","",$B139*'AEO 2017_Table 13'!W$36/'AEO 2017_Table 13'!$C$36)</f>
        <v/>
      </c>
      <c r="W139" s="193" t="str">
        <f>IF(V139="","",$B139*'AEO 2017_Table 13'!X$36/'AEO 2017_Table 13'!$C$36)</f>
        <v/>
      </c>
      <c r="X139" s="193" t="str">
        <f>IF(W139="","",$B139*'AEO 2017_Table 13'!Y$36/'AEO 2017_Table 13'!$C$36)</f>
        <v/>
      </c>
      <c r="Y139" s="193" t="str">
        <f>IF(X139="","",$B139*'AEO 2017_Table 13'!Z$36/'AEO 2017_Table 13'!$C$36)</f>
        <v/>
      </c>
      <c r="Z139" s="193" t="str">
        <f>IF(Y139="","",$B139*'AEO 2017_Table 13'!AA$36/'AEO 2017_Table 13'!$C$36)</f>
        <v/>
      </c>
      <c r="AA139" s="193" t="str">
        <f>IF(Z139="","",$B139*'AEO 2017_Table 13'!AB$36/'AEO 2017_Table 13'!$C$36)</f>
        <v/>
      </c>
      <c r="AB139" s="193" t="str">
        <f>IF(AA139="","",$B139*'AEO 2017_Table 13'!AC$36/'AEO 2017_Table 13'!$C$36)</f>
        <v/>
      </c>
      <c r="AC139" s="193" t="str">
        <f>IF(AB139="","",$B139*'AEO 2017_Table 13'!AD$36/'AEO 2017_Table 13'!$C$36)</f>
        <v/>
      </c>
      <c r="AD139" s="193" t="str">
        <f>IF(AC139="","",$B139*'AEO 2017_Table 13'!AE$36/'AEO 2017_Table 13'!$C$36)</f>
        <v/>
      </c>
      <c r="AE139" s="193" t="str">
        <f>IF(AD139="","",$B139*'AEO 2017_Table 13'!AF$36/'AEO 2017_Table 13'!$C$36)</f>
        <v/>
      </c>
      <c r="AF139" s="193" t="str">
        <f>IF(AE139="","",$B139*'AEO 2017_Table 13'!AG$36/'AEO 2017_Table 13'!$C$36)</f>
        <v/>
      </c>
      <c r="AG139" s="193" t="str">
        <f>IF(AF139="","",$B139*'AEO 2017_Table 13'!AH$36/'AEO 2017_Table 13'!$C$36)</f>
        <v/>
      </c>
      <c r="AH139" s="193" t="str">
        <f>IF(AG139="","",$B139*'AEO 2017_Table 13'!AI$36/'AEO 2017_Table 13'!$C$36)</f>
        <v/>
      </c>
      <c r="AI139" s="193" t="str">
        <f>IF(AH139="","",$B139*'AEO 2017_Table 13'!AJ$36/'AEO 2017_Table 13'!$C$36)</f>
        <v/>
      </c>
      <c r="AJ139" s="193" t="str">
        <f>IF(AI139="","",$B139*'AEO 2017_Table 13'!AK$36/'AEO 2017_Table 13'!$C$36)</f>
        <v/>
      </c>
      <c r="AK139" s="193" t="str">
        <f>IF(AJ139="","",$B139*'AEO 2017_Table 13'!AL$36/'AEO 2017_Table 13'!$C$36)</f>
        <v/>
      </c>
    </row>
    <row r="140" spans="1:37" x14ac:dyDescent="0.25">
      <c r="A140" s="215" t="s">
        <v>1494</v>
      </c>
      <c r="B140" s="195">
        <v>153.96554321279999</v>
      </c>
      <c r="C140" s="195">
        <f>IF(B140="","",$B140*'AEO 2017_Table 13'!D$36/'AEO 2017_Table 13'!$C$36)</f>
        <v>156.16071145895961</v>
      </c>
      <c r="D140" s="195">
        <f>IF(C140="","",$B140*'AEO 2017_Table 13'!E$36/'AEO 2017_Table 13'!$C$36)</f>
        <v>157.1256032161757</v>
      </c>
      <c r="E140" s="195">
        <f>IF(D140="","",$B140*'AEO 2017_Table 13'!F$36/'AEO 2017_Table 13'!$C$36)</f>
        <v>158.76537186718315</v>
      </c>
      <c r="F140" s="195">
        <f>IF(E140="","",$B140*'AEO 2017_Table 13'!G$36/'AEO 2017_Table 13'!$C$36)</f>
        <v>156.86677523428392</v>
      </c>
      <c r="G140" s="195">
        <f>IF(F140="","",$B140*'AEO 2017_Table 13'!H$36/'AEO 2017_Table 13'!$C$36)</f>
        <v>154.37596076812812</v>
      </c>
      <c r="H140" s="195">
        <f>IF(G140="","",$B140*'AEO 2017_Table 13'!I$36/'AEO 2017_Table 13'!$C$36)</f>
        <v>153.52433376086876</v>
      </c>
      <c r="I140" s="195">
        <f>IF(H140="","",$B140*'AEO 2017_Table 13'!J$36/'AEO 2017_Table 13'!$C$36)</f>
        <v>153.8504163910311</v>
      </c>
      <c r="J140" s="195">
        <f>IF(I140="","",$B140*'AEO 2017_Table 13'!K$36/'AEO 2017_Table 13'!$C$36)</f>
        <v>155.14525034543843</v>
      </c>
      <c r="K140" s="195">
        <f>IF(J140="","",$B140*'AEO 2017_Table 13'!L$36/'AEO 2017_Table 13'!$C$36)</f>
        <v>156.43145105780749</v>
      </c>
      <c r="L140" s="195">
        <f>IF(K140="","",$B140*'AEO 2017_Table 13'!M$36/'AEO 2017_Table 13'!$C$36)</f>
        <v>158.51094514593831</v>
      </c>
      <c r="M140" s="195">
        <f>IF(L140="","",$B140*'AEO 2017_Table 13'!N$36/'AEO 2017_Table 13'!$C$36)</f>
        <v>160.16939094148603</v>
      </c>
      <c r="N140" s="195">
        <f>IF(M140="","",$B140*'AEO 2017_Table 13'!O$36/'AEO 2017_Table 13'!$C$36)</f>
        <v>160.43444275734399</v>
      </c>
      <c r="O140" s="195">
        <f>IF(N140="","",$B140*'AEO 2017_Table 13'!P$36/'AEO 2017_Table 13'!$C$36)</f>
        <v>160.96556770723566</v>
      </c>
      <c r="P140" s="195">
        <f>IF(O140="","",$B140*'AEO 2017_Table 13'!Q$36/'AEO 2017_Table 13'!$C$36)</f>
        <v>161.2641537436383</v>
      </c>
      <c r="Q140" s="195">
        <f>IF(P140="","",$B140*'AEO 2017_Table 13'!R$36/'AEO 2017_Table 13'!$C$36)</f>
        <v>161.41544989969816</v>
      </c>
      <c r="R140" s="195">
        <f>IF(Q140="","",$B140*'AEO 2017_Table 13'!S$36/'AEO 2017_Table 13'!$C$36)</f>
        <v>161.9851084508181</v>
      </c>
      <c r="S140" s="195">
        <f>IF(R140="","",$B140*'AEO 2017_Table 13'!T$36/'AEO 2017_Table 13'!$C$36)</f>
        <v>163.07956090766837</v>
      </c>
      <c r="T140" s="195">
        <f>IF(S140="","",$B140*'AEO 2017_Table 13'!U$36/'AEO 2017_Table 13'!$C$36)</f>
        <v>164.12857881230161</v>
      </c>
      <c r="U140" s="195">
        <f>IF(T140="","",$B140*'AEO 2017_Table 13'!V$36/'AEO 2017_Table 13'!$C$36)</f>
        <v>166.09916991262969</v>
      </c>
      <c r="V140" s="195">
        <f>IF(U140="","",$B140*'AEO 2017_Table 13'!W$36/'AEO 2017_Table 13'!$C$36)</f>
        <v>168.49618674322866</v>
      </c>
      <c r="W140" s="195">
        <f>IF(V140="","",$B140*'AEO 2017_Table 13'!X$36/'AEO 2017_Table 13'!$C$36)</f>
        <v>170.29695689428669</v>
      </c>
      <c r="X140" s="195">
        <f>IF(W140="","",$B140*'AEO 2017_Table 13'!Y$36/'AEO 2017_Table 13'!$C$36)</f>
        <v>171.88657374448633</v>
      </c>
      <c r="Y140" s="195">
        <f>IF(X140="","",$B140*'AEO 2017_Table 13'!Z$36/'AEO 2017_Table 13'!$C$36)</f>
        <v>173.51779379308337</v>
      </c>
      <c r="Z140" s="195">
        <f>IF(Y140="","",$B140*'AEO 2017_Table 13'!AA$36/'AEO 2017_Table 13'!$C$36)</f>
        <v>175.6203098599828</v>
      </c>
      <c r="AA140" s="195">
        <f>IF(Z140="","",$B140*'AEO 2017_Table 13'!AB$36/'AEO 2017_Table 13'!$C$36)</f>
        <v>176.77564077980739</v>
      </c>
      <c r="AB140" s="195">
        <f>IF(AA140="","",$B140*'AEO 2017_Table 13'!AC$36/'AEO 2017_Table 13'!$C$36)</f>
        <v>177.96169588453276</v>
      </c>
      <c r="AC140" s="195">
        <f>IF(AB140="","",$B140*'AEO 2017_Table 13'!AD$36/'AEO 2017_Table 13'!$C$36)</f>
        <v>178.80781003069976</v>
      </c>
      <c r="AD140" s="195">
        <f>IF(AC140="","",$B140*'AEO 2017_Table 13'!AE$36/'AEO 2017_Table 13'!$C$36)</f>
        <v>179.9692575742952</v>
      </c>
      <c r="AE140" s="195">
        <f>IF(AD140="","",$B140*'AEO 2017_Table 13'!AF$36/'AEO 2017_Table 13'!$C$36)</f>
        <v>181.62703189546212</v>
      </c>
      <c r="AF140" s="195">
        <f>IF(AE140="","",$B140*'AEO 2017_Table 13'!AG$36/'AEO 2017_Table 13'!$C$36)</f>
        <v>183.31162005072437</v>
      </c>
      <c r="AG140" s="195">
        <f>IF(AF140="","",$B140*'AEO 2017_Table 13'!AH$36/'AEO 2017_Table 13'!$C$36)</f>
        <v>184.76735393762885</v>
      </c>
      <c r="AH140" s="195">
        <f>IF(AG140="","",$B140*'AEO 2017_Table 13'!AI$36/'AEO 2017_Table 13'!$C$36)</f>
        <v>186.27709354972822</v>
      </c>
      <c r="AI140" s="195">
        <f>IF(AH140="","",$B140*'AEO 2017_Table 13'!AJ$36/'AEO 2017_Table 13'!$C$36)</f>
        <v>187.45640569743676</v>
      </c>
      <c r="AJ140" s="195">
        <f>IF(AI140="","",$B140*'AEO 2017_Table 13'!AK$36/'AEO 2017_Table 13'!$C$36)</f>
        <v>188.65812477595182</v>
      </c>
      <c r="AK140" s="195">
        <f>IF(AJ140="","",$B140*'AEO 2017_Table 13'!AL$36/'AEO 2017_Table 13'!$C$36)</f>
        <v>190.3131342026098</v>
      </c>
    </row>
    <row r="141" spans="1:37" x14ac:dyDescent="0.25">
      <c r="A141" s="208" t="s">
        <v>1495</v>
      </c>
      <c r="B141" s="197">
        <v>29.2899901392</v>
      </c>
      <c r="C141" s="197">
        <f>IF(B141="","",$B141*'AEO 2017_Table 13'!D$36/'AEO 2017_Table 13'!$C$36)</f>
        <v>29.707593032303393</v>
      </c>
      <c r="D141" s="197">
        <f>IF(C141="","",$B141*'AEO 2017_Table 13'!E$36/'AEO 2017_Table 13'!$C$36)</f>
        <v>29.891151440662295</v>
      </c>
      <c r="E141" s="197">
        <f>IF(D141="","",$B141*'AEO 2017_Table 13'!F$36/'AEO 2017_Table 13'!$C$36)</f>
        <v>30.203096611096925</v>
      </c>
      <c r="F141" s="197">
        <f>IF(E141="","",$B141*'AEO 2017_Table 13'!G$36/'AEO 2017_Table 13'!$C$36)</f>
        <v>29.841912702700757</v>
      </c>
      <c r="G141" s="197">
        <f>IF(F141="","",$B141*'AEO 2017_Table 13'!H$36/'AEO 2017_Table 13'!$C$36)</f>
        <v>29.368066869211606</v>
      </c>
      <c r="H141" s="197">
        <f>IF(G141="","",$B141*'AEO 2017_Table 13'!I$36/'AEO 2017_Table 13'!$C$36)</f>
        <v>29.206055641735681</v>
      </c>
      <c r="I141" s="197">
        <f>IF(H141="","",$B141*'AEO 2017_Table 13'!J$36/'AEO 2017_Table 13'!$C$36)</f>
        <v>29.268088722792125</v>
      </c>
      <c r="J141" s="197">
        <f>IF(I141="","",$B141*'AEO 2017_Table 13'!K$36/'AEO 2017_Table 13'!$C$36)</f>
        <v>29.514414445840909</v>
      </c>
      <c r="K141" s="197">
        <f>IF(J141="","",$B141*'AEO 2017_Table 13'!L$36/'AEO 2017_Table 13'!$C$36)</f>
        <v>29.759097804183323</v>
      </c>
      <c r="L141" s="197">
        <f>IF(K141="","",$B141*'AEO 2017_Table 13'!M$36/'AEO 2017_Table 13'!$C$36)</f>
        <v>30.154695157103344</v>
      </c>
      <c r="M141" s="197">
        <f>IF(L141="","",$B141*'AEO 2017_Table 13'!N$36/'AEO 2017_Table 13'!$C$36)</f>
        <v>30.470193417196853</v>
      </c>
      <c r="N141" s="197">
        <f>IF(M141="","",$B141*'AEO 2017_Table 13'!O$36/'AEO 2017_Table 13'!$C$36)</f>
        <v>30.520616160564348</v>
      </c>
      <c r="O141" s="197">
        <f>IF(N141="","",$B141*'AEO 2017_Table 13'!P$36/'AEO 2017_Table 13'!$C$36)</f>
        <v>30.621655940117556</v>
      </c>
      <c r="P141" s="197">
        <f>IF(O141="","",$B141*'AEO 2017_Table 13'!Q$36/'AEO 2017_Table 13'!$C$36)</f>
        <v>30.678458143256268</v>
      </c>
      <c r="Q141" s="197">
        <f>IF(P141="","",$B141*'AEO 2017_Table 13'!R$36/'AEO 2017_Table 13'!$C$36)</f>
        <v>30.707240316375142</v>
      </c>
      <c r="R141" s="197">
        <f>IF(Q141="","",$B141*'AEO 2017_Table 13'!S$36/'AEO 2017_Table 13'!$C$36)</f>
        <v>30.815610624411875</v>
      </c>
      <c r="S141" s="197">
        <f>IF(R141="","",$B141*'AEO 2017_Table 13'!T$36/'AEO 2017_Table 13'!$C$36)</f>
        <v>31.023816311217139</v>
      </c>
      <c r="T141" s="197">
        <f>IF(S141="","",$B141*'AEO 2017_Table 13'!U$36/'AEO 2017_Table 13'!$C$36)</f>
        <v>31.223378651214773</v>
      </c>
      <c r="U141" s="197">
        <f>IF(T141="","",$B141*'AEO 2017_Table 13'!V$36/'AEO 2017_Table 13'!$C$36)</f>
        <v>31.598258593132879</v>
      </c>
      <c r="V141" s="197">
        <f>IF(U141="","",$B141*'AEO 2017_Table 13'!W$36/'AEO 2017_Table 13'!$C$36)</f>
        <v>32.054260617135768</v>
      </c>
      <c r="W141" s="197">
        <f>IF(V141="","",$B141*'AEO 2017_Table 13'!X$36/'AEO 2017_Table 13'!$C$36)</f>
        <v>32.396834279182706</v>
      </c>
      <c r="X141" s="197">
        <f>IF(W141="","",$B141*'AEO 2017_Table 13'!Y$36/'AEO 2017_Table 13'!$C$36)</f>
        <v>32.699238706146616</v>
      </c>
      <c r="Y141" s="197">
        <f>IF(X141="","",$B141*'AEO 2017_Table 13'!Z$36/'AEO 2017_Table 13'!$C$36)</f>
        <v>33.009557613489648</v>
      </c>
      <c r="Z141" s="197">
        <f>IF(Y141="","",$B141*'AEO 2017_Table 13'!AA$36/'AEO 2017_Table 13'!$C$36)</f>
        <v>33.409534605626646</v>
      </c>
      <c r="AA141" s="197">
        <f>IF(Z141="","",$B141*'AEO 2017_Table 13'!AB$36/'AEO 2017_Table 13'!$C$36)</f>
        <v>33.629321647214276</v>
      </c>
      <c r="AB141" s="197">
        <f>IF(AA141="","",$B141*'AEO 2017_Table 13'!AC$36/'AEO 2017_Table 13'!$C$36)</f>
        <v>33.854953574962806</v>
      </c>
      <c r="AC141" s="197">
        <f>IF(AB141="","",$B141*'AEO 2017_Table 13'!AD$36/'AEO 2017_Table 13'!$C$36)</f>
        <v>34.015916050596829</v>
      </c>
      <c r="AD141" s="197">
        <f>IF(AC141="","",$B141*'AEO 2017_Table 13'!AE$36/'AEO 2017_Table 13'!$C$36)</f>
        <v>34.236866702211714</v>
      </c>
      <c r="AE141" s="197">
        <f>IF(AD141="","",$B141*'AEO 2017_Table 13'!AF$36/'AEO 2017_Table 13'!$C$36)</f>
        <v>34.552237222828062</v>
      </c>
      <c r="AF141" s="197">
        <f>IF(AE141="","",$B141*'AEO 2017_Table 13'!AG$36/'AEO 2017_Table 13'!$C$36)</f>
        <v>34.872708735003016</v>
      </c>
      <c r="AG141" s="197">
        <f>IF(AF141="","",$B141*'AEO 2017_Table 13'!AH$36/'AEO 2017_Table 13'!$C$36)</f>
        <v>35.149643627726377</v>
      </c>
      <c r="AH141" s="197">
        <f>IF(AG141="","",$B141*'AEO 2017_Table 13'!AI$36/'AEO 2017_Table 13'!$C$36)</f>
        <v>35.436852424112928</v>
      </c>
      <c r="AI141" s="197">
        <f>IF(AH141="","",$B141*'AEO 2017_Table 13'!AJ$36/'AEO 2017_Table 13'!$C$36)</f>
        <v>35.661201589884918</v>
      </c>
      <c r="AJ141" s="197">
        <f>IF(AI141="","",$B141*'AEO 2017_Table 13'!AK$36/'AEO 2017_Table 13'!$C$36)</f>
        <v>35.889813389806577</v>
      </c>
      <c r="AK141" s="197">
        <f>IF(AJ141="","",$B141*'AEO 2017_Table 13'!AL$36/'AEO 2017_Table 13'!$C$36)</f>
        <v>36.204657924340488</v>
      </c>
    </row>
    <row r="142" spans="1:37" x14ac:dyDescent="0.25">
      <c r="A142" s="221" t="s">
        <v>1496</v>
      </c>
      <c r="B142" s="223"/>
      <c r="C142" s="223" t="str">
        <f>IF(B142="","",$B142*'AEO 2017_Table 13'!D$36/'AEO 2017_Table 13'!$C$36)</f>
        <v/>
      </c>
      <c r="D142" s="223" t="str">
        <f>IF(C142="","",$B142*'AEO 2017_Table 13'!E$36/'AEO 2017_Table 13'!$C$36)</f>
        <v/>
      </c>
      <c r="E142" s="223" t="str">
        <f>IF(D142="","",$B142*'AEO 2017_Table 13'!F$36/'AEO 2017_Table 13'!$C$36)</f>
        <v/>
      </c>
      <c r="F142" s="223" t="str">
        <f>IF(E142="","",$B142*'AEO 2017_Table 13'!G$36/'AEO 2017_Table 13'!$C$36)</f>
        <v/>
      </c>
      <c r="G142" s="223" t="str">
        <f>IF(F142="","",$B142*'AEO 2017_Table 13'!H$36/'AEO 2017_Table 13'!$C$36)</f>
        <v/>
      </c>
      <c r="H142" s="223" t="str">
        <f>IF(G142="","",$B142*'AEO 2017_Table 13'!I$36/'AEO 2017_Table 13'!$C$36)</f>
        <v/>
      </c>
      <c r="I142" s="223" t="str">
        <f>IF(H142="","",$B142*'AEO 2017_Table 13'!J$36/'AEO 2017_Table 13'!$C$36)</f>
        <v/>
      </c>
      <c r="J142" s="223" t="str">
        <f>IF(I142="","",$B142*'AEO 2017_Table 13'!K$36/'AEO 2017_Table 13'!$C$36)</f>
        <v/>
      </c>
      <c r="K142" s="223" t="str">
        <f>IF(J142="","",$B142*'AEO 2017_Table 13'!L$36/'AEO 2017_Table 13'!$C$36)</f>
        <v/>
      </c>
      <c r="L142" s="223" t="str">
        <f>IF(K142="","",$B142*'AEO 2017_Table 13'!M$36/'AEO 2017_Table 13'!$C$36)</f>
        <v/>
      </c>
      <c r="M142" s="223" t="str">
        <f>IF(L142="","",$B142*'AEO 2017_Table 13'!N$36/'AEO 2017_Table 13'!$C$36)</f>
        <v/>
      </c>
      <c r="N142" s="223" t="str">
        <f>IF(M142="","",$B142*'AEO 2017_Table 13'!O$36/'AEO 2017_Table 13'!$C$36)</f>
        <v/>
      </c>
      <c r="O142" s="223" t="str">
        <f>IF(N142="","",$B142*'AEO 2017_Table 13'!P$36/'AEO 2017_Table 13'!$C$36)</f>
        <v/>
      </c>
      <c r="P142" s="223" t="str">
        <f>IF(O142="","",$B142*'AEO 2017_Table 13'!Q$36/'AEO 2017_Table 13'!$C$36)</f>
        <v/>
      </c>
      <c r="Q142" s="223" t="str">
        <f>IF(P142="","",$B142*'AEO 2017_Table 13'!R$36/'AEO 2017_Table 13'!$C$36)</f>
        <v/>
      </c>
      <c r="R142" s="223" t="str">
        <f>IF(Q142="","",$B142*'AEO 2017_Table 13'!S$36/'AEO 2017_Table 13'!$C$36)</f>
        <v/>
      </c>
      <c r="S142" s="223" t="str">
        <f>IF(R142="","",$B142*'AEO 2017_Table 13'!T$36/'AEO 2017_Table 13'!$C$36)</f>
        <v/>
      </c>
      <c r="T142" s="223" t="str">
        <f>IF(S142="","",$B142*'AEO 2017_Table 13'!U$36/'AEO 2017_Table 13'!$C$36)</f>
        <v/>
      </c>
      <c r="U142" s="223" t="str">
        <f>IF(T142="","",$B142*'AEO 2017_Table 13'!V$36/'AEO 2017_Table 13'!$C$36)</f>
        <v/>
      </c>
      <c r="V142" s="223" t="str">
        <f>IF(U142="","",$B142*'AEO 2017_Table 13'!W$36/'AEO 2017_Table 13'!$C$36)</f>
        <v/>
      </c>
      <c r="W142" s="223" t="str">
        <f>IF(V142="","",$B142*'AEO 2017_Table 13'!X$36/'AEO 2017_Table 13'!$C$36)</f>
        <v/>
      </c>
      <c r="X142" s="223" t="str">
        <f>IF(W142="","",$B142*'AEO 2017_Table 13'!Y$36/'AEO 2017_Table 13'!$C$36)</f>
        <v/>
      </c>
      <c r="Y142" s="223" t="str">
        <f>IF(X142="","",$B142*'AEO 2017_Table 13'!Z$36/'AEO 2017_Table 13'!$C$36)</f>
        <v/>
      </c>
      <c r="Z142" s="223" t="str">
        <f>IF(Y142="","",$B142*'AEO 2017_Table 13'!AA$36/'AEO 2017_Table 13'!$C$36)</f>
        <v/>
      </c>
      <c r="AA142" s="223" t="str">
        <f>IF(Z142="","",$B142*'AEO 2017_Table 13'!AB$36/'AEO 2017_Table 13'!$C$36)</f>
        <v/>
      </c>
      <c r="AB142" s="223" t="str">
        <f>IF(AA142="","",$B142*'AEO 2017_Table 13'!AC$36/'AEO 2017_Table 13'!$C$36)</f>
        <v/>
      </c>
      <c r="AC142" s="223" t="str">
        <f>IF(AB142="","",$B142*'AEO 2017_Table 13'!AD$36/'AEO 2017_Table 13'!$C$36)</f>
        <v/>
      </c>
      <c r="AD142" s="223" t="str">
        <f>IF(AC142="","",$B142*'AEO 2017_Table 13'!AE$36/'AEO 2017_Table 13'!$C$36)</f>
        <v/>
      </c>
      <c r="AE142" s="223" t="str">
        <f>IF(AD142="","",$B142*'AEO 2017_Table 13'!AF$36/'AEO 2017_Table 13'!$C$36)</f>
        <v/>
      </c>
      <c r="AF142" s="223" t="str">
        <f>IF(AE142="","",$B142*'AEO 2017_Table 13'!AG$36/'AEO 2017_Table 13'!$C$36)</f>
        <v/>
      </c>
      <c r="AG142" s="223" t="str">
        <f>IF(AF142="","",$B142*'AEO 2017_Table 13'!AH$36/'AEO 2017_Table 13'!$C$36)</f>
        <v/>
      </c>
      <c r="AH142" s="223" t="str">
        <f>IF(AG142="","",$B142*'AEO 2017_Table 13'!AI$36/'AEO 2017_Table 13'!$C$36)</f>
        <v/>
      </c>
      <c r="AI142" s="223" t="str">
        <f>IF(AH142="","",$B142*'AEO 2017_Table 13'!AJ$36/'AEO 2017_Table 13'!$C$36)</f>
        <v/>
      </c>
      <c r="AJ142" s="223" t="str">
        <f>IF(AI142="","",$B142*'AEO 2017_Table 13'!AK$36/'AEO 2017_Table 13'!$C$36)</f>
        <v/>
      </c>
      <c r="AK142" s="223" t="str">
        <f>IF(AJ142="","",$B142*'AEO 2017_Table 13'!AL$36/'AEO 2017_Table 13'!$C$36)</f>
        <v/>
      </c>
    </row>
    <row r="143" spans="1:37" x14ac:dyDescent="0.25">
      <c r="A143" s="215" t="s">
        <v>1497</v>
      </c>
      <c r="B143" s="195">
        <v>10.622754086418</v>
      </c>
      <c r="C143" s="195">
        <f>IF(B143="","",$B143*'AEO 2017_Table 13'!D$36/'AEO 2017_Table 13'!$C$36)</f>
        <v>10.774208314232064</v>
      </c>
      <c r="D143" s="195">
        <f>IF(C143="","",$B143*'AEO 2017_Table 13'!E$36/'AEO 2017_Table 13'!$C$36)</f>
        <v>10.840780403304953</v>
      </c>
      <c r="E143" s="195">
        <f>IF(D143="","",$B143*'AEO 2017_Table 13'!F$36/'AEO 2017_Table 13'!$C$36)</f>
        <v>10.953915191614012</v>
      </c>
      <c r="F143" s="195">
        <f>IF(E143="","",$B143*'AEO 2017_Table 13'!G$36/'AEO 2017_Table 13'!$C$36)</f>
        <v>10.822922732393998</v>
      </c>
      <c r="G143" s="195">
        <f>IF(F143="","",$B143*'AEO 2017_Table 13'!H$36/'AEO 2017_Table 13'!$C$36)</f>
        <v>10.651070582901726</v>
      </c>
      <c r="H143" s="195">
        <f>IF(G143="","",$B143*'AEO 2017_Table 13'!I$36/'AEO 2017_Table 13'!$C$36)</f>
        <v>10.592313122740883</v>
      </c>
      <c r="I143" s="195">
        <f>IF(H143="","",$B143*'AEO 2017_Table 13'!J$36/'AEO 2017_Table 13'!$C$36)</f>
        <v>10.614810985053357</v>
      </c>
      <c r="J143" s="195">
        <f>IF(I143="","",$B143*'AEO 2017_Table 13'!K$36/'AEO 2017_Table 13'!$C$36)</f>
        <v>10.704147224795014</v>
      </c>
      <c r="K143" s="195">
        <f>IF(J143="","",$B143*'AEO 2017_Table 13'!L$36/'AEO 2017_Table 13'!$C$36)</f>
        <v>10.792887819529177</v>
      </c>
      <c r="L143" s="195">
        <f>IF(K143="","",$B143*'AEO 2017_Table 13'!M$36/'AEO 2017_Table 13'!$C$36)</f>
        <v>10.936361182863742</v>
      </c>
      <c r="M143" s="195">
        <f>IF(L143="","",$B143*'AEO 2017_Table 13'!N$36/'AEO 2017_Table 13'!$C$36)</f>
        <v>11.050784588803394</v>
      </c>
      <c r="N143" s="195">
        <f>IF(M143="","",$B143*'AEO 2017_Table 13'!O$36/'AEO 2017_Table 13'!$C$36)</f>
        <v>11.06907166915439</v>
      </c>
      <c r="O143" s="195">
        <f>IF(N143="","",$B143*'AEO 2017_Table 13'!P$36/'AEO 2017_Table 13'!$C$36)</f>
        <v>11.105716295050087</v>
      </c>
      <c r="P143" s="195">
        <f>IF(O143="","",$B143*'AEO 2017_Table 13'!Q$36/'AEO 2017_Table 13'!$C$36)</f>
        <v>11.126317047479215</v>
      </c>
      <c r="Q143" s="195">
        <f>IF(P143="","",$B143*'AEO 2017_Table 13'!R$36/'AEO 2017_Table 13'!$C$36)</f>
        <v>11.136755628907938</v>
      </c>
      <c r="R143" s="195">
        <f>IF(Q143="","",$B143*'AEO 2017_Table 13'!S$36/'AEO 2017_Table 13'!$C$36)</f>
        <v>11.176058855951462</v>
      </c>
      <c r="S143" s="195">
        <f>IF(R143="","",$B143*'AEO 2017_Table 13'!T$36/'AEO 2017_Table 13'!$C$36)</f>
        <v>11.251569902551854</v>
      </c>
      <c r="T143" s="195">
        <f>IF(S143="","",$B143*'AEO 2017_Table 13'!U$36/'AEO 2017_Table 13'!$C$36)</f>
        <v>11.323946221308884</v>
      </c>
      <c r="U143" s="195">
        <f>IF(T143="","",$B143*'AEO 2017_Table 13'!V$36/'AEO 2017_Table 13'!$C$36)</f>
        <v>11.459905892718846</v>
      </c>
      <c r="V143" s="195">
        <f>IF(U143="","",$B143*'AEO 2017_Table 13'!W$36/'AEO 2017_Table 13'!$C$36)</f>
        <v>11.625286534394402</v>
      </c>
      <c r="W143" s="195">
        <f>IF(V143="","",$B143*'AEO 2017_Table 13'!X$36/'AEO 2017_Table 13'!$C$36)</f>
        <v>11.749529518127536</v>
      </c>
      <c r="X143" s="195">
        <f>IF(W143="","",$B143*'AEO 2017_Table 13'!Y$36/'AEO 2017_Table 13'!$C$36)</f>
        <v>11.859204115046655</v>
      </c>
      <c r="Y143" s="195">
        <f>IF(X143="","",$B143*'AEO 2017_Table 13'!Z$36/'AEO 2017_Table 13'!$C$36)</f>
        <v>11.971749098005155</v>
      </c>
      <c r="Z143" s="195">
        <f>IF(Y143="","",$B143*'AEO 2017_Table 13'!AA$36/'AEO 2017_Table 13'!$C$36)</f>
        <v>12.116810848026372</v>
      </c>
      <c r="AA143" s="195">
        <f>IF(Z143="","",$B143*'AEO 2017_Table 13'!AB$36/'AEO 2017_Table 13'!$C$36)</f>
        <v>12.196522165205755</v>
      </c>
      <c r="AB143" s="195">
        <f>IF(AA143="","",$B143*'AEO 2017_Table 13'!AC$36/'AEO 2017_Table 13'!$C$36)</f>
        <v>12.278353277852982</v>
      </c>
      <c r="AC143" s="195">
        <f>IF(AB143="","",$B143*'AEO 2017_Table 13'!AD$36/'AEO 2017_Table 13'!$C$36)</f>
        <v>12.336730381692046</v>
      </c>
      <c r="AD143" s="195">
        <f>IF(AC143="","",$B143*'AEO 2017_Table 13'!AE$36/'AEO 2017_Table 13'!$C$36)</f>
        <v>12.416863711412685</v>
      </c>
      <c r="AE143" s="195">
        <f>IF(AD143="","",$B143*'AEO 2017_Table 13'!AF$36/'AEO 2017_Table 13'!$C$36)</f>
        <v>12.53124078940731</v>
      </c>
      <c r="AF143" s="195">
        <f>IF(AE143="","",$B143*'AEO 2017_Table 13'!AG$36/'AEO 2017_Table 13'!$C$36)</f>
        <v>12.647467870719328</v>
      </c>
      <c r="AG143" s="195">
        <f>IF(AF143="","",$B143*'AEO 2017_Table 13'!AH$36/'AEO 2017_Table 13'!$C$36)</f>
        <v>12.747905298296736</v>
      </c>
      <c r="AH143" s="195">
        <f>IF(AG143="","",$B143*'AEO 2017_Table 13'!AI$36/'AEO 2017_Table 13'!$C$36)</f>
        <v>12.852068816309917</v>
      </c>
      <c r="AI143" s="195">
        <f>IF(AH143="","",$B143*'AEO 2017_Table 13'!AJ$36/'AEO 2017_Table 13'!$C$36)</f>
        <v>12.933434702954559</v>
      </c>
      <c r="AJ143" s="195">
        <f>IF(AI143="","",$B143*'AEO 2017_Table 13'!AK$36/'AEO 2017_Table 13'!$C$36)</f>
        <v>13.016346541445452</v>
      </c>
      <c r="AK143" s="195">
        <f>IF(AJ143="","",$B143*'AEO 2017_Table 13'!AL$36/'AEO 2017_Table 13'!$C$36)</f>
        <v>13.130532857313492</v>
      </c>
    </row>
    <row r="144" spans="1:37" x14ac:dyDescent="0.25">
      <c r="A144" s="214" t="s">
        <v>1498</v>
      </c>
      <c r="B144" s="198">
        <v>40.146508983780009</v>
      </c>
      <c r="C144" s="198">
        <f>IF(B144="","",$B144*'AEO 2017_Table 13'!D$36/'AEO 2017_Table 13'!$C$36)</f>
        <v>40.718899012590235</v>
      </c>
      <c r="D144" s="198">
        <f>IF(C144="","",$B144*'AEO 2017_Table 13'!E$36/'AEO 2017_Table 13'!$C$36)</f>
        <v>40.970494498119827</v>
      </c>
      <c r="E144" s="198">
        <f>IF(D144="","",$B144*'AEO 2017_Table 13'!F$36/'AEO 2017_Table 13'!$C$36)</f>
        <v>41.398064105613138</v>
      </c>
      <c r="F144" s="198">
        <f>IF(E144="","",$B144*'AEO 2017_Table 13'!G$36/'AEO 2017_Table 13'!$C$36)</f>
        <v>40.903005112615489</v>
      </c>
      <c r="G144" s="198">
        <f>IF(F144="","",$B144*'AEO 2017_Table 13'!H$36/'AEO 2017_Table 13'!$C$36)</f>
        <v>40.253525344247819</v>
      </c>
      <c r="H144" s="198">
        <f>IF(G144="","",$B144*'AEO 2017_Table 13'!I$36/'AEO 2017_Table 13'!$C$36)</f>
        <v>40.031463637554694</v>
      </c>
      <c r="I144" s="198">
        <f>IF(H144="","",$B144*'AEO 2017_Table 13'!J$36/'AEO 2017_Table 13'!$C$36)</f>
        <v>40.116489669796039</v>
      </c>
      <c r="J144" s="198">
        <f>IF(I144="","",$B144*'AEO 2017_Table 13'!K$36/'AEO 2017_Table 13'!$C$36)</f>
        <v>40.45411756950908</v>
      </c>
      <c r="K144" s="198">
        <f>IF(J144="","",$B144*'AEO 2017_Table 13'!L$36/'AEO 2017_Table 13'!$C$36)</f>
        <v>40.789494351720037</v>
      </c>
      <c r="L144" s="198">
        <f>IF(K144="","",$B144*'AEO 2017_Table 13'!M$36/'AEO 2017_Table 13'!$C$36)</f>
        <v>41.331722348639282</v>
      </c>
      <c r="M144" s="198">
        <f>IF(L144="","",$B144*'AEO 2017_Table 13'!N$36/'AEO 2017_Table 13'!$C$36)</f>
        <v>41.764162020794018</v>
      </c>
      <c r="N144" s="198">
        <f>IF(M144="","",$B144*'AEO 2017_Table 13'!O$36/'AEO 2017_Table 13'!$C$36)</f>
        <v>41.833274270745946</v>
      </c>
      <c r="O144" s="198">
        <f>IF(N144="","",$B144*'AEO 2017_Table 13'!P$36/'AEO 2017_Table 13'!$C$36)</f>
        <v>41.971765079321642</v>
      </c>
      <c r="P144" s="198">
        <f>IF(O144="","",$B144*'AEO 2017_Table 13'!Q$36/'AEO 2017_Table 13'!$C$36)</f>
        <v>42.049621375884712</v>
      </c>
      <c r="Q144" s="198">
        <f>IF(P144="","",$B144*'AEO 2017_Table 13'!R$36/'AEO 2017_Table 13'!$C$36)</f>
        <v>42.089071842279481</v>
      </c>
      <c r="R144" s="198">
        <f>IF(Q144="","",$B144*'AEO 2017_Table 13'!S$36/'AEO 2017_Table 13'!$C$36)</f>
        <v>42.237610285771439</v>
      </c>
      <c r="S144" s="198">
        <f>IF(R144="","",$B144*'AEO 2017_Table 13'!T$36/'AEO 2017_Table 13'!$C$36)</f>
        <v>42.522988718337551</v>
      </c>
      <c r="T144" s="198">
        <f>IF(S144="","",$B144*'AEO 2017_Table 13'!U$36/'AEO 2017_Table 13'!$C$36)</f>
        <v>42.796520093304338</v>
      </c>
      <c r="U144" s="198">
        <f>IF(T144="","",$B144*'AEO 2017_Table 13'!V$36/'AEO 2017_Table 13'!$C$36)</f>
        <v>43.310351640687209</v>
      </c>
      <c r="V144" s="198">
        <f>IF(U144="","",$B144*'AEO 2017_Table 13'!W$36/'AEO 2017_Table 13'!$C$36)</f>
        <v>43.935373679487867</v>
      </c>
      <c r="W144" s="198">
        <f>IF(V144="","",$B144*'AEO 2017_Table 13'!X$36/'AEO 2017_Table 13'!$C$36)</f>
        <v>44.404924421417526</v>
      </c>
      <c r="X144" s="198">
        <f>IF(W144="","",$B144*'AEO 2017_Table 13'!Y$36/'AEO 2017_Table 13'!$C$36)</f>
        <v>44.819416948937821</v>
      </c>
      <c r="Y144" s="198">
        <f>IF(X144="","",$B144*'AEO 2017_Table 13'!Z$36/'AEO 2017_Table 13'!$C$36)</f>
        <v>45.244757508708453</v>
      </c>
      <c r="Z144" s="198">
        <f>IF(Y144="","",$B144*'AEO 2017_Table 13'!AA$36/'AEO 2017_Table 13'!$C$36)</f>
        <v>45.792988485633323</v>
      </c>
      <c r="AA144" s="198">
        <f>IF(Z144="","",$B144*'AEO 2017_Table 13'!AB$36/'AEO 2017_Table 13'!$C$36)</f>
        <v>46.094240974885857</v>
      </c>
      <c r="AB144" s="198">
        <f>IF(AA144="","",$B144*'AEO 2017_Table 13'!AC$36/'AEO 2017_Table 13'!$C$36)</f>
        <v>46.403504794072362</v>
      </c>
      <c r="AC144" s="198">
        <f>IF(AB144="","",$B144*'AEO 2017_Table 13'!AD$36/'AEO 2017_Table 13'!$C$36)</f>
        <v>46.624129022465134</v>
      </c>
      <c r="AD144" s="198">
        <f>IF(AC144="","",$B144*'AEO 2017_Table 13'!AE$36/'AEO 2017_Table 13'!$C$36)</f>
        <v>46.926976421111313</v>
      </c>
      <c r="AE144" s="198">
        <f>IF(AD144="","",$B144*'AEO 2017_Table 13'!AF$36/'AEO 2017_Table 13'!$C$36)</f>
        <v>47.359241006349215</v>
      </c>
      <c r="AF144" s="198">
        <f>IF(AE144="","",$B144*'AEO 2017_Table 13'!AG$36/'AEO 2017_Table 13'!$C$36)</f>
        <v>47.798497297711307</v>
      </c>
      <c r="AG144" s="198">
        <f>IF(AF144="","",$B144*'AEO 2017_Table 13'!AH$36/'AEO 2017_Table 13'!$C$36)</f>
        <v>48.178079848125385</v>
      </c>
      <c r="AH144" s="198">
        <f>IF(AG144="","",$B144*'AEO 2017_Table 13'!AI$36/'AEO 2017_Table 13'!$C$36)</f>
        <v>48.571744389135993</v>
      </c>
      <c r="AI144" s="198">
        <f>IF(AH144="","",$B144*'AEO 2017_Table 13'!AJ$36/'AEO 2017_Table 13'!$C$36)</f>
        <v>48.879249982561042</v>
      </c>
      <c r="AJ144" s="198">
        <f>IF(AI144="","",$B144*'AEO 2017_Table 13'!AK$36/'AEO 2017_Table 13'!$C$36)</f>
        <v>49.192598182261186</v>
      </c>
      <c r="AK144" s="198">
        <f>IF(AJ144="","",$B144*'AEO 2017_Table 13'!AL$36/'AEO 2017_Table 13'!$C$36)</f>
        <v>49.624141821370955</v>
      </c>
    </row>
    <row r="145" spans="1:37" x14ac:dyDescent="0.25">
      <c r="A145" s="208" t="s">
        <v>1499</v>
      </c>
      <c r="B145" s="197">
        <v>13.765954749435002</v>
      </c>
      <c r="C145" s="197">
        <f>IF(B145="","",$B145*'AEO 2017_Table 13'!D$36/'AEO 2017_Table 13'!$C$36)</f>
        <v>13.962223252851148</v>
      </c>
      <c r="D145" s="197">
        <f>IF(C145="","",$B145*'AEO 2017_Table 13'!E$36/'AEO 2017_Table 13'!$C$36)</f>
        <v>14.048493570162218</v>
      </c>
      <c r="E145" s="197">
        <f>IF(D145="","",$B145*'AEO 2017_Table 13'!F$36/'AEO 2017_Table 13'!$C$36)</f>
        <v>14.195104172627419</v>
      </c>
      <c r="F145" s="197">
        <f>IF(E145="","",$B145*'AEO 2017_Table 13'!G$36/'AEO 2017_Table 13'!$C$36)</f>
        <v>14.02535193592211</v>
      </c>
      <c r="G145" s="197">
        <f>IF(F145="","",$B145*'AEO 2017_Table 13'!H$36/'AEO 2017_Table 13'!$C$36)</f>
        <v>13.802649904578983</v>
      </c>
      <c r="H145" s="197">
        <f>IF(G145="","",$B145*'AEO 2017_Table 13'!I$36/'AEO 2017_Table 13'!$C$36)</f>
        <v>13.726506511708761</v>
      </c>
      <c r="I145" s="197">
        <f>IF(H145="","",$B145*'AEO 2017_Table 13'!J$36/'AEO 2017_Table 13'!$C$36)</f>
        <v>13.755661338416886</v>
      </c>
      <c r="J145" s="197">
        <f>IF(I145="","",$B145*'AEO 2017_Table 13'!K$36/'AEO 2017_Table 13'!$C$36)</f>
        <v>13.871431563705327</v>
      </c>
      <c r="K145" s="197">
        <f>IF(J145="","",$B145*'AEO 2017_Table 13'!L$36/'AEO 2017_Table 13'!$C$36)</f>
        <v>13.986429896680987</v>
      </c>
      <c r="L145" s="197">
        <f>IF(K145="","",$B145*'AEO 2017_Table 13'!M$36/'AEO 2017_Table 13'!$C$36)</f>
        <v>14.172356052115397</v>
      </c>
      <c r="M145" s="197">
        <f>IF(L145="","",$B145*'AEO 2017_Table 13'!N$36/'AEO 2017_Table 13'!$C$36)</f>
        <v>14.320636565401063</v>
      </c>
      <c r="N145" s="197">
        <f>IF(M145="","",$B145*'AEO 2017_Table 13'!O$36/'AEO 2017_Table 13'!$C$36)</f>
        <v>14.344334668413067</v>
      </c>
      <c r="O145" s="197">
        <f>IF(N145="","",$B145*'AEO 2017_Table 13'!P$36/'AEO 2017_Table 13'!$C$36)</f>
        <v>14.391822189802186</v>
      </c>
      <c r="P145" s="197">
        <f>IF(O145="","",$B145*'AEO 2017_Table 13'!Q$36/'AEO 2017_Table 13'!$C$36)</f>
        <v>14.418518564719335</v>
      </c>
      <c r="Q145" s="197">
        <f>IF(P145="","",$B145*'AEO 2017_Table 13'!R$36/'AEO 2017_Table 13'!$C$36)</f>
        <v>14.432045851374669</v>
      </c>
      <c r="R145" s="197">
        <f>IF(Q145="","",$B145*'AEO 2017_Table 13'!S$36/'AEO 2017_Table 13'!$C$36)</f>
        <v>14.482978635903654</v>
      </c>
      <c r="S145" s="197">
        <f>IF(R145="","",$B145*'AEO 2017_Table 13'!T$36/'AEO 2017_Table 13'!$C$36)</f>
        <v>14.580832887459051</v>
      </c>
      <c r="T145" s="197">
        <f>IF(S145="","",$B145*'AEO 2017_Table 13'!U$36/'AEO 2017_Table 13'!$C$36)</f>
        <v>14.674624866529133</v>
      </c>
      <c r="U145" s="197">
        <f>IF(T145="","",$B145*'AEO 2017_Table 13'!V$36/'AEO 2017_Table 13'!$C$36)</f>
        <v>14.850814079717322</v>
      </c>
      <c r="V145" s="197">
        <f>IF(U145="","",$B145*'AEO 2017_Table 13'!W$36/'AEO 2017_Table 13'!$C$36)</f>
        <v>15.065129728109207</v>
      </c>
      <c r="W145" s="197">
        <f>IF(V145="","",$B145*'AEO 2017_Table 13'!X$36/'AEO 2017_Table 13'!$C$36)</f>
        <v>15.226135365450647</v>
      </c>
      <c r="X145" s="197">
        <f>IF(W145="","",$B145*'AEO 2017_Table 13'!Y$36/'AEO 2017_Table 13'!$C$36)</f>
        <v>15.368261929434793</v>
      </c>
      <c r="Y145" s="197">
        <f>IF(X145="","",$B145*'AEO 2017_Table 13'!Z$36/'AEO 2017_Table 13'!$C$36)</f>
        <v>15.514108207158905</v>
      </c>
      <c r="Z145" s="197">
        <f>IF(Y145="","",$B145*'AEO 2017_Table 13'!AA$36/'AEO 2017_Table 13'!$C$36)</f>
        <v>15.702092742094068</v>
      </c>
      <c r="AA145" s="197">
        <f>IF(Z145="","",$B145*'AEO 2017_Table 13'!AB$36/'AEO 2017_Table 13'!$C$36)</f>
        <v>15.805390095716536</v>
      </c>
      <c r="AB145" s="197">
        <f>IF(AA145="","",$B145*'AEO 2017_Table 13'!AC$36/'AEO 2017_Table 13'!$C$36)</f>
        <v>15.911434477863908</v>
      </c>
      <c r="AC145" s="197">
        <f>IF(AB145="","",$B145*'AEO 2017_Table 13'!AD$36/'AEO 2017_Table 13'!$C$36)</f>
        <v>15.987084969564464</v>
      </c>
      <c r="AD145" s="197">
        <f>IF(AC145="","",$B145*'AEO 2017_Table 13'!AE$36/'AEO 2017_Table 13'!$C$36)</f>
        <v>16.090929206368013</v>
      </c>
      <c r="AE145" s="197">
        <f>IF(AD145="","",$B145*'AEO 2017_Table 13'!AF$36/'AEO 2017_Table 13'!$C$36)</f>
        <v>16.239149683584909</v>
      </c>
      <c r="AF145" s="197">
        <f>IF(AE145="","",$B145*'AEO 2017_Table 13'!AG$36/'AEO 2017_Table 13'!$C$36)</f>
        <v>16.389767567514451</v>
      </c>
      <c r="AG145" s="197">
        <f>IF(AF145="","",$B145*'AEO 2017_Table 13'!AH$36/'AEO 2017_Table 13'!$C$36)</f>
        <v>16.519923746593097</v>
      </c>
      <c r="AH145" s="197">
        <f>IF(AG145="","",$B145*'AEO 2017_Table 13'!AI$36/'AEO 2017_Table 13'!$C$36)</f>
        <v>16.654908540917269</v>
      </c>
      <c r="AI145" s="197">
        <f>IF(AH145="","",$B145*'AEO 2017_Table 13'!AJ$36/'AEO 2017_Table 13'!$C$36)</f>
        <v>16.760350039853023</v>
      </c>
      <c r="AJ145" s="197">
        <f>IF(AI145="","",$B145*'AEO 2017_Table 13'!AK$36/'AEO 2017_Table 13'!$C$36)</f>
        <v>16.867794927268555</v>
      </c>
      <c r="AK145" s="197">
        <f>IF(AJ145="","",$B145*'AEO 2017_Table 13'!AL$36/'AEO 2017_Table 13'!$C$36)</f>
        <v>17.015768197143448</v>
      </c>
    </row>
    <row r="146" spans="1:37" x14ac:dyDescent="0.25">
      <c r="A146" s="209" t="s">
        <v>1500</v>
      </c>
      <c r="B146" s="193"/>
      <c r="C146" s="193" t="str">
        <f>IF(B146="","",$B146*'AEO 2017_Table 13'!D$36/'AEO 2017_Table 13'!$C$36)</f>
        <v/>
      </c>
      <c r="D146" s="193" t="str">
        <f>IF(C146="","",$B146*'AEO 2017_Table 13'!E$36/'AEO 2017_Table 13'!$C$36)</f>
        <v/>
      </c>
      <c r="E146" s="193" t="str">
        <f>IF(D146="","",$B146*'AEO 2017_Table 13'!F$36/'AEO 2017_Table 13'!$C$36)</f>
        <v/>
      </c>
      <c r="F146" s="193" t="str">
        <f>IF(E146="","",$B146*'AEO 2017_Table 13'!G$36/'AEO 2017_Table 13'!$C$36)</f>
        <v/>
      </c>
      <c r="G146" s="193" t="str">
        <f>IF(F146="","",$B146*'AEO 2017_Table 13'!H$36/'AEO 2017_Table 13'!$C$36)</f>
        <v/>
      </c>
      <c r="H146" s="193" t="str">
        <f>IF(G146="","",$B146*'AEO 2017_Table 13'!I$36/'AEO 2017_Table 13'!$C$36)</f>
        <v/>
      </c>
      <c r="I146" s="193" t="str">
        <f>IF(H146="","",$B146*'AEO 2017_Table 13'!J$36/'AEO 2017_Table 13'!$C$36)</f>
        <v/>
      </c>
      <c r="J146" s="193" t="str">
        <f>IF(I146="","",$B146*'AEO 2017_Table 13'!K$36/'AEO 2017_Table 13'!$C$36)</f>
        <v/>
      </c>
      <c r="K146" s="193" t="str">
        <f>IF(J146="","",$B146*'AEO 2017_Table 13'!L$36/'AEO 2017_Table 13'!$C$36)</f>
        <v/>
      </c>
      <c r="L146" s="193" t="str">
        <f>IF(K146="","",$B146*'AEO 2017_Table 13'!M$36/'AEO 2017_Table 13'!$C$36)</f>
        <v/>
      </c>
      <c r="M146" s="193" t="str">
        <f>IF(L146="","",$B146*'AEO 2017_Table 13'!N$36/'AEO 2017_Table 13'!$C$36)</f>
        <v/>
      </c>
      <c r="N146" s="193" t="str">
        <f>IF(M146="","",$B146*'AEO 2017_Table 13'!O$36/'AEO 2017_Table 13'!$C$36)</f>
        <v/>
      </c>
      <c r="O146" s="193" t="str">
        <f>IF(N146="","",$B146*'AEO 2017_Table 13'!P$36/'AEO 2017_Table 13'!$C$36)</f>
        <v/>
      </c>
      <c r="P146" s="193" t="str">
        <f>IF(O146="","",$B146*'AEO 2017_Table 13'!Q$36/'AEO 2017_Table 13'!$C$36)</f>
        <v/>
      </c>
      <c r="Q146" s="193" t="str">
        <f>IF(P146="","",$B146*'AEO 2017_Table 13'!R$36/'AEO 2017_Table 13'!$C$36)</f>
        <v/>
      </c>
      <c r="R146" s="193" t="str">
        <f>IF(Q146="","",$B146*'AEO 2017_Table 13'!S$36/'AEO 2017_Table 13'!$C$36)</f>
        <v/>
      </c>
      <c r="S146" s="193" t="str">
        <f>IF(R146="","",$B146*'AEO 2017_Table 13'!T$36/'AEO 2017_Table 13'!$C$36)</f>
        <v/>
      </c>
      <c r="T146" s="193" t="str">
        <f>IF(S146="","",$B146*'AEO 2017_Table 13'!U$36/'AEO 2017_Table 13'!$C$36)</f>
        <v/>
      </c>
      <c r="U146" s="193" t="str">
        <f>IF(T146="","",$B146*'AEO 2017_Table 13'!V$36/'AEO 2017_Table 13'!$C$36)</f>
        <v/>
      </c>
      <c r="V146" s="193" t="str">
        <f>IF(U146="","",$B146*'AEO 2017_Table 13'!W$36/'AEO 2017_Table 13'!$C$36)</f>
        <v/>
      </c>
      <c r="W146" s="193" t="str">
        <f>IF(V146="","",$B146*'AEO 2017_Table 13'!X$36/'AEO 2017_Table 13'!$C$36)</f>
        <v/>
      </c>
      <c r="X146" s="193" t="str">
        <f>IF(W146="","",$B146*'AEO 2017_Table 13'!Y$36/'AEO 2017_Table 13'!$C$36)</f>
        <v/>
      </c>
      <c r="Y146" s="193" t="str">
        <f>IF(X146="","",$B146*'AEO 2017_Table 13'!Z$36/'AEO 2017_Table 13'!$C$36)</f>
        <v/>
      </c>
      <c r="Z146" s="193" t="str">
        <f>IF(Y146="","",$B146*'AEO 2017_Table 13'!AA$36/'AEO 2017_Table 13'!$C$36)</f>
        <v/>
      </c>
      <c r="AA146" s="193" t="str">
        <f>IF(Z146="","",$B146*'AEO 2017_Table 13'!AB$36/'AEO 2017_Table 13'!$C$36)</f>
        <v/>
      </c>
      <c r="AB146" s="193" t="str">
        <f>IF(AA146="","",$B146*'AEO 2017_Table 13'!AC$36/'AEO 2017_Table 13'!$C$36)</f>
        <v/>
      </c>
      <c r="AC146" s="193" t="str">
        <f>IF(AB146="","",$B146*'AEO 2017_Table 13'!AD$36/'AEO 2017_Table 13'!$C$36)</f>
        <v/>
      </c>
      <c r="AD146" s="193" t="str">
        <f>IF(AC146="","",$B146*'AEO 2017_Table 13'!AE$36/'AEO 2017_Table 13'!$C$36)</f>
        <v/>
      </c>
      <c r="AE146" s="193" t="str">
        <f>IF(AD146="","",$B146*'AEO 2017_Table 13'!AF$36/'AEO 2017_Table 13'!$C$36)</f>
        <v/>
      </c>
      <c r="AF146" s="193" t="str">
        <f>IF(AE146="","",$B146*'AEO 2017_Table 13'!AG$36/'AEO 2017_Table 13'!$C$36)</f>
        <v/>
      </c>
      <c r="AG146" s="193" t="str">
        <f>IF(AF146="","",$B146*'AEO 2017_Table 13'!AH$36/'AEO 2017_Table 13'!$C$36)</f>
        <v/>
      </c>
      <c r="AH146" s="193" t="str">
        <f>IF(AG146="","",$B146*'AEO 2017_Table 13'!AI$36/'AEO 2017_Table 13'!$C$36)</f>
        <v/>
      </c>
      <c r="AI146" s="193" t="str">
        <f>IF(AH146="","",$B146*'AEO 2017_Table 13'!AJ$36/'AEO 2017_Table 13'!$C$36)</f>
        <v/>
      </c>
      <c r="AJ146" s="193" t="str">
        <f>IF(AI146="","",$B146*'AEO 2017_Table 13'!AK$36/'AEO 2017_Table 13'!$C$36)</f>
        <v/>
      </c>
      <c r="AK146" s="193" t="str">
        <f>IF(AJ146="","",$B146*'AEO 2017_Table 13'!AL$36/'AEO 2017_Table 13'!$C$36)</f>
        <v/>
      </c>
    </row>
    <row r="147" spans="1:37" x14ac:dyDescent="0.25">
      <c r="A147" s="215" t="s">
        <v>1501</v>
      </c>
      <c r="B147" s="195">
        <v>2.6777127105258507</v>
      </c>
      <c r="C147" s="195">
        <f>IF(B147="","",$B147*'AEO 2017_Table 13'!D$36/'AEO 2017_Table 13'!$C$36)</f>
        <v>2.7158902779985952</v>
      </c>
      <c r="D147" s="195">
        <f>IF(C147="","",$B147*'AEO 2017_Table 13'!E$36/'AEO 2017_Table 13'!$C$36)</f>
        <v>2.7326713243851111</v>
      </c>
      <c r="E147" s="195">
        <f>IF(D147="","",$B147*'AEO 2017_Table 13'!F$36/'AEO 2017_Table 13'!$C$36)</f>
        <v>2.761189584169093</v>
      </c>
      <c r="F147" s="195">
        <f>IF(E147="","",$B147*'AEO 2017_Table 13'!G$36/'AEO 2017_Table 13'!$C$36)</f>
        <v>2.7281698822930096</v>
      </c>
      <c r="G147" s="195">
        <f>IF(F147="","",$B147*'AEO 2017_Table 13'!H$36/'AEO 2017_Table 13'!$C$36)</f>
        <v>2.6848505433265721</v>
      </c>
      <c r="H147" s="195">
        <f>IF(G147="","",$B147*'AEO 2017_Table 13'!I$36/'AEO 2017_Table 13'!$C$36)</f>
        <v>2.6700393562623743</v>
      </c>
      <c r="I147" s="195">
        <f>IF(H147="","",$B147*'AEO 2017_Table 13'!J$36/'AEO 2017_Table 13'!$C$36)</f>
        <v>2.6757104667280496</v>
      </c>
      <c r="J147" s="195">
        <f>IF(I147="","",$B147*'AEO 2017_Table 13'!K$36/'AEO 2017_Table 13'!$C$36)</f>
        <v>2.6982297477657866</v>
      </c>
      <c r="K147" s="195">
        <f>IF(J147="","",$B147*'AEO 2017_Table 13'!L$36/'AEO 2017_Table 13'!$C$36)</f>
        <v>2.7205988825990128</v>
      </c>
      <c r="L147" s="195">
        <f>IF(K147="","",$B147*'AEO 2017_Table 13'!M$36/'AEO 2017_Table 13'!$C$36)</f>
        <v>2.7567646872008589</v>
      </c>
      <c r="M147" s="195">
        <f>IF(L147="","",$B147*'AEO 2017_Table 13'!N$36/'AEO 2017_Table 13'!$C$36)</f>
        <v>2.7856077730874103</v>
      </c>
      <c r="N147" s="195">
        <f>IF(M147="","",$B147*'AEO 2017_Table 13'!O$36/'AEO 2017_Table 13'!$C$36)</f>
        <v>2.7902174578354439</v>
      </c>
      <c r="O147" s="195">
        <f>IF(N147="","",$B147*'AEO 2017_Table 13'!P$36/'AEO 2017_Table 13'!$C$36)</f>
        <v>2.7994545897256407</v>
      </c>
      <c r="P147" s="195">
        <f>IF(O147="","",$B147*'AEO 2017_Table 13'!Q$36/'AEO 2017_Table 13'!$C$36)</f>
        <v>2.8046474894366868</v>
      </c>
      <c r="Q147" s="195">
        <f>IF(P147="","",$B147*'AEO 2017_Table 13'!R$36/'AEO 2017_Table 13'!$C$36)</f>
        <v>2.8072787771370478</v>
      </c>
      <c r="R147" s="195">
        <f>IF(Q147="","",$B147*'AEO 2017_Table 13'!S$36/'AEO 2017_Table 13'!$C$36)</f>
        <v>2.8171860714001888</v>
      </c>
      <c r="S147" s="195">
        <f>IF(R147="","",$B147*'AEO 2017_Table 13'!T$36/'AEO 2017_Table 13'!$C$36)</f>
        <v>2.8362203903368859</v>
      </c>
      <c r="T147" s="195">
        <f>IF(S147="","",$B147*'AEO 2017_Table 13'!U$36/'AEO 2017_Table 13'!$C$36)</f>
        <v>2.8544645280718028</v>
      </c>
      <c r="U147" s="195">
        <f>IF(T147="","",$B147*'AEO 2017_Table 13'!V$36/'AEO 2017_Table 13'!$C$36)</f>
        <v>2.8887363315317787</v>
      </c>
      <c r="V147" s="195">
        <f>IF(U147="","",$B147*'AEO 2017_Table 13'!W$36/'AEO 2017_Table 13'!$C$36)</f>
        <v>2.9304243761468531</v>
      </c>
      <c r="W147" s="195">
        <f>IF(V147="","",$B147*'AEO 2017_Table 13'!X$36/'AEO 2017_Table 13'!$C$36)</f>
        <v>2.9617427154428029</v>
      </c>
      <c r="X147" s="195">
        <f>IF(W147="","",$B147*'AEO 2017_Table 13'!Y$36/'AEO 2017_Table 13'!$C$36)</f>
        <v>2.989388753353782</v>
      </c>
      <c r="Y147" s="195">
        <f>IF(X147="","",$B147*'AEO 2017_Table 13'!Z$36/'AEO 2017_Table 13'!$C$36)</f>
        <v>3.0177583389548657</v>
      </c>
      <c r="Z147" s="195">
        <f>IF(Y147="","",$B147*'AEO 2017_Table 13'!AA$36/'AEO 2017_Table 13'!$C$36)</f>
        <v>3.0543245334354072</v>
      </c>
      <c r="AA147" s="195">
        <f>IF(Z147="","",$B147*'AEO 2017_Table 13'!AB$36/'AEO 2017_Table 13'!$C$36)</f>
        <v>3.0744176284508415</v>
      </c>
      <c r="AB147" s="195">
        <f>IF(AA147="","",$B147*'AEO 2017_Table 13'!AC$36/'AEO 2017_Table 13'!$C$36)</f>
        <v>3.0950450673117409</v>
      </c>
      <c r="AC147" s="195">
        <f>IF(AB147="","",$B147*'AEO 2017_Table 13'!AD$36/'AEO 2017_Table 13'!$C$36)</f>
        <v>3.1097603767015549</v>
      </c>
      <c r="AD147" s="195">
        <f>IF(AC147="","",$B147*'AEO 2017_Table 13'!AE$36/'AEO 2017_Table 13'!$C$36)</f>
        <v>3.1299598498122108</v>
      </c>
      <c r="AE147" s="195">
        <f>IF(AD147="","",$B147*'AEO 2017_Table 13'!AF$36/'AEO 2017_Table 13'!$C$36)</f>
        <v>3.1587912576606332</v>
      </c>
      <c r="AF147" s="195">
        <f>IF(AE147="","",$B147*'AEO 2017_Table 13'!AG$36/'AEO 2017_Table 13'!$C$36)</f>
        <v>3.1880890019560075</v>
      </c>
      <c r="AG147" s="195">
        <f>IF(AF147="","",$B147*'AEO 2017_Table 13'!AH$36/'AEO 2017_Table 13'!$C$36)</f>
        <v>3.2134065960797766</v>
      </c>
      <c r="AH147" s="195">
        <f>IF(AG147="","",$B147*'AEO 2017_Table 13'!AI$36/'AEO 2017_Table 13'!$C$36)</f>
        <v>3.2396634381273208</v>
      </c>
      <c r="AI147" s="195">
        <f>IF(AH147="","",$B147*'AEO 2017_Table 13'!AJ$36/'AEO 2017_Table 13'!$C$36)</f>
        <v>3.2601736059330628</v>
      </c>
      <c r="AJ147" s="195">
        <f>IF(AI147="","",$B147*'AEO 2017_Table 13'!AK$36/'AEO 2017_Table 13'!$C$36)</f>
        <v>3.2810734669271144</v>
      </c>
      <c r="AK147" s="195">
        <f>IF(AJ147="","",$B147*'AEO 2017_Table 13'!AL$36/'AEO 2017_Table 13'!$C$36)</f>
        <v>3.3098567887361838</v>
      </c>
    </row>
    <row r="148" spans="1:37" x14ac:dyDescent="0.25">
      <c r="A148" s="214" t="s">
        <v>1502</v>
      </c>
      <c r="B148" s="217">
        <v>1.2425071456650465E-2</v>
      </c>
      <c r="C148" s="217">
        <f>IF(B148="","",$B148*'AEO 2017_Table 13'!D$36/'AEO 2017_Table 13'!$C$36)</f>
        <v>1.2602222277209099E-2</v>
      </c>
      <c r="D148" s="217">
        <f>IF(C148="","",$B148*'AEO 2017_Table 13'!E$36/'AEO 2017_Table 13'!$C$36)</f>
        <v>1.2680089368645092E-2</v>
      </c>
      <c r="E148" s="217">
        <f>IF(D148="","",$B148*'AEO 2017_Table 13'!F$36/'AEO 2017_Table 13'!$C$36)</f>
        <v>1.281241925386482E-2</v>
      </c>
      <c r="F148" s="217">
        <f>IF(E148="","",$B148*'AEO 2017_Table 13'!G$36/'AEO 2017_Table 13'!$C$36)</f>
        <v>1.265920186288972E-2</v>
      </c>
      <c r="G148" s="217">
        <f>IF(F148="","",$B148*'AEO 2017_Table 13'!H$36/'AEO 2017_Table 13'!$C$36)</f>
        <v>1.2458192292297231E-2</v>
      </c>
      <c r="H148" s="217">
        <f>IF(G148="","",$B148*'AEO 2017_Table 13'!I$36/'AEO 2017_Table 13'!$C$36)</f>
        <v>1.2389465704524366E-2</v>
      </c>
      <c r="I148" s="217">
        <f>IF(H148="","",$B148*'AEO 2017_Table 13'!J$36/'AEO 2017_Table 13'!$C$36)</f>
        <v>1.2415780683161761E-2</v>
      </c>
      <c r="J148" s="217">
        <f>IF(I148="","",$B148*'AEO 2017_Table 13'!K$36/'AEO 2017_Table 13'!$C$36)</f>
        <v>1.2520274221600892E-2</v>
      </c>
      <c r="K148" s="217">
        <f>IF(J148="","",$B148*'AEO 2017_Table 13'!L$36/'AEO 2017_Table 13'!$C$36)</f>
        <v>1.2624071054485066E-2</v>
      </c>
      <c r="L148" s="217">
        <f>IF(K148="","",$B148*'AEO 2017_Table 13'!M$36/'AEO 2017_Table 13'!$C$36)</f>
        <v>1.279188693133354E-2</v>
      </c>
      <c r="M148" s="217">
        <f>IF(L148="","",$B148*'AEO 2017_Table 13'!N$36/'AEO 2017_Table 13'!$C$36)</f>
        <v>1.2925724068440128E-2</v>
      </c>
      <c r="N148" s="217">
        <f>IF(M148="","",$B148*'AEO 2017_Table 13'!O$36/'AEO 2017_Table 13'!$C$36)</f>
        <v>1.2947113839703419E-2</v>
      </c>
      <c r="O148" s="217">
        <f>IF(N148="","",$B148*'AEO 2017_Table 13'!P$36/'AEO 2017_Table 13'!$C$36)</f>
        <v>1.2989975802952516E-2</v>
      </c>
      <c r="P148" s="217">
        <f>IF(O148="","",$B148*'AEO 2017_Table 13'!Q$36/'AEO 2017_Table 13'!$C$36)</f>
        <v>1.3014071797165539E-2</v>
      </c>
      <c r="Q148" s="217">
        <f>IF(P148="","",$B148*'AEO 2017_Table 13'!R$36/'AEO 2017_Table 13'!$C$36)</f>
        <v>1.3026281448175324E-2</v>
      </c>
      <c r="R148" s="217">
        <f>IF(Q148="","",$B148*'AEO 2017_Table 13'!S$36/'AEO 2017_Table 13'!$C$36)</f>
        <v>1.3072253086087674E-2</v>
      </c>
      <c r="S148" s="217">
        <f>IF(R148="","",$B148*'AEO 2017_Table 13'!T$36/'AEO 2017_Table 13'!$C$36)</f>
        <v>1.3160575769842158E-2</v>
      </c>
      <c r="T148" s="217">
        <f>IF(S148="","",$B148*'AEO 2017_Table 13'!U$36/'AEO 2017_Table 13'!$C$36)</f>
        <v>1.324523186985253E-2</v>
      </c>
      <c r="U148" s="217">
        <f>IF(T148="","",$B148*'AEO 2017_Table 13'!V$36/'AEO 2017_Table 13'!$C$36)</f>
        <v>1.3404259238720214E-2</v>
      </c>
      <c r="V148" s="217">
        <f>IF(U148="","",$B148*'AEO 2017_Table 13'!W$36/'AEO 2017_Table 13'!$C$36)</f>
        <v>1.3597699308371529E-2</v>
      </c>
      <c r="W148" s="217">
        <f>IF(V148="","",$B148*'AEO 2017_Table 13'!X$36/'AEO 2017_Table 13'!$C$36)</f>
        <v>1.3743022069146479E-2</v>
      </c>
      <c r="X148" s="217">
        <f>IF(W148="","",$B148*'AEO 2017_Table 13'!Y$36/'AEO 2017_Table 13'!$C$36)</f>
        <v>1.3871304687063967E-2</v>
      </c>
      <c r="Y148" s="217">
        <f>IF(X148="","",$B148*'AEO 2017_Table 13'!Z$36/'AEO 2017_Table 13'!$C$36)</f>
        <v>1.4002944697175359E-2</v>
      </c>
      <c r="Z148" s="217">
        <f>IF(Y148="","",$B148*'AEO 2017_Table 13'!AA$36/'AEO 2017_Table 13'!$C$36)</f>
        <v>1.4172618455503709E-2</v>
      </c>
      <c r="AA148" s="217">
        <f>IF(Z148="","",$B148*'AEO 2017_Table 13'!AB$36/'AEO 2017_Table 13'!$C$36)</f>
        <v>1.4265854051828382E-2</v>
      </c>
      <c r="AB148" s="217">
        <f>IF(AA148="","",$B148*'AEO 2017_Table 13'!AC$36/'AEO 2017_Table 13'!$C$36)</f>
        <v>1.4361569100275097E-2</v>
      </c>
      <c r="AC148" s="217">
        <f>IF(AB148="","",$B148*'AEO 2017_Table 13'!AD$36/'AEO 2017_Table 13'!$C$36)</f>
        <v>1.442985079829163E-2</v>
      </c>
      <c r="AD148" s="217">
        <f>IF(AC148="","",$B148*'AEO 2017_Table 13'!AE$36/'AEO 2017_Table 13'!$C$36)</f>
        <v>1.4523580008225172E-2</v>
      </c>
      <c r="AE148" s="217">
        <f>IF(AD148="","",$B148*'AEO 2017_Table 13'!AF$36/'AEO 2017_Table 13'!$C$36)</f>
        <v>1.465736295712193E-2</v>
      </c>
      <c r="AF148" s="217">
        <f>IF(AE148="","",$B148*'AEO 2017_Table 13'!AG$36/'AEO 2017_Table 13'!$C$36)</f>
        <v>1.4793309791507015E-2</v>
      </c>
      <c r="AG148" s="217">
        <f>IF(AF148="","",$B148*'AEO 2017_Table 13'!AH$36/'AEO 2017_Table 13'!$C$36)</f>
        <v>1.4910788008965425E-2</v>
      </c>
      <c r="AH148" s="217">
        <f>IF(AG148="","",$B148*'AEO 2017_Table 13'!AI$36/'AEO 2017_Table 13'!$C$36)</f>
        <v>1.5032624506728718E-2</v>
      </c>
      <c r="AI148" s="217">
        <f>IF(AH148="","",$B148*'AEO 2017_Table 13'!AJ$36/'AEO 2017_Table 13'!$C$36)</f>
        <v>1.5127795396261594E-2</v>
      </c>
      <c r="AJ148" s="217">
        <f>IF(AI148="","",$B148*'AEO 2017_Table 13'!AK$36/'AEO 2017_Table 13'!$C$36)</f>
        <v>1.5224774532695599E-2</v>
      </c>
      <c r="AK148" s="217">
        <f>IF(AJ148="","",$B148*'AEO 2017_Table 13'!AL$36/'AEO 2017_Table 13'!$C$36)</f>
        <v>1.5358334353669529E-2</v>
      </c>
    </row>
    <row r="149" spans="1:37" x14ac:dyDescent="0.25">
      <c r="A149" s="208" t="s">
        <v>1503</v>
      </c>
      <c r="B149" s="197">
        <v>5.8986319284000004</v>
      </c>
      <c r="C149" s="197">
        <f>IF(B149="","",$B149*'AEO 2017_Table 13'!D$36/'AEO 2017_Table 13'!$C$36)</f>
        <v>5.9827318460491759</v>
      </c>
      <c r="D149" s="197">
        <f>IF(C149="","",$B149*'AEO 2017_Table 13'!E$36/'AEO 2017_Table 13'!$C$36)</f>
        <v>6.0196981776568821</v>
      </c>
      <c r="E149" s="197">
        <f>IF(D149="","",$B149*'AEO 2017_Table 13'!F$36/'AEO 2017_Table 13'!$C$36)</f>
        <v>6.0825199721843326</v>
      </c>
      <c r="F149" s="197">
        <f>IF(E149="","",$B149*'AEO 2017_Table 13'!G$36/'AEO 2017_Table 13'!$C$36)</f>
        <v>6.0097821213361486</v>
      </c>
      <c r="G149" s="197">
        <f>IF(F149="","",$B149*'AEO 2017_Table 13'!H$36/'AEO 2017_Table 13'!$C$36)</f>
        <v>5.914355589975945</v>
      </c>
      <c r="H149" s="197">
        <f>IF(G149="","",$B149*'AEO 2017_Table 13'!I$36/'AEO 2017_Table 13'!$C$36)</f>
        <v>5.8817285868732769</v>
      </c>
      <c r="I149" s="197">
        <f>IF(H149="","",$B149*'AEO 2017_Table 13'!J$36/'AEO 2017_Table 13'!$C$36)</f>
        <v>5.8942212613602818</v>
      </c>
      <c r="J149" s="197">
        <f>IF(I149="","",$B149*'AEO 2017_Table 13'!K$36/'AEO 2017_Table 13'!$C$36)</f>
        <v>5.9438281327814213</v>
      </c>
      <c r="K149" s="197">
        <f>IF(J149="","",$B149*'AEO 2017_Table 13'!L$36/'AEO 2017_Table 13'!$C$36)</f>
        <v>5.9931042528144935</v>
      </c>
      <c r="L149" s="197">
        <f>IF(K149="","",$B149*'AEO 2017_Table 13'!M$36/'AEO 2017_Table 13'!$C$36)</f>
        <v>6.0727725342183012</v>
      </c>
      <c r="M149" s="197">
        <f>IF(L149="","",$B149*'AEO 2017_Table 13'!N$36/'AEO 2017_Table 13'!$C$36)</f>
        <v>6.1363098758663464</v>
      </c>
      <c r="N149" s="197">
        <f>IF(M149="","",$B149*'AEO 2017_Table 13'!O$36/'AEO 2017_Table 13'!$C$36)</f>
        <v>6.1464643758348174</v>
      </c>
      <c r="O149" s="197">
        <f>IF(N149="","",$B149*'AEO 2017_Table 13'!P$36/'AEO 2017_Table 13'!$C$36)</f>
        <v>6.1668125038771482</v>
      </c>
      <c r="P149" s="197">
        <f>IF(O149="","",$B149*'AEO 2017_Table 13'!Q$36/'AEO 2017_Table 13'!$C$36)</f>
        <v>6.1782517460020214</v>
      </c>
      <c r="Q149" s="197">
        <f>IF(P149="","",$B149*'AEO 2017_Table 13'!R$36/'AEO 2017_Table 13'!$C$36)</f>
        <v>6.1840481100335856</v>
      </c>
      <c r="R149" s="197">
        <f>IF(Q149="","",$B149*'AEO 2017_Table 13'!S$36/'AEO 2017_Table 13'!$C$36)</f>
        <v>6.2058725133890684</v>
      </c>
      <c r="S149" s="197">
        <f>IF(R149="","",$B149*'AEO 2017_Table 13'!T$36/'AEO 2017_Table 13'!$C$36)</f>
        <v>6.2478024937689653</v>
      </c>
      <c r="T149" s="197">
        <f>IF(S149="","",$B149*'AEO 2017_Table 13'!U$36/'AEO 2017_Table 13'!$C$36)</f>
        <v>6.2879918139026314</v>
      </c>
      <c r="U149" s="197">
        <f>IF(T149="","",$B149*'AEO 2017_Table 13'!V$36/'AEO 2017_Table 13'!$C$36)</f>
        <v>6.3634878719144581</v>
      </c>
      <c r="V149" s="197">
        <f>IF(U149="","",$B149*'AEO 2017_Table 13'!W$36/'AEO 2017_Table 13'!$C$36)</f>
        <v>6.4553208867231122</v>
      </c>
      <c r="W149" s="197">
        <f>IF(V149="","",$B149*'AEO 2017_Table 13'!X$36/'AEO 2017_Table 13'!$C$36)</f>
        <v>6.5243108703719814</v>
      </c>
      <c r="X149" s="197">
        <f>IF(W149="","",$B149*'AEO 2017_Table 13'!Y$36/'AEO 2017_Table 13'!$C$36)</f>
        <v>6.5852112803653435</v>
      </c>
      <c r="Y149" s="197">
        <f>IF(X149="","",$B149*'AEO 2017_Table 13'!Z$36/'AEO 2017_Table 13'!$C$36)</f>
        <v>6.6477055661653939</v>
      </c>
      <c r="Z149" s="197">
        <f>IF(Y149="","",$B149*'AEO 2017_Table 13'!AA$36/'AEO 2017_Table 13'!$C$36)</f>
        <v>6.7282558512707178</v>
      </c>
      <c r="AA149" s="197">
        <f>IF(Z149="","",$B149*'AEO 2017_Table 13'!AB$36/'AEO 2017_Table 13'!$C$36)</f>
        <v>6.7725181693799446</v>
      </c>
      <c r="AB149" s="197">
        <f>IF(AA149="","",$B149*'AEO 2017_Table 13'!AC$36/'AEO 2017_Table 13'!$C$36)</f>
        <v>6.8179575733114168</v>
      </c>
      <c r="AC149" s="197">
        <f>IF(AB149="","",$B149*'AEO 2017_Table 13'!AD$36/'AEO 2017_Table 13'!$C$36)</f>
        <v>6.8503733711159516</v>
      </c>
      <c r="AD149" s="197">
        <f>IF(AC149="","",$B149*'AEO 2017_Table 13'!AE$36/'AEO 2017_Table 13'!$C$36)</f>
        <v>6.8948700255027378</v>
      </c>
      <c r="AE149" s="197">
        <f>IF(AD149="","",$B149*'AEO 2017_Table 13'!AF$36/'AEO 2017_Table 13'!$C$36)</f>
        <v>6.9583816420428208</v>
      </c>
      <c r="AF149" s="197">
        <f>IF(AE149="","",$B149*'AEO 2017_Table 13'!AG$36/'AEO 2017_Table 13'!$C$36)</f>
        <v>7.0229205334823197</v>
      </c>
      <c r="AG149" s="197">
        <f>IF(AF149="","",$B149*'AEO 2017_Table 13'!AH$36/'AEO 2017_Table 13'!$C$36)</f>
        <v>7.0786917028320788</v>
      </c>
      <c r="AH149" s="197">
        <f>IF(AG149="","",$B149*'AEO 2017_Table 13'!AI$36/'AEO 2017_Table 13'!$C$36)</f>
        <v>7.136531905864981</v>
      </c>
      <c r="AI149" s="197">
        <f>IF(AH149="","",$B149*'AEO 2017_Table 13'!AJ$36/'AEO 2017_Table 13'!$C$36)</f>
        <v>7.1817129778299549</v>
      </c>
      <c r="AJ149" s="197">
        <f>IF(AI149="","",$B149*'AEO 2017_Table 13'!AK$36/'AEO 2017_Table 13'!$C$36)</f>
        <v>7.2277524901622634</v>
      </c>
      <c r="AK149" s="197">
        <f>IF(AJ149="","",$B149*'AEO 2017_Table 13'!AL$36/'AEO 2017_Table 13'!$C$36)</f>
        <v>7.2911581797872138</v>
      </c>
    </row>
    <row r="150" spans="1:37" x14ac:dyDescent="0.25">
      <c r="A150" s="221" t="s">
        <v>1504</v>
      </c>
      <c r="B150" s="223"/>
      <c r="C150" s="223" t="str">
        <f>IF(B150="","",$B150*'AEO 2017_Table 13'!D$36/'AEO 2017_Table 13'!$C$36)</f>
        <v/>
      </c>
      <c r="D150" s="223" t="str">
        <f>IF(C150="","",$B150*'AEO 2017_Table 13'!E$36/'AEO 2017_Table 13'!$C$36)</f>
        <v/>
      </c>
      <c r="E150" s="223" t="str">
        <f>IF(D150="","",$B150*'AEO 2017_Table 13'!F$36/'AEO 2017_Table 13'!$C$36)</f>
        <v/>
      </c>
      <c r="F150" s="223" t="str">
        <f>IF(E150="","",$B150*'AEO 2017_Table 13'!G$36/'AEO 2017_Table 13'!$C$36)</f>
        <v/>
      </c>
      <c r="G150" s="223" t="str">
        <f>IF(F150="","",$B150*'AEO 2017_Table 13'!H$36/'AEO 2017_Table 13'!$C$36)</f>
        <v/>
      </c>
      <c r="H150" s="223" t="str">
        <f>IF(G150="","",$B150*'AEO 2017_Table 13'!I$36/'AEO 2017_Table 13'!$C$36)</f>
        <v/>
      </c>
      <c r="I150" s="223" t="str">
        <f>IF(H150="","",$B150*'AEO 2017_Table 13'!J$36/'AEO 2017_Table 13'!$C$36)</f>
        <v/>
      </c>
      <c r="J150" s="223" t="str">
        <f>IF(I150="","",$B150*'AEO 2017_Table 13'!K$36/'AEO 2017_Table 13'!$C$36)</f>
        <v/>
      </c>
      <c r="K150" s="223" t="str">
        <f>IF(J150="","",$B150*'AEO 2017_Table 13'!L$36/'AEO 2017_Table 13'!$C$36)</f>
        <v/>
      </c>
      <c r="L150" s="223" t="str">
        <f>IF(K150="","",$B150*'AEO 2017_Table 13'!M$36/'AEO 2017_Table 13'!$C$36)</f>
        <v/>
      </c>
      <c r="M150" s="223" t="str">
        <f>IF(L150="","",$B150*'AEO 2017_Table 13'!N$36/'AEO 2017_Table 13'!$C$36)</f>
        <v/>
      </c>
      <c r="N150" s="223" t="str">
        <f>IF(M150="","",$B150*'AEO 2017_Table 13'!O$36/'AEO 2017_Table 13'!$C$36)</f>
        <v/>
      </c>
      <c r="O150" s="223" t="str">
        <f>IF(N150="","",$B150*'AEO 2017_Table 13'!P$36/'AEO 2017_Table 13'!$C$36)</f>
        <v/>
      </c>
      <c r="P150" s="223" t="str">
        <f>IF(O150="","",$B150*'AEO 2017_Table 13'!Q$36/'AEO 2017_Table 13'!$C$36)</f>
        <v/>
      </c>
      <c r="Q150" s="223" t="str">
        <f>IF(P150="","",$B150*'AEO 2017_Table 13'!R$36/'AEO 2017_Table 13'!$C$36)</f>
        <v/>
      </c>
      <c r="R150" s="223" t="str">
        <f>IF(Q150="","",$B150*'AEO 2017_Table 13'!S$36/'AEO 2017_Table 13'!$C$36)</f>
        <v/>
      </c>
      <c r="S150" s="223" t="str">
        <f>IF(R150="","",$B150*'AEO 2017_Table 13'!T$36/'AEO 2017_Table 13'!$C$36)</f>
        <v/>
      </c>
      <c r="T150" s="223" t="str">
        <f>IF(S150="","",$B150*'AEO 2017_Table 13'!U$36/'AEO 2017_Table 13'!$C$36)</f>
        <v/>
      </c>
      <c r="U150" s="223" t="str">
        <f>IF(T150="","",$B150*'AEO 2017_Table 13'!V$36/'AEO 2017_Table 13'!$C$36)</f>
        <v/>
      </c>
      <c r="V150" s="223" t="str">
        <f>IF(U150="","",$B150*'AEO 2017_Table 13'!W$36/'AEO 2017_Table 13'!$C$36)</f>
        <v/>
      </c>
      <c r="W150" s="223" t="str">
        <f>IF(V150="","",$B150*'AEO 2017_Table 13'!X$36/'AEO 2017_Table 13'!$C$36)</f>
        <v/>
      </c>
      <c r="X150" s="223" t="str">
        <f>IF(W150="","",$B150*'AEO 2017_Table 13'!Y$36/'AEO 2017_Table 13'!$C$36)</f>
        <v/>
      </c>
      <c r="Y150" s="223" t="str">
        <f>IF(X150="","",$B150*'AEO 2017_Table 13'!Z$36/'AEO 2017_Table 13'!$C$36)</f>
        <v/>
      </c>
      <c r="Z150" s="223" t="str">
        <f>IF(Y150="","",$B150*'AEO 2017_Table 13'!AA$36/'AEO 2017_Table 13'!$C$36)</f>
        <v/>
      </c>
      <c r="AA150" s="223" t="str">
        <f>IF(Z150="","",$B150*'AEO 2017_Table 13'!AB$36/'AEO 2017_Table 13'!$C$36)</f>
        <v/>
      </c>
      <c r="AB150" s="223" t="str">
        <f>IF(AA150="","",$B150*'AEO 2017_Table 13'!AC$36/'AEO 2017_Table 13'!$C$36)</f>
        <v/>
      </c>
      <c r="AC150" s="223" t="str">
        <f>IF(AB150="","",$B150*'AEO 2017_Table 13'!AD$36/'AEO 2017_Table 13'!$C$36)</f>
        <v/>
      </c>
      <c r="AD150" s="223" t="str">
        <f>IF(AC150="","",$B150*'AEO 2017_Table 13'!AE$36/'AEO 2017_Table 13'!$C$36)</f>
        <v/>
      </c>
      <c r="AE150" s="223" t="str">
        <f>IF(AD150="","",$B150*'AEO 2017_Table 13'!AF$36/'AEO 2017_Table 13'!$C$36)</f>
        <v/>
      </c>
      <c r="AF150" s="223" t="str">
        <f>IF(AE150="","",$B150*'AEO 2017_Table 13'!AG$36/'AEO 2017_Table 13'!$C$36)</f>
        <v/>
      </c>
      <c r="AG150" s="223" t="str">
        <f>IF(AF150="","",$B150*'AEO 2017_Table 13'!AH$36/'AEO 2017_Table 13'!$C$36)</f>
        <v/>
      </c>
      <c r="AH150" s="223" t="str">
        <f>IF(AG150="","",$B150*'AEO 2017_Table 13'!AI$36/'AEO 2017_Table 13'!$C$36)</f>
        <v/>
      </c>
      <c r="AI150" s="223" t="str">
        <f>IF(AH150="","",$B150*'AEO 2017_Table 13'!AJ$36/'AEO 2017_Table 13'!$C$36)</f>
        <v/>
      </c>
      <c r="AJ150" s="223" t="str">
        <f>IF(AI150="","",$B150*'AEO 2017_Table 13'!AK$36/'AEO 2017_Table 13'!$C$36)</f>
        <v/>
      </c>
      <c r="AK150" s="223" t="str">
        <f>IF(AJ150="","",$B150*'AEO 2017_Table 13'!AL$36/'AEO 2017_Table 13'!$C$36)</f>
        <v/>
      </c>
    </row>
    <row r="151" spans="1:37" x14ac:dyDescent="0.25">
      <c r="A151" s="215" t="s">
        <v>1497</v>
      </c>
      <c r="B151" s="195">
        <v>1.16417885661</v>
      </c>
      <c r="C151" s="197">
        <f>IF(B151="","",$B151*'AEO 2017_Table 62'!D$20/'AEO 2017_Table 62'!$C$20)</f>
        <v>1.0292807037677159</v>
      </c>
      <c r="D151" s="197">
        <f>IF(C151="","",$B151*'AEO 2017_Table 62'!E$20/'AEO 2017_Table 62'!$C$20)</f>
        <v>0.93315314673426808</v>
      </c>
      <c r="E151" s="197">
        <f>IF(D151="","",$B151*'AEO 2017_Table 62'!F$20/'AEO 2017_Table 62'!$C$20)</f>
        <v>0.93315314673426808</v>
      </c>
      <c r="F151" s="197">
        <f>IF(E151="","",$B151*'AEO 2017_Table 62'!G$20/'AEO 2017_Table 62'!$C$20)</f>
        <v>0.81810686836976931</v>
      </c>
      <c r="G151" s="197">
        <f>IF(F151="","",$B151*'AEO 2017_Table 62'!H$20/'AEO 2017_Table 62'!$C$20)</f>
        <v>0.70306059000527044</v>
      </c>
      <c r="H151" s="197">
        <f>IF(G151="","",$B151*'AEO 2017_Table 62'!I$20/'AEO 2017_Table 62'!$C$20)</f>
        <v>0.70306059000527044</v>
      </c>
      <c r="I151" s="197">
        <f>IF(H151="","",$B151*'AEO 2017_Table 62'!J$20/'AEO 2017_Table 62'!$C$20)</f>
        <v>0.70306059000527044</v>
      </c>
      <c r="J151" s="197">
        <f>IF(I151="","",$B151*'AEO 2017_Table 62'!K$20/'AEO 2017_Table 62'!$C$20)</f>
        <v>0.70306059000527044</v>
      </c>
      <c r="K151" s="197">
        <f>IF(J151="","",$B151*'AEO 2017_Table 62'!L$20/'AEO 2017_Table 62'!$C$20)</f>
        <v>0.70306059000527044</v>
      </c>
      <c r="L151" s="197">
        <f>IF(K151="","",$B151*'AEO 2017_Table 62'!M$20/'AEO 2017_Table 62'!$C$20)</f>
        <v>0.70306059000527044</v>
      </c>
      <c r="M151" s="197">
        <f>IF(L151="","",$B151*'AEO 2017_Table 62'!N$20/'AEO 2017_Table 62'!$C$20)</f>
        <v>0.70306059000527044</v>
      </c>
      <c r="N151" s="197">
        <f>IF(M151="","",$B151*'AEO 2017_Table 62'!O$20/'AEO 2017_Table 62'!$C$20)</f>
        <v>0.70306059000527044</v>
      </c>
      <c r="O151" s="197">
        <f>IF(N151="","",$B151*'AEO 2017_Table 62'!P$20/'AEO 2017_Table 62'!$C$20)</f>
        <v>0.70306059000527044</v>
      </c>
      <c r="P151" s="197">
        <f>IF(O151="","",$B151*'AEO 2017_Table 62'!Q$20/'AEO 2017_Table 62'!$C$20)</f>
        <v>0.70306059000527044</v>
      </c>
      <c r="Q151" s="197">
        <f>IF(P151="","",$B151*'AEO 2017_Table 62'!R$20/'AEO 2017_Table 62'!$C$20)</f>
        <v>0.70306059000527044</v>
      </c>
      <c r="R151" s="197">
        <f>IF(Q151="","",$B151*'AEO 2017_Table 62'!S$20/'AEO 2017_Table 62'!$C$20)</f>
        <v>0.70306059000527044</v>
      </c>
      <c r="S151" s="197">
        <f>IF(R151="","",$B151*'AEO 2017_Table 62'!T$20/'AEO 2017_Table 62'!$C$20)</f>
        <v>0.70306059000527044</v>
      </c>
      <c r="T151" s="197">
        <f>IF(S151="","",$B151*'AEO 2017_Table 62'!U$20/'AEO 2017_Table 62'!$C$20)</f>
        <v>0.70306059000527044</v>
      </c>
      <c r="U151" s="197">
        <f>IF(T151="","",$B151*'AEO 2017_Table 62'!V$20/'AEO 2017_Table 62'!$C$20)</f>
        <v>0.70306059000527044</v>
      </c>
      <c r="V151" s="197">
        <f>IF(U151="","",$B151*'AEO 2017_Table 62'!W$20/'AEO 2017_Table 62'!$C$20)</f>
        <v>0.70306059000527044</v>
      </c>
      <c r="W151" s="197">
        <f>IF(V151="","",$B151*'AEO 2017_Table 62'!X$20/'AEO 2017_Table 62'!$C$20)</f>
        <v>0.70306059000527044</v>
      </c>
      <c r="X151" s="197">
        <f>IF(W151="","",$B151*'AEO 2017_Table 62'!Y$20/'AEO 2017_Table 62'!$C$20)</f>
        <v>0.70306059000527044</v>
      </c>
      <c r="Y151" s="197">
        <f>IF(X151="","",$B151*'AEO 2017_Table 62'!Z$20/'AEO 2017_Table 62'!$C$20)</f>
        <v>0.70306059000527044</v>
      </c>
      <c r="Z151" s="197">
        <f>IF(Y151="","",$B151*'AEO 2017_Table 62'!AA$20/'AEO 2017_Table 62'!$C$20)</f>
        <v>0.70306059000527044</v>
      </c>
      <c r="AA151" s="197">
        <f>IF(Z151="","",$B151*'AEO 2017_Table 62'!AB$20/'AEO 2017_Table 62'!$C$20)</f>
        <v>0.70306059000527044</v>
      </c>
      <c r="AB151" s="197">
        <f>IF(AA151="","",$B151*'AEO 2017_Table 62'!AC$20/'AEO 2017_Table 62'!$C$20)</f>
        <v>0.70306059000527044</v>
      </c>
      <c r="AC151" s="197">
        <f>IF(AB151="","",$B151*'AEO 2017_Table 62'!AD$20/'AEO 2017_Table 62'!$C$20)</f>
        <v>0.70306059000527044</v>
      </c>
      <c r="AD151" s="197">
        <f>IF(AC151="","",$B151*'AEO 2017_Table 62'!AE$20/'AEO 2017_Table 62'!$C$20)</f>
        <v>0.70306059000527044</v>
      </c>
      <c r="AE151" s="197">
        <f>IF(AD151="","",$B151*'AEO 2017_Table 62'!AF$20/'AEO 2017_Table 62'!$C$20)</f>
        <v>0.70306059000527044</v>
      </c>
      <c r="AF151" s="197">
        <f>IF(AE151="","",$B151*'AEO 2017_Table 62'!AG$20/'AEO 2017_Table 62'!$C$20)</f>
        <v>0.70306059000527044</v>
      </c>
      <c r="AG151" s="197">
        <f>IF(AF151="","",$B151*'AEO 2017_Table 62'!AH$20/'AEO 2017_Table 62'!$C$20)</f>
        <v>0.70306059000527044</v>
      </c>
      <c r="AH151" s="197">
        <f>IF(AG151="","",$B151*'AEO 2017_Table 62'!AI$20/'AEO 2017_Table 62'!$C$20)</f>
        <v>0.70306059000527044</v>
      </c>
      <c r="AI151" s="197">
        <f>IF(AH151="","",$B151*'AEO 2017_Table 62'!AJ$20/'AEO 2017_Table 62'!$C$20)</f>
        <v>0.70306059000527044</v>
      </c>
      <c r="AJ151" s="197">
        <f>IF(AI151="","",$B151*'AEO 2017_Table 62'!AK$20/'AEO 2017_Table 62'!$C$20)</f>
        <v>0.70306059000527044</v>
      </c>
      <c r="AK151" s="197">
        <f>IF(AJ151="","",$B151*'AEO 2017_Table 62'!AL$20/'AEO 2017_Table 62'!$C$20)</f>
        <v>0.70306059000527044</v>
      </c>
    </row>
    <row r="152" spans="1:37" x14ac:dyDescent="0.25">
      <c r="A152" s="214" t="s">
        <v>1498</v>
      </c>
      <c r="B152" s="198">
        <v>5.5517819781600011</v>
      </c>
      <c r="C152" s="197">
        <f>IF(B152="","",$B152*'AEO 2017_Table 62'!D$20/'AEO 2017_Table 62'!$C$20)</f>
        <v>4.908474354434829</v>
      </c>
      <c r="D152" s="197">
        <f>IF(C152="","",$B152*'AEO 2017_Table 62'!E$20/'AEO 2017_Table 62'!$C$20)</f>
        <v>4.4500574748353525</v>
      </c>
      <c r="E152" s="197">
        <f>IF(D152="","",$B152*'AEO 2017_Table 62'!F$20/'AEO 2017_Table 62'!$C$20)</f>
        <v>4.4500574748353525</v>
      </c>
      <c r="F152" s="197">
        <f>IF(E152="","",$B152*'AEO 2017_Table 62'!G$20/'AEO 2017_Table 62'!$C$20)</f>
        <v>3.9014202519104462</v>
      </c>
      <c r="G152" s="197">
        <f>IF(F152="","",$B152*'AEO 2017_Table 62'!H$20/'AEO 2017_Table 62'!$C$20)</f>
        <v>3.3527830289855398</v>
      </c>
      <c r="H152" s="197">
        <f>IF(G152="","",$B152*'AEO 2017_Table 62'!I$20/'AEO 2017_Table 62'!$C$20)</f>
        <v>3.3527830289855398</v>
      </c>
      <c r="I152" s="197">
        <f>IF(H152="","",$B152*'AEO 2017_Table 62'!J$20/'AEO 2017_Table 62'!$C$20)</f>
        <v>3.3527830289855398</v>
      </c>
      <c r="J152" s="197">
        <f>IF(I152="","",$B152*'AEO 2017_Table 62'!K$20/'AEO 2017_Table 62'!$C$20)</f>
        <v>3.3527830289855398</v>
      </c>
      <c r="K152" s="197">
        <f>IF(J152="","",$B152*'AEO 2017_Table 62'!L$20/'AEO 2017_Table 62'!$C$20)</f>
        <v>3.3527830289855398</v>
      </c>
      <c r="L152" s="197">
        <f>IF(K152="","",$B152*'AEO 2017_Table 62'!M$20/'AEO 2017_Table 62'!$C$20)</f>
        <v>3.3527830289855398</v>
      </c>
      <c r="M152" s="197">
        <f>IF(L152="","",$B152*'AEO 2017_Table 62'!N$20/'AEO 2017_Table 62'!$C$20)</f>
        <v>3.3527830289855398</v>
      </c>
      <c r="N152" s="197">
        <f>IF(M152="","",$B152*'AEO 2017_Table 62'!O$20/'AEO 2017_Table 62'!$C$20)</f>
        <v>3.3527830289855398</v>
      </c>
      <c r="O152" s="197">
        <f>IF(N152="","",$B152*'AEO 2017_Table 62'!P$20/'AEO 2017_Table 62'!$C$20)</f>
        <v>3.3527830289855398</v>
      </c>
      <c r="P152" s="197">
        <f>IF(O152="","",$B152*'AEO 2017_Table 62'!Q$20/'AEO 2017_Table 62'!$C$20)</f>
        <v>3.3527830289855398</v>
      </c>
      <c r="Q152" s="197">
        <f>IF(P152="","",$B152*'AEO 2017_Table 62'!R$20/'AEO 2017_Table 62'!$C$20)</f>
        <v>3.3527830289855398</v>
      </c>
      <c r="R152" s="197">
        <f>IF(Q152="","",$B152*'AEO 2017_Table 62'!S$20/'AEO 2017_Table 62'!$C$20)</f>
        <v>3.3527830289855398</v>
      </c>
      <c r="S152" s="197">
        <f>IF(R152="","",$B152*'AEO 2017_Table 62'!T$20/'AEO 2017_Table 62'!$C$20)</f>
        <v>3.3527830289855398</v>
      </c>
      <c r="T152" s="197">
        <f>IF(S152="","",$B152*'AEO 2017_Table 62'!U$20/'AEO 2017_Table 62'!$C$20)</f>
        <v>3.3527830289855398</v>
      </c>
      <c r="U152" s="197">
        <f>IF(T152="","",$B152*'AEO 2017_Table 62'!V$20/'AEO 2017_Table 62'!$C$20)</f>
        <v>3.3527830289855398</v>
      </c>
      <c r="V152" s="197">
        <f>IF(U152="","",$B152*'AEO 2017_Table 62'!W$20/'AEO 2017_Table 62'!$C$20)</f>
        <v>3.3527830289855398</v>
      </c>
      <c r="W152" s="197">
        <f>IF(V152="","",$B152*'AEO 2017_Table 62'!X$20/'AEO 2017_Table 62'!$C$20)</f>
        <v>3.3527830289855398</v>
      </c>
      <c r="X152" s="197">
        <f>IF(W152="","",$B152*'AEO 2017_Table 62'!Y$20/'AEO 2017_Table 62'!$C$20)</f>
        <v>3.3527830289855398</v>
      </c>
      <c r="Y152" s="197">
        <f>IF(X152="","",$B152*'AEO 2017_Table 62'!Z$20/'AEO 2017_Table 62'!$C$20)</f>
        <v>3.3527830289855398</v>
      </c>
      <c r="Z152" s="197">
        <f>IF(Y152="","",$B152*'AEO 2017_Table 62'!AA$20/'AEO 2017_Table 62'!$C$20)</f>
        <v>3.3527830289855398</v>
      </c>
      <c r="AA152" s="197">
        <f>IF(Z152="","",$B152*'AEO 2017_Table 62'!AB$20/'AEO 2017_Table 62'!$C$20)</f>
        <v>3.3527830289855398</v>
      </c>
      <c r="AB152" s="197">
        <f>IF(AA152="","",$B152*'AEO 2017_Table 62'!AC$20/'AEO 2017_Table 62'!$C$20)</f>
        <v>3.3527830289855398</v>
      </c>
      <c r="AC152" s="197">
        <f>IF(AB152="","",$B152*'AEO 2017_Table 62'!AD$20/'AEO 2017_Table 62'!$C$20)</f>
        <v>3.3527830289855398</v>
      </c>
      <c r="AD152" s="197">
        <f>IF(AC152="","",$B152*'AEO 2017_Table 62'!AE$20/'AEO 2017_Table 62'!$C$20)</f>
        <v>3.3527830289855398</v>
      </c>
      <c r="AE152" s="197">
        <f>IF(AD152="","",$B152*'AEO 2017_Table 62'!AF$20/'AEO 2017_Table 62'!$C$20)</f>
        <v>3.3527830289855398</v>
      </c>
      <c r="AF152" s="197">
        <f>IF(AE152="","",$B152*'AEO 2017_Table 62'!AG$20/'AEO 2017_Table 62'!$C$20)</f>
        <v>3.3527830289855398</v>
      </c>
      <c r="AG152" s="197">
        <f>IF(AF152="","",$B152*'AEO 2017_Table 62'!AH$20/'AEO 2017_Table 62'!$C$20)</f>
        <v>3.3527830289855398</v>
      </c>
      <c r="AH152" s="197">
        <f>IF(AG152="","",$B152*'AEO 2017_Table 62'!AI$20/'AEO 2017_Table 62'!$C$20)</f>
        <v>3.3527830289855398</v>
      </c>
      <c r="AI152" s="197">
        <f>IF(AH152="","",$B152*'AEO 2017_Table 62'!AJ$20/'AEO 2017_Table 62'!$C$20)</f>
        <v>3.3527830289855398</v>
      </c>
      <c r="AJ152" s="197">
        <f>IF(AI152="","",$B152*'AEO 2017_Table 62'!AK$20/'AEO 2017_Table 62'!$C$20)</f>
        <v>3.3527830289855398</v>
      </c>
      <c r="AK152" s="197">
        <f>IF(AJ152="","",$B152*'AEO 2017_Table 62'!AL$20/'AEO 2017_Table 62'!$C$20)</f>
        <v>3.3527830289855398</v>
      </c>
    </row>
    <row r="153" spans="1:37" x14ac:dyDescent="0.25">
      <c r="A153" s="208" t="s">
        <v>1499</v>
      </c>
      <c r="B153" s="197">
        <v>1.4185058758200002</v>
      </c>
      <c r="C153" s="197">
        <f>IF(B153="","",$B153*'AEO 2017_Table 62'!D$20/'AEO 2017_Table 62'!$C$20)</f>
        <v>1.2541378138529136</v>
      </c>
      <c r="D153" s="197">
        <f>IF(C153="","",$B153*'AEO 2017_Table 62'!E$20/'AEO 2017_Table 62'!$C$20)</f>
        <v>1.1370101889128503</v>
      </c>
      <c r="E153" s="197">
        <f>IF(D153="","",$B153*'AEO 2017_Table 62'!F$20/'AEO 2017_Table 62'!$C$20)</f>
        <v>1.1370101889128503</v>
      </c>
      <c r="F153" s="197">
        <f>IF(E153="","",$B153*'AEO 2017_Table 62'!G$20/'AEO 2017_Table 62'!$C$20)</f>
        <v>0.99683085055373188</v>
      </c>
      <c r="G153" s="197">
        <f>IF(F153="","",$B153*'AEO 2017_Table 62'!H$20/'AEO 2017_Table 62'!$C$20)</f>
        <v>0.85665151219461333</v>
      </c>
      <c r="H153" s="197">
        <f>IF(G153="","",$B153*'AEO 2017_Table 62'!I$20/'AEO 2017_Table 62'!$C$20)</f>
        <v>0.85665151219461333</v>
      </c>
      <c r="I153" s="197">
        <f>IF(H153="","",$B153*'AEO 2017_Table 62'!J$20/'AEO 2017_Table 62'!$C$20)</f>
        <v>0.85665151219461333</v>
      </c>
      <c r="J153" s="197">
        <f>IF(I153="","",$B153*'AEO 2017_Table 62'!K$20/'AEO 2017_Table 62'!$C$20)</f>
        <v>0.85665151219461333</v>
      </c>
      <c r="K153" s="197">
        <f>IF(J153="","",$B153*'AEO 2017_Table 62'!L$20/'AEO 2017_Table 62'!$C$20)</f>
        <v>0.85665151219461333</v>
      </c>
      <c r="L153" s="197">
        <f>IF(K153="","",$B153*'AEO 2017_Table 62'!M$20/'AEO 2017_Table 62'!$C$20)</f>
        <v>0.85665151219461333</v>
      </c>
      <c r="M153" s="197">
        <f>IF(L153="","",$B153*'AEO 2017_Table 62'!N$20/'AEO 2017_Table 62'!$C$20)</f>
        <v>0.85665151219461333</v>
      </c>
      <c r="N153" s="197">
        <f>IF(M153="","",$B153*'AEO 2017_Table 62'!O$20/'AEO 2017_Table 62'!$C$20)</f>
        <v>0.85665151219461333</v>
      </c>
      <c r="O153" s="197">
        <f>IF(N153="","",$B153*'AEO 2017_Table 62'!P$20/'AEO 2017_Table 62'!$C$20)</f>
        <v>0.85665151219461333</v>
      </c>
      <c r="P153" s="197">
        <f>IF(O153="","",$B153*'AEO 2017_Table 62'!Q$20/'AEO 2017_Table 62'!$C$20)</f>
        <v>0.85665151219461333</v>
      </c>
      <c r="Q153" s="197">
        <f>IF(P153="","",$B153*'AEO 2017_Table 62'!R$20/'AEO 2017_Table 62'!$C$20)</f>
        <v>0.85665151219461333</v>
      </c>
      <c r="R153" s="197">
        <f>IF(Q153="","",$B153*'AEO 2017_Table 62'!S$20/'AEO 2017_Table 62'!$C$20)</f>
        <v>0.85665151219461333</v>
      </c>
      <c r="S153" s="197">
        <f>IF(R153="","",$B153*'AEO 2017_Table 62'!T$20/'AEO 2017_Table 62'!$C$20)</f>
        <v>0.85665151219461333</v>
      </c>
      <c r="T153" s="197">
        <f>IF(S153="","",$B153*'AEO 2017_Table 62'!U$20/'AEO 2017_Table 62'!$C$20)</f>
        <v>0.85665151219461333</v>
      </c>
      <c r="U153" s="197">
        <f>IF(T153="","",$B153*'AEO 2017_Table 62'!V$20/'AEO 2017_Table 62'!$C$20)</f>
        <v>0.85665151219461333</v>
      </c>
      <c r="V153" s="197">
        <f>IF(U153="","",$B153*'AEO 2017_Table 62'!W$20/'AEO 2017_Table 62'!$C$20)</f>
        <v>0.85665151219461333</v>
      </c>
      <c r="W153" s="197">
        <f>IF(V153="","",$B153*'AEO 2017_Table 62'!X$20/'AEO 2017_Table 62'!$C$20)</f>
        <v>0.85665151219461333</v>
      </c>
      <c r="X153" s="197">
        <f>IF(W153="","",$B153*'AEO 2017_Table 62'!Y$20/'AEO 2017_Table 62'!$C$20)</f>
        <v>0.85665151219461333</v>
      </c>
      <c r="Y153" s="197">
        <f>IF(X153="","",$B153*'AEO 2017_Table 62'!Z$20/'AEO 2017_Table 62'!$C$20)</f>
        <v>0.85665151219461333</v>
      </c>
      <c r="Z153" s="197">
        <f>IF(Y153="","",$B153*'AEO 2017_Table 62'!AA$20/'AEO 2017_Table 62'!$C$20)</f>
        <v>0.85665151219461333</v>
      </c>
      <c r="AA153" s="197">
        <f>IF(Z153="","",$B153*'AEO 2017_Table 62'!AB$20/'AEO 2017_Table 62'!$C$20)</f>
        <v>0.85665151219461333</v>
      </c>
      <c r="AB153" s="197">
        <f>IF(AA153="","",$B153*'AEO 2017_Table 62'!AC$20/'AEO 2017_Table 62'!$C$20)</f>
        <v>0.85665151219461333</v>
      </c>
      <c r="AC153" s="197">
        <f>IF(AB153="","",$B153*'AEO 2017_Table 62'!AD$20/'AEO 2017_Table 62'!$C$20)</f>
        <v>0.85665151219461333</v>
      </c>
      <c r="AD153" s="197">
        <f>IF(AC153="","",$B153*'AEO 2017_Table 62'!AE$20/'AEO 2017_Table 62'!$C$20)</f>
        <v>0.85665151219461333</v>
      </c>
      <c r="AE153" s="197">
        <f>IF(AD153="","",$B153*'AEO 2017_Table 62'!AF$20/'AEO 2017_Table 62'!$C$20)</f>
        <v>0.85665151219461333</v>
      </c>
      <c r="AF153" s="197">
        <f>IF(AE153="","",$B153*'AEO 2017_Table 62'!AG$20/'AEO 2017_Table 62'!$C$20)</f>
        <v>0.85665151219461333</v>
      </c>
      <c r="AG153" s="197">
        <f>IF(AF153="","",$B153*'AEO 2017_Table 62'!AH$20/'AEO 2017_Table 62'!$C$20)</f>
        <v>0.85665151219461333</v>
      </c>
      <c r="AH153" s="197">
        <f>IF(AG153="","",$B153*'AEO 2017_Table 62'!AI$20/'AEO 2017_Table 62'!$C$20)</f>
        <v>0.85665151219461333</v>
      </c>
      <c r="AI153" s="197">
        <f>IF(AH153="","",$B153*'AEO 2017_Table 62'!AJ$20/'AEO 2017_Table 62'!$C$20)</f>
        <v>0.85665151219461333</v>
      </c>
      <c r="AJ153" s="197">
        <f>IF(AI153="","",$B153*'AEO 2017_Table 62'!AK$20/'AEO 2017_Table 62'!$C$20)</f>
        <v>0.85665151219461333</v>
      </c>
      <c r="AK153" s="197">
        <f>IF(AJ153="","",$B153*'AEO 2017_Table 62'!AL$20/'AEO 2017_Table 62'!$C$20)</f>
        <v>0.85665151219461333</v>
      </c>
    </row>
    <row r="154" spans="1:37" x14ac:dyDescent="0.25">
      <c r="A154" s="209" t="s">
        <v>1500</v>
      </c>
      <c r="B154" s="193"/>
      <c r="C154" s="197" t="str">
        <f>IF(B154="","",$B154*'AEO 2017_Table 62'!D$20/'AEO 2017_Table 62'!$C$20)</f>
        <v/>
      </c>
      <c r="D154" s="197" t="str">
        <f>IF(C154="","",$B154*'AEO 2017_Table 62'!E$20/'AEO 2017_Table 62'!$C$20)</f>
        <v/>
      </c>
      <c r="E154" s="197" t="str">
        <f>IF(D154="","",$B154*'AEO 2017_Table 62'!F$20/'AEO 2017_Table 62'!$C$20)</f>
        <v/>
      </c>
      <c r="F154" s="197" t="str">
        <f>IF(E154="","",$B154*'AEO 2017_Table 62'!G$20/'AEO 2017_Table 62'!$C$20)</f>
        <v/>
      </c>
      <c r="G154" s="197" t="str">
        <f>IF(F154="","",$B154*'AEO 2017_Table 62'!H$20/'AEO 2017_Table 62'!$C$20)</f>
        <v/>
      </c>
      <c r="H154" s="197" t="str">
        <f>IF(G154="","",$B154*'AEO 2017_Table 62'!I$20/'AEO 2017_Table 62'!$C$20)</f>
        <v/>
      </c>
      <c r="I154" s="197" t="str">
        <f>IF(H154="","",$B154*'AEO 2017_Table 62'!J$20/'AEO 2017_Table 62'!$C$20)</f>
        <v/>
      </c>
      <c r="J154" s="197" t="str">
        <f>IF(I154="","",$B154*'AEO 2017_Table 62'!K$20/'AEO 2017_Table 62'!$C$20)</f>
        <v/>
      </c>
      <c r="K154" s="197" t="str">
        <f>IF(J154="","",$B154*'AEO 2017_Table 62'!L$20/'AEO 2017_Table 62'!$C$20)</f>
        <v/>
      </c>
      <c r="L154" s="197" t="str">
        <f>IF(K154="","",$B154*'AEO 2017_Table 62'!M$20/'AEO 2017_Table 62'!$C$20)</f>
        <v/>
      </c>
      <c r="M154" s="197" t="str">
        <f>IF(L154="","",$B154*'AEO 2017_Table 62'!N$20/'AEO 2017_Table 62'!$C$20)</f>
        <v/>
      </c>
      <c r="N154" s="197" t="str">
        <f>IF(M154="","",$B154*'AEO 2017_Table 62'!O$20/'AEO 2017_Table 62'!$C$20)</f>
        <v/>
      </c>
      <c r="O154" s="197" t="str">
        <f>IF(N154="","",$B154*'AEO 2017_Table 62'!P$20/'AEO 2017_Table 62'!$C$20)</f>
        <v/>
      </c>
      <c r="P154" s="197" t="str">
        <f>IF(O154="","",$B154*'AEO 2017_Table 62'!Q$20/'AEO 2017_Table 62'!$C$20)</f>
        <v/>
      </c>
      <c r="Q154" s="197" t="str">
        <f>IF(P154="","",$B154*'AEO 2017_Table 62'!R$20/'AEO 2017_Table 62'!$C$20)</f>
        <v/>
      </c>
      <c r="R154" s="197" t="str">
        <f>IF(Q154="","",$B154*'AEO 2017_Table 62'!S$20/'AEO 2017_Table 62'!$C$20)</f>
        <v/>
      </c>
      <c r="S154" s="197" t="str">
        <f>IF(R154="","",$B154*'AEO 2017_Table 62'!T$20/'AEO 2017_Table 62'!$C$20)</f>
        <v/>
      </c>
      <c r="T154" s="197" t="str">
        <f>IF(S154="","",$B154*'AEO 2017_Table 62'!U$20/'AEO 2017_Table 62'!$C$20)</f>
        <v/>
      </c>
      <c r="U154" s="197" t="str">
        <f>IF(T154="","",$B154*'AEO 2017_Table 62'!V$20/'AEO 2017_Table 62'!$C$20)</f>
        <v/>
      </c>
      <c r="V154" s="197" t="str">
        <f>IF(U154="","",$B154*'AEO 2017_Table 62'!W$20/'AEO 2017_Table 62'!$C$20)</f>
        <v/>
      </c>
      <c r="W154" s="197" t="str">
        <f>IF(V154="","",$B154*'AEO 2017_Table 62'!X$20/'AEO 2017_Table 62'!$C$20)</f>
        <v/>
      </c>
      <c r="X154" s="197" t="str">
        <f>IF(W154="","",$B154*'AEO 2017_Table 62'!Y$20/'AEO 2017_Table 62'!$C$20)</f>
        <v/>
      </c>
      <c r="Y154" s="197" t="str">
        <f>IF(X154="","",$B154*'AEO 2017_Table 62'!Z$20/'AEO 2017_Table 62'!$C$20)</f>
        <v/>
      </c>
      <c r="Z154" s="197" t="str">
        <f>IF(Y154="","",$B154*'AEO 2017_Table 62'!AA$20/'AEO 2017_Table 62'!$C$20)</f>
        <v/>
      </c>
      <c r="AA154" s="197" t="str">
        <f>IF(Z154="","",$B154*'AEO 2017_Table 62'!AB$20/'AEO 2017_Table 62'!$C$20)</f>
        <v/>
      </c>
      <c r="AB154" s="197" t="str">
        <f>IF(AA154="","",$B154*'AEO 2017_Table 62'!AC$20/'AEO 2017_Table 62'!$C$20)</f>
        <v/>
      </c>
      <c r="AC154" s="197" t="str">
        <f>IF(AB154="","",$B154*'AEO 2017_Table 62'!AD$20/'AEO 2017_Table 62'!$C$20)</f>
        <v/>
      </c>
      <c r="AD154" s="197" t="str">
        <f>IF(AC154="","",$B154*'AEO 2017_Table 62'!AE$20/'AEO 2017_Table 62'!$C$20)</f>
        <v/>
      </c>
      <c r="AE154" s="197" t="str">
        <f>IF(AD154="","",$B154*'AEO 2017_Table 62'!AF$20/'AEO 2017_Table 62'!$C$20)</f>
        <v/>
      </c>
      <c r="AF154" s="197" t="str">
        <f>IF(AE154="","",$B154*'AEO 2017_Table 62'!AG$20/'AEO 2017_Table 62'!$C$20)</f>
        <v/>
      </c>
      <c r="AG154" s="197" t="str">
        <f>IF(AF154="","",$B154*'AEO 2017_Table 62'!AH$20/'AEO 2017_Table 62'!$C$20)</f>
        <v/>
      </c>
      <c r="AH154" s="197" t="str">
        <f>IF(AG154="","",$B154*'AEO 2017_Table 62'!AI$20/'AEO 2017_Table 62'!$C$20)</f>
        <v/>
      </c>
      <c r="AI154" s="197" t="str">
        <f>IF(AH154="","",$B154*'AEO 2017_Table 62'!AJ$20/'AEO 2017_Table 62'!$C$20)</f>
        <v/>
      </c>
      <c r="AJ154" s="197" t="str">
        <f>IF(AI154="","",$B154*'AEO 2017_Table 62'!AK$20/'AEO 2017_Table 62'!$C$20)</f>
        <v/>
      </c>
      <c r="AK154" s="197" t="str">
        <f>IF(AJ154="","",$B154*'AEO 2017_Table 62'!AL$20/'AEO 2017_Table 62'!$C$20)</f>
        <v/>
      </c>
    </row>
    <row r="155" spans="1:37" x14ac:dyDescent="0.25">
      <c r="A155" s="215" t="s">
        <v>1501</v>
      </c>
      <c r="B155" s="195">
        <v>2.0099213141128769</v>
      </c>
      <c r="C155" s="197">
        <f>IF(B155="","",$B155*'AEO 2017_Table 62'!D$20/'AEO 2017_Table 62'!$C$20)</f>
        <v>1.7770235329062274</v>
      </c>
      <c r="D155" s="197">
        <f>IF(C155="","",$B155*'AEO 2017_Table 62'!E$20/'AEO 2017_Table 62'!$C$20)</f>
        <v>1.6110620703198533</v>
      </c>
      <c r="E155" s="197">
        <f>IF(D155="","",$B155*'AEO 2017_Table 62'!F$20/'AEO 2017_Table 62'!$C$20)</f>
        <v>1.6110620703198533</v>
      </c>
      <c r="F155" s="197">
        <f>IF(E155="","",$B155*'AEO 2017_Table 62'!G$20/'AEO 2017_Table 62'!$C$20)</f>
        <v>1.4124379794585016</v>
      </c>
      <c r="G155" s="197">
        <f>IF(F155="","",$B155*'AEO 2017_Table 62'!H$20/'AEO 2017_Table 62'!$C$20)</f>
        <v>1.2138138885971499</v>
      </c>
      <c r="H155" s="197">
        <f>IF(G155="","",$B155*'AEO 2017_Table 62'!I$20/'AEO 2017_Table 62'!$C$20)</f>
        <v>1.2138138885971499</v>
      </c>
      <c r="I155" s="197">
        <f>IF(H155="","",$B155*'AEO 2017_Table 62'!J$20/'AEO 2017_Table 62'!$C$20)</f>
        <v>1.2138138885971499</v>
      </c>
      <c r="J155" s="197">
        <f>IF(I155="","",$B155*'AEO 2017_Table 62'!K$20/'AEO 2017_Table 62'!$C$20)</f>
        <v>1.2138138885971499</v>
      </c>
      <c r="K155" s="197">
        <f>IF(J155="","",$B155*'AEO 2017_Table 62'!L$20/'AEO 2017_Table 62'!$C$20)</f>
        <v>1.2138138885971499</v>
      </c>
      <c r="L155" s="197">
        <f>IF(K155="","",$B155*'AEO 2017_Table 62'!M$20/'AEO 2017_Table 62'!$C$20)</f>
        <v>1.2138138885971499</v>
      </c>
      <c r="M155" s="197">
        <f>IF(L155="","",$B155*'AEO 2017_Table 62'!N$20/'AEO 2017_Table 62'!$C$20)</f>
        <v>1.2138138885971499</v>
      </c>
      <c r="N155" s="197">
        <f>IF(M155="","",$B155*'AEO 2017_Table 62'!O$20/'AEO 2017_Table 62'!$C$20)</f>
        <v>1.2138138885971499</v>
      </c>
      <c r="O155" s="197">
        <f>IF(N155="","",$B155*'AEO 2017_Table 62'!P$20/'AEO 2017_Table 62'!$C$20)</f>
        <v>1.2138138885971499</v>
      </c>
      <c r="P155" s="197">
        <f>IF(O155="","",$B155*'AEO 2017_Table 62'!Q$20/'AEO 2017_Table 62'!$C$20)</f>
        <v>1.2138138885971499</v>
      </c>
      <c r="Q155" s="197">
        <f>IF(P155="","",$B155*'AEO 2017_Table 62'!R$20/'AEO 2017_Table 62'!$C$20)</f>
        <v>1.2138138885971499</v>
      </c>
      <c r="R155" s="197">
        <f>IF(Q155="","",$B155*'AEO 2017_Table 62'!S$20/'AEO 2017_Table 62'!$C$20)</f>
        <v>1.2138138885971499</v>
      </c>
      <c r="S155" s="197">
        <f>IF(R155="","",$B155*'AEO 2017_Table 62'!T$20/'AEO 2017_Table 62'!$C$20)</f>
        <v>1.2138138885971499</v>
      </c>
      <c r="T155" s="197">
        <f>IF(S155="","",$B155*'AEO 2017_Table 62'!U$20/'AEO 2017_Table 62'!$C$20)</f>
        <v>1.2138138885971499</v>
      </c>
      <c r="U155" s="197">
        <f>IF(T155="","",$B155*'AEO 2017_Table 62'!V$20/'AEO 2017_Table 62'!$C$20)</f>
        <v>1.2138138885971499</v>
      </c>
      <c r="V155" s="197">
        <f>IF(U155="","",$B155*'AEO 2017_Table 62'!W$20/'AEO 2017_Table 62'!$C$20)</f>
        <v>1.2138138885971499</v>
      </c>
      <c r="W155" s="197">
        <f>IF(V155="","",$B155*'AEO 2017_Table 62'!X$20/'AEO 2017_Table 62'!$C$20)</f>
        <v>1.2138138885971499</v>
      </c>
      <c r="X155" s="197">
        <f>IF(W155="","",$B155*'AEO 2017_Table 62'!Y$20/'AEO 2017_Table 62'!$C$20)</f>
        <v>1.2138138885971499</v>
      </c>
      <c r="Y155" s="197">
        <f>IF(X155="","",$B155*'AEO 2017_Table 62'!Z$20/'AEO 2017_Table 62'!$C$20)</f>
        <v>1.2138138885971499</v>
      </c>
      <c r="Z155" s="197">
        <f>IF(Y155="","",$B155*'AEO 2017_Table 62'!AA$20/'AEO 2017_Table 62'!$C$20)</f>
        <v>1.2138138885971499</v>
      </c>
      <c r="AA155" s="197">
        <f>IF(Z155="","",$B155*'AEO 2017_Table 62'!AB$20/'AEO 2017_Table 62'!$C$20)</f>
        <v>1.2138138885971499</v>
      </c>
      <c r="AB155" s="197">
        <f>IF(AA155="","",$B155*'AEO 2017_Table 62'!AC$20/'AEO 2017_Table 62'!$C$20)</f>
        <v>1.2138138885971499</v>
      </c>
      <c r="AC155" s="197">
        <f>IF(AB155="","",$B155*'AEO 2017_Table 62'!AD$20/'AEO 2017_Table 62'!$C$20)</f>
        <v>1.2138138885971499</v>
      </c>
      <c r="AD155" s="197">
        <f>IF(AC155="","",$B155*'AEO 2017_Table 62'!AE$20/'AEO 2017_Table 62'!$C$20)</f>
        <v>1.2138138885971499</v>
      </c>
      <c r="AE155" s="197">
        <f>IF(AD155="","",$B155*'AEO 2017_Table 62'!AF$20/'AEO 2017_Table 62'!$C$20)</f>
        <v>1.2138138885971499</v>
      </c>
      <c r="AF155" s="197">
        <f>IF(AE155="","",$B155*'AEO 2017_Table 62'!AG$20/'AEO 2017_Table 62'!$C$20)</f>
        <v>1.2138138885971499</v>
      </c>
      <c r="AG155" s="197">
        <f>IF(AF155="","",$B155*'AEO 2017_Table 62'!AH$20/'AEO 2017_Table 62'!$C$20)</f>
        <v>1.2138138885971499</v>
      </c>
      <c r="AH155" s="197">
        <f>IF(AG155="","",$B155*'AEO 2017_Table 62'!AI$20/'AEO 2017_Table 62'!$C$20)</f>
        <v>1.2138138885971499</v>
      </c>
      <c r="AI155" s="197">
        <f>IF(AH155="","",$B155*'AEO 2017_Table 62'!AJ$20/'AEO 2017_Table 62'!$C$20)</f>
        <v>1.2138138885971499</v>
      </c>
      <c r="AJ155" s="197">
        <f>IF(AI155="","",$B155*'AEO 2017_Table 62'!AK$20/'AEO 2017_Table 62'!$C$20)</f>
        <v>1.2138138885971499</v>
      </c>
      <c r="AK155" s="197">
        <f>IF(AJ155="","",$B155*'AEO 2017_Table 62'!AL$20/'AEO 2017_Table 62'!$C$20)</f>
        <v>1.2138138885971499</v>
      </c>
    </row>
    <row r="156" spans="1:37" x14ac:dyDescent="0.25">
      <c r="A156" s="214" t="s">
        <v>1502</v>
      </c>
      <c r="B156" s="217">
        <v>1.0238928613545209E-2</v>
      </c>
      <c r="C156" s="197">
        <f>IF(B156="","",$B156*'AEO 2017_Table 62'!D$20/'AEO 2017_Table 62'!$C$20)</f>
        <v>9.0525021901404386E-3</v>
      </c>
      <c r="D156" s="197">
        <f>IF(C156="","",$B156*'AEO 2017_Table 62'!E$20/'AEO 2017_Table 62'!$C$20)</f>
        <v>8.2070623432718825E-3</v>
      </c>
      <c r="E156" s="197">
        <f>IF(D156="","",$B156*'AEO 2017_Table 62'!F$20/'AEO 2017_Table 62'!$C$20)</f>
        <v>8.2070623432718825E-3</v>
      </c>
      <c r="F156" s="197">
        <f>IF(E156="","",$B156*'AEO 2017_Table 62'!G$20/'AEO 2017_Table 62'!$C$20)</f>
        <v>7.1952327393068572E-3</v>
      </c>
      <c r="G156" s="197">
        <f>IF(F156="","",$B156*'AEO 2017_Table 62'!H$20/'AEO 2017_Table 62'!$C$20)</f>
        <v>6.1834031353418303E-3</v>
      </c>
      <c r="H156" s="197">
        <f>IF(G156="","",$B156*'AEO 2017_Table 62'!I$20/'AEO 2017_Table 62'!$C$20)</f>
        <v>6.1834031353418303E-3</v>
      </c>
      <c r="I156" s="197">
        <f>IF(H156="","",$B156*'AEO 2017_Table 62'!J$20/'AEO 2017_Table 62'!$C$20)</f>
        <v>6.1834031353418303E-3</v>
      </c>
      <c r="J156" s="197">
        <f>IF(I156="","",$B156*'AEO 2017_Table 62'!K$20/'AEO 2017_Table 62'!$C$20)</f>
        <v>6.1834031353418303E-3</v>
      </c>
      <c r="K156" s="197">
        <f>IF(J156="","",$B156*'AEO 2017_Table 62'!L$20/'AEO 2017_Table 62'!$C$20)</f>
        <v>6.1834031353418303E-3</v>
      </c>
      <c r="L156" s="197">
        <f>IF(K156="","",$B156*'AEO 2017_Table 62'!M$20/'AEO 2017_Table 62'!$C$20)</f>
        <v>6.1834031353418303E-3</v>
      </c>
      <c r="M156" s="197">
        <f>IF(L156="","",$B156*'AEO 2017_Table 62'!N$20/'AEO 2017_Table 62'!$C$20)</f>
        <v>6.1834031353418303E-3</v>
      </c>
      <c r="N156" s="197">
        <f>IF(M156="","",$B156*'AEO 2017_Table 62'!O$20/'AEO 2017_Table 62'!$C$20)</f>
        <v>6.1834031353418303E-3</v>
      </c>
      <c r="O156" s="197">
        <f>IF(N156="","",$B156*'AEO 2017_Table 62'!P$20/'AEO 2017_Table 62'!$C$20)</f>
        <v>6.1834031353418303E-3</v>
      </c>
      <c r="P156" s="197">
        <f>IF(O156="","",$B156*'AEO 2017_Table 62'!Q$20/'AEO 2017_Table 62'!$C$20)</f>
        <v>6.1834031353418303E-3</v>
      </c>
      <c r="Q156" s="197">
        <f>IF(P156="","",$B156*'AEO 2017_Table 62'!R$20/'AEO 2017_Table 62'!$C$20)</f>
        <v>6.1834031353418303E-3</v>
      </c>
      <c r="R156" s="197">
        <f>IF(Q156="","",$B156*'AEO 2017_Table 62'!S$20/'AEO 2017_Table 62'!$C$20)</f>
        <v>6.1834031353418303E-3</v>
      </c>
      <c r="S156" s="197">
        <f>IF(R156="","",$B156*'AEO 2017_Table 62'!T$20/'AEO 2017_Table 62'!$C$20)</f>
        <v>6.1834031353418303E-3</v>
      </c>
      <c r="T156" s="197">
        <f>IF(S156="","",$B156*'AEO 2017_Table 62'!U$20/'AEO 2017_Table 62'!$C$20)</f>
        <v>6.1834031353418303E-3</v>
      </c>
      <c r="U156" s="197">
        <f>IF(T156="","",$B156*'AEO 2017_Table 62'!V$20/'AEO 2017_Table 62'!$C$20)</f>
        <v>6.1834031353418303E-3</v>
      </c>
      <c r="V156" s="197">
        <f>IF(U156="","",$B156*'AEO 2017_Table 62'!W$20/'AEO 2017_Table 62'!$C$20)</f>
        <v>6.1834031353418303E-3</v>
      </c>
      <c r="W156" s="197">
        <f>IF(V156="","",$B156*'AEO 2017_Table 62'!X$20/'AEO 2017_Table 62'!$C$20)</f>
        <v>6.1834031353418303E-3</v>
      </c>
      <c r="X156" s="197">
        <f>IF(W156="","",$B156*'AEO 2017_Table 62'!Y$20/'AEO 2017_Table 62'!$C$20)</f>
        <v>6.1834031353418303E-3</v>
      </c>
      <c r="Y156" s="197">
        <f>IF(X156="","",$B156*'AEO 2017_Table 62'!Z$20/'AEO 2017_Table 62'!$C$20)</f>
        <v>6.1834031353418303E-3</v>
      </c>
      <c r="Z156" s="197">
        <f>IF(Y156="","",$B156*'AEO 2017_Table 62'!AA$20/'AEO 2017_Table 62'!$C$20)</f>
        <v>6.1834031353418303E-3</v>
      </c>
      <c r="AA156" s="197">
        <f>IF(Z156="","",$B156*'AEO 2017_Table 62'!AB$20/'AEO 2017_Table 62'!$C$20)</f>
        <v>6.1834031353418303E-3</v>
      </c>
      <c r="AB156" s="197">
        <f>IF(AA156="","",$B156*'AEO 2017_Table 62'!AC$20/'AEO 2017_Table 62'!$C$20)</f>
        <v>6.1834031353418303E-3</v>
      </c>
      <c r="AC156" s="197">
        <f>IF(AB156="","",$B156*'AEO 2017_Table 62'!AD$20/'AEO 2017_Table 62'!$C$20)</f>
        <v>6.1834031353418303E-3</v>
      </c>
      <c r="AD156" s="197">
        <f>IF(AC156="","",$B156*'AEO 2017_Table 62'!AE$20/'AEO 2017_Table 62'!$C$20)</f>
        <v>6.1834031353418303E-3</v>
      </c>
      <c r="AE156" s="197">
        <f>IF(AD156="","",$B156*'AEO 2017_Table 62'!AF$20/'AEO 2017_Table 62'!$C$20)</f>
        <v>6.1834031353418303E-3</v>
      </c>
      <c r="AF156" s="197">
        <f>IF(AE156="","",$B156*'AEO 2017_Table 62'!AG$20/'AEO 2017_Table 62'!$C$20)</f>
        <v>6.1834031353418303E-3</v>
      </c>
      <c r="AG156" s="197">
        <f>IF(AF156="","",$B156*'AEO 2017_Table 62'!AH$20/'AEO 2017_Table 62'!$C$20)</f>
        <v>6.1834031353418303E-3</v>
      </c>
      <c r="AH156" s="197">
        <f>IF(AG156="","",$B156*'AEO 2017_Table 62'!AI$20/'AEO 2017_Table 62'!$C$20)</f>
        <v>6.1834031353418303E-3</v>
      </c>
      <c r="AI156" s="197">
        <f>IF(AH156="","",$B156*'AEO 2017_Table 62'!AJ$20/'AEO 2017_Table 62'!$C$20)</f>
        <v>6.1834031353418303E-3</v>
      </c>
      <c r="AJ156" s="197">
        <f>IF(AI156="","",$B156*'AEO 2017_Table 62'!AK$20/'AEO 2017_Table 62'!$C$20)</f>
        <v>6.1834031353418303E-3</v>
      </c>
      <c r="AK156" s="197">
        <f>IF(AJ156="","",$B156*'AEO 2017_Table 62'!AL$20/'AEO 2017_Table 62'!$C$20)</f>
        <v>6.1834031353418303E-3</v>
      </c>
    </row>
    <row r="157" spans="1:37" x14ac:dyDescent="0.25">
      <c r="A157" s="208" t="s">
        <v>1503</v>
      </c>
      <c r="B157" s="197">
        <v>0.64644841799999997</v>
      </c>
      <c r="C157" s="197">
        <f>IF(B157="","",$B157*'AEO 2017_Table 62'!D$20/'AEO 2017_Table 62'!$C$20)</f>
        <v>0.57154180292029455</v>
      </c>
      <c r="D157" s="197">
        <f>IF(C157="","",$B157*'AEO 2017_Table 62'!E$20/'AEO 2017_Table 62'!$C$20)</f>
        <v>0.5181638302680267</v>
      </c>
      <c r="E157" s="197">
        <f>IF(D157="","",$B157*'AEO 2017_Table 62'!F$20/'AEO 2017_Table 62'!$C$20)</f>
        <v>0.5181638302680267</v>
      </c>
      <c r="F157" s="197">
        <f>IF(E157="","",$B157*'AEO 2017_Table 62'!G$20/'AEO 2017_Table 62'!$C$20)</f>
        <v>0.45428061831717409</v>
      </c>
      <c r="G157" s="197">
        <f>IF(F157="","",$B157*'AEO 2017_Table 62'!H$20/'AEO 2017_Table 62'!$C$20)</f>
        <v>0.39039740636632153</v>
      </c>
      <c r="H157" s="197">
        <f>IF(G157="","",$B157*'AEO 2017_Table 62'!I$20/'AEO 2017_Table 62'!$C$20)</f>
        <v>0.39039740636632153</v>
      </c>
      <c r="I157" s="197">
        <f>IF(H157="","",$B157*'AEO 2017_Table 62'!J$20/'AEO 2017_Table 62'!$C$20)</f>
        <v>0.39039740636632153</v>
      </c>
      <c r="J157" s="197">
        <f>IF(I157="","",$B157*'AEO 2017_Table 62'!K$20/'AEO 2017_Table 62'!$C$20)</f>
        <v>0.39039740636632153</v>
      </c>
      <c r="K157" s="197">
        <f>IF(J157="","",$B157*'AEO 2017_Table 62'!L$20/'AEO 2017_Table 62'!$C$20)</f>
        <v>0.39039740636632153</v>
      </c>
      <c r="L157" s="197">
        <f>IF(K157="","",$B157*'AEO 2017_Table 62'!M$20/'AEO 2017_Table 62'!$C$20)</f>
        <v>0.39039740636632153</v>
      </c>
      <c r="M157" s="197">
        <f>IF(L157="","",$B157*'AEO 2017_Table 62'!N$20/'AEO 2017_Table 62'!$C$20)</f>
        <v>0.39039740636632153</v>
      </c>
      <c r="N157" s="197">
        <f>IF(M157="","",$B157*'AEO 2017_Table 62'!O$20/'AEO 2017_Table 62'!$C$20)</f>
        <v>0.39039740636632153</v>
      </c>
      <c r="O157" s="197">
        <f>IF(N157="","",$B157*'AEO 2017_Table 62'!P$20/'AEO 2017_Table 62'!$C$20)</f>
        <v>0.39039740636632153</v>
      </c>
      <c r="P157" s="197">
        <f>IF(O157="","",$B157*'AEO 2017_Table 62'!Q$20/'AEO 2017_Table 62'!$C$20)</f>
        <v>0.39039740636632153</v>
      </c>
      <c r="Q157" s="197">
        <f>IF(P157="","",$B157*'AEO 2017_Table 62'!R$20/'AEO 2017_Table 62'!$C$20)</f>
        <v>0.39039740636632153</v>
      </c>
      <c r="R157" s="197">
        <f>IF(Q157="","",$B157*'AEO 2017_Table 62'!S$20/'AEO 2017_Table 62'!$C$20)</f>
        <v>0.39039740636632153</v>
      </c>
      <c r="S157" s="197">
        <f>IF(R157="","",$B157*'AEO 2017_Table 62'!T$20/'AEO 2017_Table 62'!$C$20)</f>
        <v>0.39039740636632153</v>
      </c>
      <c r="T157" s="197">
        <f>IF(S157="","",$B157*'AEO 2017_Table 62'!U$20/'AEO 2017_Table 62'!$C$20)</f>
        <v>0.39039740636632153</v>
      </c>
      <c r="U157" s="197">
        <f>IF(T157="","",$B157*'AEO 2017_Table 62'!V$20/'AEO 2017_Table 62'!$C$20)</f>
        <v>0.39039740636632153</v>
      </c>
      <c r="V157" s="197">
        <f>IF(U157="","",$B157*'AEO 2017_Table 62'!W$20/'AEO 2017_Table 62'!$C$20)</f>
        <v>0.39039740636632153</v>
      </c>
      <c r="W157" s="197">
        <f>IF(V157="","",$B157*'AEO 2017_Table 62'!X$20/'AEO 2017_Table 62'!$C$20)</f>
        <v>0.39039740636632153</v>
      </c>
      <c r="X157" s="197">
        <f>IF(W157="","",$B157*'AEO 2017_Table 62'!Y$20/'AEO 2017_Table 62'!$C$20)</f>
        <v>0.39039740636632153</v>
      </c>
      <c r="Y157" s="197">
        <f>IF(X157="","",$B157*'AEO 2017_Table 62'!Z$20/'AEO 2017_Table 62'!$C$20)</f>
        <v>0.39039740636632153</v>
      </c>
      <c r="Z157" s="197">
        <f>IF(Y157="","",$B157*'AEO 2017_Table 62'!AA$20/'AEO 2017_Table 62'!$C$20)</f>
        <v>0.39039740636632153</v>
      </c>
      <c r="AA157" s="197">
        <f>IF(Z157="","",$B157*'AEO 2017_Table 62'!AB$20/'AEO 2017_Table 62'!$C$20)</f>
        <v>0.39039740636632153</v>
      </c>
      <c r="AB157" s="197">
        <f>IF(AA157="","",$B157*'AEO 2017_Table 62'!AC$20/'AEO 2017_Table 62'!$C$20)</f>
        <v>0.39039740636632153</v>
      </c>
      <c r="AC157" s="197">
        <f>IF(AB157="","",$B157*'AEO 2017_Table 62'!AD$20/'AEO 2017_Table 62'!$C$20)</f>
        <v>0.39039740636632153</v>
      </c>
      <c r="AD157" s="197">
        <f>IF(AC157="","",$B157*'AEO 2017_Table 62'!AE$20/'AEO 2017_Table 62'!$C$20)</f>
        <v>0.39039740636632153</v>
      </c>
      <c r="AE157" s="197">
        <f>IF(AD157="","",$B157*'AEO 2017_Table 62'!AF$20/'AEO 2017_Table 62'!$C$20)</f>
        <v>0.39039740636632153</v>
      </c>
      <c r="AF157" s="197">
        <f>IF(AE157="","",$B157*'AEO 2017_Table 62'!AG$20/'AEO 2017_Table 62'!$C$20)</f>
        <v>0.39039740636632153</v>
      </c>
      <c r="AG157" s="197">
        <f>IF(AF157="","",$B157*'AEO 2017_Table 62'!AH$20/'AEO 2017_Table 62'!$C$20)</f>
        <v>0.39039740636632153</v>
      </c>
      <c r="AH157" s="197">
        <f>IF(AG157="","",$B157*'AEO 2017_Table 62'!AI$20/'AEO 2017_Table 62'!$C$20)</f>
        <v>0.39039740636632153</v>
      </c>
      <c r="AI157" s="197">
        <f>IF(AH157="","",$B157*'AEO 2017_Table 62'!AJ$20/'AEO 2017_Table 62'!$C$20)</f>
        <v>0.39039740636632153</v>
      </c>
      <c r="AJ157" s="197">
        <f>IF(AI157="","",$B157*'AEO 2017_Table 62'!AK$20/'AEO 2017_Table 62'!$C$20)</f>
        <v>0.39039740636632153</v>
      </c>
      <c r="AK157" s="197">
        <f>IF(AJ157="","",$B157*'AEO 2017_Table 62'!AL$20/'AEO 2017_Table 62'!$C$20)</f>
        <v>0.39039740636632153</v>
      </c>
    </row>
    <row r="159" spans="1:37" x14ac:dyDescent="0.25">
      <c r="A159" s="56" t="s">
        <v>1591</v>
      </c>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row>
    <row r="160" spans="1:37" x14ac:dyDescent="0.25">
      <c r="A160" s="174" t="s">
        <v>1389</v>
      </c>
      <c r="B160" s="175">
        <v>2015</v>
      </c>
      <c r="C160" s="175">
        <v>2016</v>
      </c>
      <c r="D160" s="175">
        <v>2017</v>
      </c>
      <c r="E160" s="175">
        <v>2018</v>
      </c>
      <c r="F160" s="175">
        <v>2019</v>
      </c>
      <c r="G160" s="175">
        <v>2020</v>
      </c>
      <c r="H160" s="175">
        <v>2021</v>
      </c>
      <c r="I160" s="175">
        <v>2022</v>
      </c>
      <c r="J160" s="175">
        <v>2023</v>
      </c>
      <c r="K160" s="175">
        <v>2024</v>
      </c>
      <c r="L160" s="175">
        <v>2025</v>
      </c>
      <c r="M160" s="175">
        <v>2026</v>
      </c>
      <c r="N160" s="175">
        <v>2027</v>
      </c>
      <c r="O160" s="175">
        <v>2028</v>
      </c>
      <c r="P160" s="175">
        <v>2029</v>
      </c>
      <c r="Q160" s="175">
        <v>2030</v>
      </c>
      <c r="R160" s="175">
        <v>2031</v>
      </c>
      <c r="S160" s="175">
        <v>2032</v>
      </c>
      <c r="T160" s="175">
        <v>2033</v>
      </c>
      <c r="U160" s="175">
        <v>2034</v>
      </c>
      <c r="V160" s="175">
        <v>2035</v>
      </c>
      <c r="W160" s="175">
        <v>2036</v>
      </c>
      <c r="X160" s="175">
        <v>2037</v>
      </c>
      <c r="Y160" s="175">
        <v>2038</v>
      </c>
      <c r="Z160" s="175">
        <v>2039</v>
      </c>
      <c r="AA160" s="175">
        <v>2040</v>
      </c>
      <c r="AB160" s="175">
        <v>2041</v>
      </c>
      <c r="AC160" s="175">
        <v>2042</v>
      </c>
      <c r="AD160" s="175">
        <v>2043</v>
      </c>
      <c r="AE160" s="175">
        <v>2044</v>
      </c>
      <c r="AF160" s="175">
        <v>2045</v>
      </c>
      <c r="AG160" s="175">
        <v>2046</v>
      </c>
      <c r="AH160" s="175">
        <v>2047</v>
      </c>
      <c r="AI160" s="175">
        <v>2048</v>
      </c>
      <c r="AJ160" s="175">
        <v>2049</v>
      </c>
      <c r="AK160" s="175">
        <v>2050</v>
      </c>
    </row>
    <row r="161" spans="1:37" x14ac:dyDescent="0.25">
      <c r="A161" s="224" t="s">
        <v>1505</v>
      </c>
      <c r="B161" s="226"/>
      <c r="C161" s="226"/>
      <c r="D161" s="226"/>
      <c r="E161" s="226"/>
      <c r="F161" s="226"/>
      <c r="G161" s="226"/>
      <c r="H161" s="226"/>
      <c r="I161" s="226"/>
      <c r="J161" s="226"/>
      <c r="K161" s="226"/>
      <c r="L161" s="226"/>
      <c r="M161" s="226"/>
      <c r="N161" s="226"/>
      <c r="O161" s="226"/>
      <c r="P161" s="226"/>
      <c r="Q161" s="226"/>
      <c r="R161" s="226"/>
      <c r="S161" s="226"/>
      <c r="T161" s="226"/>
      <c r="U161" s="226"/>
      <c r="V161" s="226"/>
      <c r="W161" s="226"/>
      <c r="X161" s="226"/>
      <c r="Y161" s="226"/>
      <c r="Z161" s="226"/>
      <c r="AA161" s="226"/>
      <c r="AB161" s="226"/>
      <c r="AC161" s="226"/>
      <c r="AD161" s="226"/>
      <c r="AE161" s="226"/>
      <c r="AF161" s="226"/>
      <c r="AG161" s="226"/>
      <c r="AH161" s="226"/>
      <c r="AI161" s="226"/>
      <c r="AJ161" s="226"/>
      <c r="AK161" s="226"/>
    </row>
    <row r="162" spans="1:37" x14ac:dyDescent="0.25">
      <c r="A162" s="215" t="s">
        <v>1292</v>
      </c>
      <c r="B162" s="166">
        <f>SUM(B167:B174,B176:B185,B187:B188,B191:B192,B194)</f>
        <v>480.27188462354752</v>
      </c>
      <c r="C162" s="166">
        <f>SUM(C167:C174,C176:C185,C187:C188,C191:C192,C194)</f>
        <v>467.37643370107298</v>
      </c>
      <c r="D162" s="166">
        <f t="shared" ref="D162:AK162" si="15">SUM(D167:D174,D176:D185,D187:D188,D191:D192,D194)</f>
        <v>471.41823086651721</v>
      </c>
      <c r="E162" s="166">
        <f t="shared" si="15"/>
        <v>469.18423583660166</v>
      </c>
      <c r="F162" s="166">
        <f t="shared" si="15"/>
        <v>464.16907025500916</v>
      </c>
      <c r="G162" s="166">
        <f t="shared" si="15"/>
        <v>458.6638379343749</v>
      </c>
      <c r="H162" s="166">
        <f t="shared" si="15"/>
        <v>453.78013570359315</v>
      </c>
      <c r="I162" s="166">
        <f t="shared" si="15"/>
        <v>449.19577467210644</v>
      </c>
      <c r="J162" s="166">
        <f t="shared" si="15"/>
        <v>444.57095866230395</v>
      </c>
      <c r="K162" s="166">
        <f t="shared" si="15"/>
        <v>439.86965478746242</v>
      </c>
      <c r="L162" s="166">
        <f t="shared" si="15"/>
        <v>435.03508771246891</v>
      </c>
      <c r="M162" s="166">
        <f t="shared" si="15"/>
        <v>429.83729758322318</v>
      </c>
      <c r="N162" s="166">
        <f t="shared" si="15"/>
        <v>424.01162953360682</v>
      </c>
      <c r="O162" s="166">
        <f t="shared" si="15"/>
        <v>418.50148646348867</v>
      </c>
      <c r="P162" s="166">
        <f t="shared" si="15"/>
        <v>413.04463849922121</v>
      </c>
      <c r="Q162" s="166">
        <f t="shared" si="15"/>
        <v>407.61163131127546</v>
      </c>
      <c r="R162" s="166">
        <f t="shared" si="15"/>
        <v>402.18956021839153</v>
      </c>
      <c r="S162" s="166">
        <f t="shared" si="15"/>
        <v>396.83904025566477</v>
      </c>
      <c r="T162" s="166">
        <f t="shared" si="15"/>
        <v>391.46375528328758</v>
      </c>
      <c r="U162" s="166">
        <f t="shared" si="15"/>
        <v>386.3084056742581</v>
      </c>
      <c r="V162" s="166">
        <f t="shared" si="15"/>
        <v>383.49302774102091</v>
      </c>
      <c r="W162" s="166">
        <f t="shared" si="15"/>
        <v>380.71760970280235</v>
      </c>
      <c r="X162" s="166">
        <f t="shared" si="15"/>
        <v>377.86320339737313</v>
      </c>
      <c r="Y162" s="166">
        <f t="shared" si="15"/>
        <v>375.51950154055419</v>
      </c>
      <c r="Z162" s="166">
        <f t="shared" si="15"/>
        <v>374.38376144062988</v>
      </c>
      <c r="AA162" s="166">
        <f t="shared" si="15"/>
        <v>373.33653770710038</v>
      </c>
      <c r="AB162" s="166">
        <f t="shared" si="15"/>
        <v>372.30398684192028</v>
      </c>
      <c r="AC162" s="166">
        <f t="shared" si="15"/>
        <v>372.43078117840594</v>
      </c>
      <c r="AD162" s="166">
        <f t="shared" si="15"/>
        <v>373.17775759081172</v>
      </c>
      <c r="AE162" s="166">
        <f t="shared" si="15"/>
        <v>374.06506417352801</v>
      </c>
      <c r="AF162" s="166">
        <f t="shared" si="15"/>
        <v>375.00998033222754</v>
      </c>
      <c r="AG162" s="166">
        <f t="shared" si="15"/>
        <v>375.98400010811127</v>
      </c>
      <c r="AH162" s="166">
        <f t="shared" si="15"/>
        <v>376.96791656221399</v>
      </c>
      <c r="AI162" s="166">
        <f t="shared" si="15"/>
        <v>377.99904274284359</v>
      </c>
      <c r="AJ162" s="166">
        <f t="shared" si="15"/>
        <v>379.13746482848336</v>
      </c>
      <c r="AK162" s="166">
        <f t="shared" si="15"/>
        <v>380.3222609712177</v>
      </c>
    </row>
    <row r="163" spans="1:37" x14ac:dyDescent="0.25">
      <c r="A163" s="214" t="s">
        <v>1391</v>
      </c>
      <c r="B163" s="184">
        <v>41.216592600000006</v>
      </c>
      <c r="C163" s="184">
        <f>$B$163/$B$162*C162</f>
        <v>40.109914145396026</v>
      </c>
      <c r="D163" s="184">
        <f t="shared" ref="D163:AK163" si="16">$B$163/$B$162*D162</f>
        <v>40.456778312284598</v>
      </c>
      <c r="E163" s="184">
        <f t="shared" si="16"/>
        <v>40.265058442838921</v>
      </c>
      <c r="F163" s="184">
        <f t="shared" si="16"/>
        <v>39.834660488646655</v>
      </c>
      <c r="G163" s="184">
        <f t="shared" si="16"/>
        <v>39.362205354393289</v>
      </c>
      <c r="H163" s="184">
        <f t="shared" si="16"/>
        <v>38.943089491753071</v>
      </c>
      <c r="I163" s="184">
        <f t="shared" si="16"/>
        <v>38.549662878587469</v>
      </c>
      <c r="J163" s="184">
        <f t="shared" si="16"/>
        <v>38.15276444786754</v>
      </c>
      <c r="K163" s="184">
        <f t="shared" si="16"/>
        <v>37.749301882803941</v>
      </c>
      <c r="L163" s="184">
        <f t="shared" si="16"/>
        <v>37.334402764394021</v>
      </c>
      <c r="M163" s="184">
        <f t="shared" si="16"/>
        <v>36.888332101012701</v>
      </c>
      <c r="N163" s="184">
        <f t="shared" si="16"/>
        <v>36.388377399704126</v>
      </c>
      <c r="O163" s="184">
        <f t="shared" si="16"/>
        <v>35.915500828412036</v>
      </c>
      <c r="P163" s="184">
        <f t="shared" si="16"/>
        <v>35.447198005314981</v>
      </c>
      <c r="Q163" s="184">
        <f t="shared" si="16"/>
        <v>34.980941180737467</v>
      </c>
      <c r="R163" s="184">
        <f t="shared" si="16"/>
        <v>34.515622884083889</v>
      </c>
      <c r="S163" s="184">
        <f t="shared" si="16"/>
        <v>34.056445054686826</v>
      </c>
      <c r="T163" s="184">
        <f t="shared" si="16"/>
        <v>33.595141909721278</v>
      </c>
      <c r="U163" s="184">
        <f t="shared" si="16"/>
        <v>33.152713461692322</v>
      </c>
      <c r="V163" s="184">
        <f t="shared" si="16"/>
        <v>32.91109972371509</v>
      </c>
      <c r="W163" s="184">
        <f t="shared" si="16"/>
        <v>32.672915315594651</v>
      </c>
      <c r="X163" s="184">
        <f t="shared" si="16"/>
        <v>32.427952190389092</v>
      </c>
      <c r="Y163" s="184">
        <f t="shared" si="16"/>
        <v>32.226817358846567</v>
      </c>
      <c r="Z163" s="184">
        <f t="shared" si="16"/>
        <v>32.129348948771394</v>
      </c>
      <c r="AA163" s="184">
        <f t="shared" si="16"/>
        <v>32.039476950497395</v>
      </c>
      <c r="AB163" s="184">
        <f t="shared" si="16"/>
        <v>31.950864167381301</v>
      </c>
      <c r="AC163" s="184">
        <f t="shared" si="16"/>
        <v>31.961745567434551</v>
      </c>
      <c r="AD163" s="184">
        <f t="shared" si="16"/>
        <v>32.02585055350108</v>
      </c>
      <c r="AE163" s="184">
        <f t="shared" si="16"/>
        <v>32.101998575282082</v>
      </c>
      <c r="AF163" s="184">
        <f t="shared" si="16"/>
        <v>32.183090610025701</v>
      </c>
      <c r="AG163" s="184">
        <f t="shared" si="16"/>
        <v>32.266680296560047</v>
      </c>
      <c r="AH163" s="184">
        <f t="shared" si="16"/>
        <v>32.351119309001874</v>
      </c>
      <c r="AI163" s="184">
        <f t="shared" si="16"/>
        <v>32.439609826700028</v>
      </c>
      <c r="AJ163" s="184">
        <f t="shared" si="16"/>
        <v>32.537308402887625</v>
      </c>
      <c r="AK163" s="184">
        <f t="shared" si="16"/>
        <v>32.638986767773403</v>
      </c>
    </row>
    <row r="164" spans="1:37" x14ac:dyDescent="0.25">
      <c r="A164" s="256" t="s">
        <v>1393</v>
      </c>
      <c r="B164" s="251">
        <f>B162-B163</f>
        <v>439.05529202354751</v>
      </c>
      <c r="C164" s="251">
        <f>C162-C163</f>
        <v>427.26651955567695</v>
      </c>
      <c r="D164" s="251">
        <f t="shared" ref="D164:AK164" si="17">D162-D163</f>
        <v>430.96145255423261</v>
      </c>
      <c r="E164" s="251">
        <f t="shared" si="17"/>
        <v>428.91917739376277</v>
      </c>
      <c r="F164" s="251">
        <f t="shared" si="17"/>
        <v>424.33440976636251</v>
      </c>
      <c r="G164" s="251">
        <f t="shared" si="17"/>
        <v>419.30163257998163</v>
      </c>
      <c r="H164" s="251">
        <f t="shared" si="17"/>
        <v>414.83704621184006</v>
      </c>
      <c r="I164" s="251">
        <f t="shared" si="17"/>
        <v>410.64611179351897</v>
      </c>
      <c r="J164" s="251">
        <f t="shared" si="17"/>
        <v>406.41819421443643</v>
      </c>
      <c r="K164" s="251">
        <f t="shared" si="17"/>
        <v>402.12035290465849</v>
      </c>
      <c r="L164" s="251">
        <f t="shared" si="17"/>
        <v>397.70068494807487</v>
      </c>
      <c r="M164" s="251">
        <f t="shared" si="17"/>
        <v>392.9489654822105</v>
      </c>
      <c r="N164" s="251">
        <f t="shared" si="17"/>
        <v>387.62325213390272</v>
      </c>
      <c r="O164" s="251">
        <f t="shared" si="17"/>
        <v>382.58598563507667</v>
      </c>
      <c r="P164" s="251">
        <f t="shared" si="17"/>
        <v>377.59744049390622</v>
      </c>
      <c r="Q164" s="251">
        <f t="shared" si="17"/>
        <v>372.63069013053797</v>
      </c>
      <c r="R164" s="251">
        <f t="shared" si="17"/>
        <v>367.67393733430765</v>
      </c>
      <c r="S164" s="251">
        <f t="shared" si="17"/>
        <v>362.78259520097794</v>
      </c>
      <c r="T164" s="251">
        <f t="shared" si="17"/>
        <v>357.86861337356629</v>
      </c>
      <c r="U164" s="251">
        <f t="shared" si="17"/>
        <v>353.15569221256578</v>
      </c>
      <c r="V164" s="251">
        <f t="shared" si="17"/>
        <v>350.58192801730581</v>
      </c>
      <c r="W164" s="251">
        <f t="shared" si="17"/>
        <v>348.0446943872077</v>
      </c>
      <c r="X164" s="251">
        <f t="shared" si="17"/>
        <v>345.43525120698405</v>
      </c>
      <c r="Y164" s="251">
        <f t="shared" si="17"/>
        <v>343.29268418170761</v>
      </c>
      <c r="Z164" s="251">
        <f t="shared" si="17"/>
        <v>342.25441249185849</v>
      </c>
      <c r="AA164" s="251">
        <f t="shared" si="17"/>
        <v>341.297060756603</v>
      </c>
      <c r="AB164" s="251">
        <f t="shared" si="17"/>
        <v>340.35312267453895</v>
      </c>
      <c r="AC164" s="251">
        <f t="shared" si="17"/>
        <v>340.46903561097139</v>
      </c>
      <c r="AD164" s="251">
        <f t="shared" si="17"/>
        <v>341.15190703731065</v>
      </c>
      <c r="AE164" s="251">
        <f t="shared" si="17"/>
        <v>341.96306559824592</v>
      </c>
      <c r="AF164" s="251">
        <f t="shared" si="17"/>
        <v>342.82688972220183</v>
      </c>
      <c r="AG164" s="251">
        <f t="shared" si="17"/>
        <v>343.71731981155125</v>
      </c>
      <c r="AH164" s="251">
        <f t="shared" si="17"/>
        <v>344.6167972532121</v>
      </c>
      <c r="AI164" s="251">
        <f t="shared" si="17"/>
        <v>345.55943291614358</v>
      </c>
      <c r="AJ164" s="251">
        <f t="shared" si="17"/>
        <v>346.60015642559574</v>
      </c>
      <c r="AK164" s="251">
        <f t="shared" si="17"/>
        <v>347.68327420344428</v>
      </c>
    </row>
    <row r="165" spans="1:37" x14ac:dyDescent="0.25">
      <c r="A165" s="188" t="s">
        <v>1394</v>
      </c>
      <c r="B165" s="190"/>
      <c r="C165" s="190" t="str">
        <f>IF(B165="","",$B165*'AEO 2017_Table 13'!D$36/'AEO 2017_Table 13'!$C$36)</f>
        <v/>
      </c>
      <c r="D165" s="190" t="str">
        <f>IF(C165="","",$B165*'AEO 2017_Table 13'!E$36/'AEO 2017_Table 13'!$C$36)</f>
        <v/>
      </c>
      <c r="E165" s="190" t="str">
        <f>IF(D165="","",$B165*'AEO 2017_Table 13'!F$36/'AEO 2017_Table 13'!$C$36)</f>
        <v/>
      </c>
      <c r="F165" s="190" t="str">
        <f>IF(E165="","",$B165*'AEO 2017_Table 13'!G$36/'AEO 2017_Table 13'!$C$36)</f>
        <v/>
      </c>
      <c r="G165" s="190" t="str">
        <f>IF(F165="","",$B165*'AEO 2017_Table 13'!H$36/'AEO 2017_Table 13'!$C$36)</f>
        <v/>
      </c>
      <c r="H165" s="190" t="str">
        <f>IF(G165="","",$B165*'AEO 2017_Table 13'!I$36/'AEO 2017_Table 13'!$C$36)</f>
        <v/>
      </c>
      <c r="I165" s="190" t="str">
        <f>IF(H165="","",$B165*'AEO 2017_Table 13'!J$36/'AEO 2017_Table 13'!$C$36)</f>
        <v/>
      </c>
      <c r="J165" s="190" t="str">
        <f>IF(I165="","",$B165*'AEO 2017_Table 13'!K$36/'AEO 2017_Table 13'!$C$36)</f>
        <v/>
      </c>
      <c r="K165" s="190" t="str">
        <f>IF(J165="","",$B165*'AEO 2017_Table 13'!L$36/'AEO 2017_Table 13'!$C$36)</f>
        <v/>
      </c>
      <c r="L165" s="190" t="str">
        <f>IF(K165="","",$B165*'AEO 2017_Table 13'!M$36/'AEO 2017_Table 13'!$C$36)</f>
        <v/>
      </c>
      <c r="M165" s="190" t="str">
        <f>IF(L165="","",$B165*'AEO 2017_Table 13'!N$36/'AEO 2017_Table 13'!$C$36)</f>
        <v/>
      </c>
      <c r="N165" s="190" t="str">
        <f>IF(M165="","",$B165*'AEO 2017_Table 13'!O$36/'AEO 2017_Table 13'!$C$36)</f>
        <v/>
      </c>
      <c r="O165" s="190" t="str">
        <f>IF(N165="","",$B165*'AEO 2017_Table 13'!P$36/'AEO 2017_Table 13'!$C$36)</f>
        <v/>
      </c>
      <c r="P165" s="190" t="str">
        <f>IF(O165="","",$B165*'AEO 2017_Table 13'!Q$36/'AEO 2017_Table 13'!$C$36)</f>
        <v/>
      </c>
      <c r="Q165" s="190" t="str">
        <f>IF(P165="","",$B165*'AEO 2017_Table 13'!R$36/'AEO 2017_Table 13'!$C$36)</f>
        <v/>
      </c>
      <c r="R165" s="190" t="str">
        <f>IF(Q165="","",$B165*'AEO 2017_Table 13'!S$36/'AEO 2017_Table 13'!$C$36)</f>
        <v/>
      </c>
      <c r="S165" s="190" t="str">
        <f>IF(R165="","",$B165*'AEO 2017_Table 13'!T$36/'AEO 2017_Table 13'!$C$36)</f>
        <v/>
      </c>
      <c r="T165" s="190" t="str">
        <f>IF(S165="","",$B165*'AEO 2017_Table 13'!U$36/'AEO 2017_Table 13'!$C$36)</f>
        <v/>
      </c>
      <c r="U165" s="190" t="str">
        <f>IF(T165="","",$B165*'AEO 2017_Table 13'!V$36/'AEO 2017_Table 13'!$C$36)</f>
        <v/>
      </c>
      <c r="V165" s="190" t="str">
        <f>IF(U165="","",$B165*'AEO 2017_Table 13'!W$36/'AEO 2017_Table 13'!$C$36)</f>
        <v/>
      </c>
      <c r="W165" s="190" t="str">
        <f>IF(V165="","",$B165*'AEO 2017_Table 13'!X$36/'AEO 2017_Table 13'!$C$36)</f>
        <v/>
      </c>
      <c r="X165" s="190" t="str">
        <f>IF(W165="","",$B165*'AEO 2017_Table 13'!Y$36/'AEO 2017_Table 13'!$C$36)</f>
        <v/>
      </c>
      <c r="Y165" s="190" t="str">
        <f>IF(X165="","",$B165*'AEO 2017_Table 13'!Z$36/'AEO 2017_Table 13'!$C$36)</f>
        <v/>
      </c>
      <c r="Z165" s="190" t="str">
        <f>IF(Y165="","",$B165*'AEO 2017_Table 13'!AA$36/'AEO 2017_Table 13'!$C$36)</f>
        <v/>
      </c>
      <c r="AA165" s="190" t="str">
        <f>IF(Z165="","",$B165*'AEO 2017_Table 13'!AB$36/'AEO 2017_Table 13'!$C$36)</f>
        <v/>
      </c>
      <c r="AB165" s="190" t="str">
        <f>IF(AA165="","",$B165*'AEO 2017_Table 13'!AC$36/'AEO 2017_Table 13'!$C$36)</f>
        <v/>
      </c>
      <c r="AC165" s="190" t="str">
        <f>IF(AB165="","",$B165*'AEO 2017_Table 13'!AD$36/'AEO 2017_Table 13'!$C$36)</f>
        <v/>
      </c>
      <c r="AD165" s="190" t="str">
        <f>IF(AC165="","",$B165*'AEO 2017_Table 13'!AE$36/'AEO 2017_Table 13'!$C$36)</f>
        <v/>
      </c>
      <c r="AE165" s="190" t="str">
        <f>IF(AD165="","",$B165*'AEO 2017_Table 13'!AF$36/'AEO 2017_Table 13'!$C$36)</f>
        <v/>
      </c>
      <c r="AF165" s="190" t="str">
        <f>IF(AE165="","",$B165*'AEO 2017_Table 13'!AG$36/'AEO 2017_Table 13'!$C$36)</f>
        <v/>
      </c>
      <c r="AG165" s="190" t="str">
        <f>IF(AF165="","",$B165*'AEO 2017_Table 13'!AH$36/'AEO 2017_Table 13'!$C$36)</f>
        <v/>
      </c>
      <c r="AH165" s="190" t="str">
        <f>IF(AG165="","",$B165*'AEO 2017_Table 13'!AI$36/'AEO 2017_Table 13'!$C$36)</f>
        <v/>
      </c>
      <c r="AI165" s="190" t="str">
        <f>IF(AH165="","",$B165*'AEO 2017_Table 13'!AJ$36/'AEO 2017_Table 13'!$C$36)</f>
        <v/>
      </c>
      <c r="AJ165" s="190" t="str">
        <f>IF(AI165="","",$B165*'AEO 2017_Table 13'!AK$36/'AEO 2017_Table 13'!$C$36)</f>
        <v/>
      </c>
      <c r="AK165" s="190" t="str">
        <f>IF(AJ165="","",$B165*'AEO 2017_Table 13'!AL$36/'AEO 2017_Table 13'!$C$36)</f>
        <v/>
      </c>
    </row>
    <row r="166" spans="1:37" x14ac:dyDescent="0.25">
      <c r="A166" s="209" t="s">
        <v>1406</v>
      </c>
      <c r="B166" s="193"/>
      <c r="C166" s="193" t="str">
        <f>IF(B166="","",$B166*'AEO 2017_Table 13'!D$36/'AEO 2017_Table 13'!$C$36)</f>
        <v/>
      </c>
      <c r="D166" s="193" t="str">
        <f>IF(C166="","",$B166*'AEO 2017_Table 13'!E$36/'AEO 2017_Table 13'!$C$36)</f>
        <v/>
      </c>
      <c r="E166" s="193" t="str">
        <f>IF(D166="","",$B166*'AEO 2017_Table 13'!F$36/'AEO 2017_Table 13'!$C$36)</f>
        <v/>
      </c>
      <c r="F166" s="193" t="str">
        <f>IF(E166="","",$B166*'AEO 2017_Table 13'!G$36/'AEO 2017_Table 13'!$C$36)</f>
        <v/>
      </c>
      <c r="G166" s="193" t="str">
        <f>IF(F166="","",$B166*'AEO 2017_Table 13'!H$36/'AEO 2017_Table 13'!$C$36)</f>
        <v/>
      </c>
      <c r="H166" s="193" t="str">
        <f>IF(G166="","",$B166*'AEO 2017_Table 13'!I$36/'AEO 2017_Table 13'!$C$36)</f>
        <v/>
      </c>
      <c r="I166" s="193" t="str">
        <f>IF(H166="","",$B166*'AEO 2017_Table 13'!J$36/'AEO 2017_Table 13'!$C$36)</f>
        <v/>
      </c>
      <c r="J166" s="193" t="str">
        <f>IF(I166="","",$B166*'AEO 2017_Table 13'!K$36/'AEO 2017_Table 13'!$C$36)</f>
        <v/>
      </c>
      <c r="K166" s="193" t="str">
        <f>IF(J166="","",$B166*'AEO 2017_Table 13'!L$36/'AEO 2017_Table 13'!$C$36)</f>
        <v/>
      </c>
      <c r="L166" s="193" t="str">
        <f>IF(K166="","",$B166*'AEO 2017_Table 13'!M$36/'AEO 2017_Table 13'!$C$36)</f>
        <v/>
      </c>
      <c r="M166" s="193" t="str">
        <f>IF(L166="","",$B166*'AEO 2017_Table 13'!N$36/'AEO 2017_Table 13'!$C$36)</f>
        <v/>
      </c>
      <c r="N166" s="193" t="str">
        <f>IF(M166="","",$B166*'AEO 2017_Table 13'!O$36/'AEO 2017_Table 13'!$C$36)</f>
        <v/>
      </c>
      <c r="O166" s="193" t="str">
        <f>IF(N166="","",$B166*'AEO 2017_Table 13'!P$36/'AEO 2017_Table 13'!$C$36)</f>
        <v/>
      </c>
      <c r="P166" s="193" t="str">
        <f>IF(O166="","",$B166*'AEO 2017_Table 13'!Q$36/'AEO 2017_Table 13'!$C$36)</f>
        <v/>
      </c>
      <c r="Q166" s="193" t="str">
        <f>IF(P166="","",$B166*'AEO 2017_Table 13'!R$36/'AEO 2017_Table 13'!$C$36)</f>
        <v/>
      </c>
      <c r="R166" s="193" t="str">
        <f>IF(Q166="","",$B166*'AEO 2017_Table 13'!S$36/'AEO 2017_Table 13'!$C$36)</f>
        <v/>
      </c>
      <c r="S166" s="193" t="str">
        <f>IF(R166="","",$B166*'AEO 2017_Table 13'!T$36/'AEO 2017_Table 13'!$C$36)</f>
        <v/>
      </c>
      <c r="T166" s="193" t="str">
        <f>IF(S166="","",$B166*'AEO 2017_Table 13'!U$36/'AEO 2017_Table 13'!$C$36)</f>
        <v/>
      </c>
      <c r="U166" s="193" t="str">
        <f>IF(T166="","",$B166*'AEO 2017_Table 13'!V$36/'AEO 2017_Table 13'!$C$36)</f>
        <v/>
      </c>
      <c r="V166" s="193" t="str">
        <f>IF(U166="","",$B166*'AEO 2017_Table 13'!W$36/'AEO 2017_Table 13'!$C$36)</f>
        <v/>
      </c>
      <c r="W166" s="193" t="str">
        <f>IF(V166="","",$B166*'AEO 2017_Table 13'!X$36/'AEO 2017_Table 13'!$C$36)</f>
        <v/>
      </c>
      <c r="X166" s="193" t="str">
        <f>IF(W166="","",$B166*'AEO 2017_Table 13'!Y$36/'AEO 2017_Table 13'!$C$36)</f>
        <v/>
      </c>
      <c r="Y166" s="193" t="str">
        <f>IF(X166="","",$B166*'AEO 2017_Table 13'!Z$36/'AEO 2017_Table 13'!$C$36)</f>
        <v/>
      </c>
      <c r="Z166" s="193" t="str">
        <f>IF(Y166="","",$B166*'AEO 2017_Table 13'!AA$36/'AEO 2017_Table 13'!$C$36)</f>
        <v/>
      </c>
      <c r="AA166" s="193" t="str">
        <f>IF(Z166="","",$B166*'AEO 2017_Table 13'!AB$36/'AEO 2017_Table 13'!$C$36)</f>
        <v/>
      </c>
      <c r="AB166" s="193" t="str">
        <f>IF(AA166="","",$B166*'AEO 2017_Table 13'!AC$36/'AEO 2017_Table 13'!$C$36)</f>
        <v/>
      </c>
      <c r="AC166" s="193" t="str">
        <f>IF(AB166="","",$B166*'AEO 2017_Table 13'!AD$36/'AEO 2017_Table 13'!$C$36)</f>
        <v/>
      </c>
      <c r="AD166" s="193" t="str">
        <f>IF(AC166="","",$B166*'AEO 2017_Table 13'!AE$36/'AEO 2017_Table 13'!$C$36)</f>
        <v/>
      </c>
      <c r="AE166" s="193" t="str">
        <f>IF(AD166="","",$B166*'AEO 2017_Table 13'!AF$36/'AEO 2017_Table 13'!$C$36)</f>
        <v/>
      </c>
      <c r="AF166" s="193" t="str">
        <f>IF(AE166="","",$B166*'AEO 2017_Table 13'!AG$36/'AEO 2017_Table 13'!$C$36)</f>
        <v/>
      </c>
      <c r="AG166" s="193" t="str">
        <f>IF(AF166="","",$B166*'AEO 2017_Table 13'!AH$36/'AEO 2017_Table 13'!$C$36)</f>
        <v/>
      </c>
      <c r="AH166" s="193" t="str">
        <f>IF(AG166="","",$B166*'AEO 2017_Table 13'!AI$36/'AEO 2017_Table 13'!$C$36)</f>
        <v/>
      </c>
      <c r="AI166" s="193" t="str">
        <f>IF(AH166="","",$B166*'AEO 2017_Table 13'!AJ$36/'AEO 2017_Table 13'!$C$36)</f>
        <v/>
      </c>
      <c r="AJ166" s="193" t="str">
        <f>IF(AI166="","",$B166*'AEO 2017_Table 13'!AK$36/'AEO 2017_Table 13'!$C$36)</f>
        <v/>
      </c>
      <c r="AK166" s="193" t="str">
        <f>IF(AJ166="","",$B166*'AEO 2017_Table 13'!AL$36/'AEO 2017_Table 13'!$C$36)</f>
        <v/>
      </c>
    </row>
    <row r="167" spans="1:37" x14ac:dyDescent="0.25">
      <c r="A167" s="215" t="s">
        <v>1506</v>
      </c>
      <c r="B167" s="195">
        <v>32.137337049770942</v>
      </c>
      <c r="C167" s="326">
        <f>MAX(0,(('EPA (2017) Table A3.6-7'!$AB138-'EPA (2017) Table A3.6-7'!$C138)/COUNT('EPA (2017) Table A3.6-7'!$D$6:$AB$6)*(C$160-$B$160)+'EPA (2017) Table A3.6-7'!$AB138)/'EPA (2017) Table A3.6-7'!$AB138)*$B167</f>
        <v>30.724451487749896</v>
      </c>
      <c r="D167" s="326">
        <f>MAX(0,(('EPA (2017) Table A3.6-7'!$AB138-'EPA (2017) Table A3.6-7'!$C138)/COUNT('EPA (2017) Table A3.6-7'!$D$6:$AB$6)*(D$160-$B$160)+'EPA (2017) Table A3.6-7'!$AB138)/'EPA (2017) Table A3.6-7'!$AB138)*$B167</f>
        <v>29.311565925728853</v>
      </c>
      <c r="E167" s="326">
        <f>MAX(0,(('EPA (2017) Table A3.6-7'!$AB138-'EPA (2017) Table A3.6-7'!$C138)/COUNT('EPA (2017) Table A3.6-7'!$D$6:$AB$6)*(E$160-$B$160)+'EPA (2017) Table A3.6-7'!$AB138)/'EPA (2017) Table A3.6-7'!$AB138)*$B167</f>
        <v>27.898680363707815</v>
      </c>
      <c r="F167" s="326">
        <f>MAX(0,(('EPA (2017) Table A3.6-7'!$AB138-'EPA (2017) Table A3.6-7'!$C138)/COUNT('EPA (2017) Table A3.6-7'!$D$6:$AB$6)*(F$160-$B$160)+'EPA (2017) Table A3.6-7'!$AB138)/'EPA (2017) Table A3.6-7'!$AB138)*$B167</f>
        <v>26.485794801686772</v>
      </c>
      <c r="G167" s="326">
        <f>MAX(0,(('EPA (2017) Table A3.6-7'!$AB138-'EPA (2017) Table A3.6-7'!$C138)/COUNT('EPA (2017) Table A3.6-7'!$D$6:$AB$6)*(G$160-$B$160)+'EPA (2017) Table A3.6-7'!$AB138)/'EPA (2017) Table A3.6-7'!$AB138)*$B167</f>
        <v>25.072909239665726</v>
      </c>
      <c r="H167" s="326">
        <f>MAX(0,(('EPA (2017) Table A3.6-7'!$AB138-'EPA (2017) Table A3.6-7'!$C138)/COUNT('EPA (2017) Table A3.6-7'!$D$6:$AB$6)*(H$160-$B$160)+'EPA (2017) Table A3.6-7'!$AB138)/'EPA (2017) Table A3.6-7'!$AB138)*$B167</f>
        <v>23.660023677644691</v>
      </c>
      <c r="I167" s="326">
        <f>MAX(0,(('EPA (2017) Table A3.6-7'!$AB138-'EPA (2017) Table A3.6-7'!$C138)/COUNT('EPA (2017) Table A3.6-7'!$D$6:$AB$6)*(I$160-$B$160)+'EPA (2017) Table A3.6-7'!$AB138)/'EPA (2017) Table A3.6-7'!$AB138)*$B167</f>
        <v>22.247138115623645</v>
      </c>
      <c r="J167" s="326">
        <f>MAX(0,(('EPA (2017) Table A3.6-7'!$AB138-'EPA (2017) Table A3.6-7'!$C138)/COUNT('EPA (2017) Table A3.6-7'!$D$6:$AB$6)*(J$160-$B$160)+'EPA (2017) Table A3.6-7'!$AB138)/'EPA (2017) Table A3.6-7'!$AB138)*$B167</f>
        <v>20.8342525536026</v>
      </c>
      <c r="K167" s="326">
        <f>MAX(0,(('EPA (2017) Table A3.6-7'!$AB138-'EPA (2017) Table A3.6-7'!$C138)/COUNT('EPA (2017) Table A3.6-7'!$D$6:$AB$6)*(K$160-$B$160)+'EPA (2017) Table A3.6-7'!$AB138)/'EPA (2017) Table A3.6-7'!$AB138)*$B167</f>
        <v>19.421366991581557</v>
      </c>
      <c r="L167" s="326">
        <f>MAX(0,(('EPA (2017) Table A3.6-7'!$AB138-'EPA (2017) Table A3.6-7'!$C138)/COUNT('EPA (2017) Table A3.6-7'!$D$6:$AB$6)*(L$160-$B$160)+'EPA (2017) Table A3.6-7'!$AB138)/'EPA (2017) Table A3.6-7'!$AB138)*$B167</f>
        <v>18.008481429560515</v>
      </c>
      <c r="M167" s="326">
        <f>MAX(0,(('EPA (2017) Table A3.6-7'!$AB138-'EPA (2017) Table A3.6-7'!$C138)/COUNT('EPA (2017) Table A3.6-7'!$D$6:$AB$6)*(M$160-$B$160)+'EPA (2017) Table A3.6-7'!$AB138)/'EPA (2017) Table A3.6-7'!$AB138)*$B167</f>
        <v>16.595595867539476</v>
      </c>
      <c r="N167" s="326">
        <f>MAX(0,(('EPA (2017) Table A3.6-7'!$AB138-'EPA (2017) Table A3.6-7'!$C138)/COUNT('EPA (2017) Table A3.6-7'!$D$6:$AB$6)*(N$160-$B$160)+'EPA (2017) Table A3.6-7'!$AB138)/'EPA (2017) Table A3.6-7'!$AB138)*$B167</f>
        <v>15.18271030551843</v>
      </c>
      <c r="O167" s="326">
        <f>MAX(0,(('EPA (2017) Table A3.6-7'!$AB138-'EPA (2017) Table A3.6-7'!$C138)/COUNT('EPA (2017) Table A3.6-7'!$D$6:$AB$6)*(O$160-$B$160)+'EPA (2017) Table A3.6-7'!$AB138)/'EPA (2017) Table A3.6-7'!$AB138)*$B167</f>
        <v>13.769824743497388</v>
      </c>
      <c r="P167" s="326">
        <f>MAX(0,(('EPA (2017) Table A3.6-7'!$AB138-'EPA (2017) Table A3.6-7'!$C138)/COUNT('EPA (2017) Table A3.6-7'!$D$6:$AB$6)*(P$160-$B$160)+'EPA (2017) Table A3.6-7'!$AB138)/'EPA (2017) Table A3.6-7'!$AB138)*$B167</f>
        <v>12.356939181476349</v>
      </c>
      <c r="Q167" s="326">
        <f>MAX(0,(('EPA (2017) Table A3.6-7'!$AB138-'EPA (2017) Table A3.6-7'!$C138)/COUNT('EPA (2017) Table A3.6-7'!$D$6:$AB$6)*(Q$160-$B$160)+'EPA (2017) Table A3.6-7'!$AB138)/'EPA (2017) Table A3.6-7'!$AB138)*$B167</f>
        <v>10.944053619455305</v>
      </c>
      <c r="R167" s="326">
        <f>MAX(0,(('EPA (2017) Table A3.6-7'!$AB138-'EPA (2017) Table A3.6-7'!$C138)/COUNT('EPA (2017) Table A3.6-7'!$D$6:$AB$6)*(R$160-$B$160)+'EPA (2017) Table A3.6-7'!$AB138)/'EPA (2017) Table A3.6-7'!$AB138)*$B167</f>
        <v>9.5311680574342628</v>
      </c>
      <c r="S167" s="326">
        <f>MAX(0,(('EPA (2017) Table A3.6-7'!$AB138-'EPA (2017) Table A3.6-7'!$C138)/COUNT('EPA (2017) Table A3.6-7'!$D$6:$AB$6)*(S$160-$B$160)+'EPA (2017) Table A3.6-7'!$AB138)/'EPA (2017) Table A3.6-7'!$AB138)*$B167</f>
        <v>8.1182824954132169</v>
      </c>
      <c r="T167" s="326">
        <f>MAX(0,(('EPA (2017) Table A3.6-7'!$AB138-'EPA (2017) Table A3.6-7'!$C138)/COUNT('EPA (2017) Table A3.6-7'!$D$6:$AB$6)*(T$160-$B$160)+'EPA (2017) Table A3.6-7'!$AB138)/'EPA (2017) Table A3.6-7'!$AB138)*$B167</f>
        <v>6.7053969333921746</v>
      </c>
      <c r="U167" s="326">
        <f>MAX(0,(('EPA (2017) Table A3.6-7'!$AB138-'EPA (2017) Table A3.6-7'!$C138)/COUNT('EPA (2017) Table A3.6-7'!$D$6:$AB$6)*(U$160-$B$160)+'EPA (2017) Table A3.6-7'!$AB138)/'EPA (2017) Table A3.6-7'!$AB138)*$B167</f>
        <v>5.2925113713711349</v>
      </c>
      <c r="V167" s="326">
        <f>MAX(0,(('EPA (2017) Table A3.6-7'!$AB138-'EPA (2017) Table A3.6-7'!$C138)/COUNT('EPA (2017) Table A3.6-7'!$D$6:$AB$6)*(V$160-$B$160)+'EPA (2017) Table A3.6-7'!$AB138)/'EPA (2017) Table A3.6-7'!$AB138)*$B167</f>
        <v>3.8796258093500913</v>
      </c>
      <c r="W167" s="326">
        <f>MAX(0,(('EPA (2017) Table A3.6-7'!$AB138-'EPA (2017) Table A3.6-7'!$C138)/COUNT('EPA (2017) Table A3.6-7'!$D$6:$AB$6)*(W$160-$B$160)+'EPA (2017) Table A3.6-7'!$AB138)/'EPA (2017) Table A3.6-7'!$AB138)*$B167</f>
        <v>2.4667402473290476</v>
      </c>
      <c r="X167" s="326">
        <f>MAX(0,(('EPA (2017) Table A3.6-7'!$AB138-'EPA (2017) Table A3.6-7'!$C138)/COUNT('EPA (2017) Table A3.6-7'!$D$6:$AB$6)*(X$160-$B$160)+'EPA (2017) Table A3.6-7'!$AB138)/'EPA (2017) Table A3.6-7'!$AB138)*$B167</f>
        <v>1.0538546853080082</v>
      </c>
      <c r="Y167" s="326">
        <f>MAX(0,(('EPA (2017) Table A3.6-7'!$AB138-'EPA (2017) Table A3.6-7'!$C138)/COUNT('EPA (2017) Table A3.6-7'!$D$6:$AB$6)*(Y$160-$B$160)+'EPA (2017) Table A3.6-7'!$AB138)/'EPA (2017) Table A3.6-7'!$AB138)*$B167</f>
        <v>0</v>
      </c>
      <c r="Z167" s="326">
        <f>MAX(0,(('EPA (2017) Table A3.6-7'!$AB138-'EPA (2017) Table A3.6-7'!$C138)/COUNT('EPA (2017) Table A3.6-7'!$D$6:$AB$6)*(Z$160-$B$160)+'EPA (2017) Table A3.6-7'!$AB138)/'EPA (2017) Table A3.6-7'!$AB138)*$B167</f>
        <v>0</v>
      </c>
      <c r="AA167" s="326">
        <f>MAX(0,(('EPA (2017) Table A3.6-7'!$AB138-'EPA (2017) Table A3.6-7'!$C138)/COUNT('EPA (2017) Table A3.6-7'!$D$6:$AB$6)*(AA$160-$B$160)+'EPA (2017) Table A3.6-7'!$AB138)/'EPA (2017) Table A3.6-7'!$AB138)*$B167</f>
        <v>0</v>
      </c>
      <c r="AB167" s="326">
        <f>MAX(0,(('EPA (2017) Table A3.6-7'!$AB138-'EPA (2017) Table A3.6-7'!$C138)/COUNT('EPA (2017) Table A3.6-7'!$D$6:$AB$6)*(AB$160-$B$160)+'EPA (2017) Table A3.6-7'!$AB138)/'EPA (2017) Table A3.6-7'!$AB138)*$B167</f>
        <v>0</v>
      </c>
      <c r="AC167" s="326">
        <f>MAX(0,(('EPA (2017) Table A3.6-7'!$AB138-'EPA (2017) Table A3.6-7'!$C138)/COUNT('EPA (2017) Table A3.6-7'!$D$6:$AB$6)*(AC$160-$B$160)+'EPA (2017) Table A3.6-7'!$AB138)/'EPA (2017) Table A3.6-7'!$AB138)*$B167</f>
        <v>0</v>
      </c>
      <c r="AD167" s="326">
        <f>MAX(0,(('EPA (2017) Table A3.6-7'!$AB138-'EPA (2017) Table A3.6-7'!$C138)/COUNT('EPA (2017) Table A3.6-7'!$D$6:$AB$6)*(AD$160-$B$160)+'EPA (2017) Table A3.6-7'!$AB138)/'EPA (2017) Table A3.6-7'!$AB138)*$B167</f>
        <v>0</v>
      </c>
      <c r="AE167" s="326">
        <f>MAX(0,(('EPA (2017) Table A3.6-7'!$AB138-'EPA (2017) Table A3.6-7'!$C138)/COUNT('EPA (2017) Table A3.6-7'!$D$6:$AB$6)*(AE$160-$B$160)+'EPA (2017) Table A3.6-7'!$AB138)/'EPA (2017) Table A3.6-7'!$AB138)*$B167</f>
        <v>0</v>
      </c>
      <c r="AF167" s="326">
        <f>MAX(0,(('EPA (2017) Table A3.6-7'!$AB138-'EPA (2017) Table A3.6-7'!$C138)/COUNT('EPA (2017) Table A3.6-7'!$D$6:$AB$6)*(AF$160-$B$160)+'EPA (2017) Table A3.6-7'!$AB138)/'EPA (2017) Table A3.6-7'!$AB138)*$B167</f>
        <v>0</v>
      </c>
      <c r="AG167" s="326">
        <f>MAX(0,(('EPA (2017) Table A3.6-7'!$AB138-'EPA (2017) Table A3.6-7'!$C138)/COUNT('EPA (2017) Table A3.6-7'!$D$6:$AB$6)*(AG$160-$B$160)+'EPA (2017) Table A3.6-7'!$AB138)/'EPA (2017) Table A3.6-7'!$AB138)*$B167</f>
        <v>0</v>
      </c>
      <c r="AH167" s="326">
        <f>MAX(0,(('EPA (2017) Table A3.6-7'!$AB138-'EPA (2017) Table A3.6-7'!$C138)/COUNT('EPA (2017) Table A3.6-7'!$D$6:$AB$6)*(AH$160-$B$160)+'EPA (2017) Table A3.6-7'!$AB138)/'EPA (2017) Table A3.6-7'!$AB138)*$B167</f>
        <v>0</v>
      </c>
      <c r="AI167" s="326">
        <f>MAX(0,(('EPA (2017) Table A3.6-7'!$AB138-'EPA (2017) Table A3.6-7'!$C138)/COUNT('EPA (2017) Table A3.6-7'!$D$6:$AB$6)*(AI$160-$B$160)+'EPA (2017) Table A3.6-7'!$AB138)/'EPA (2017) Table A3.6-7'!$AB138)*$B167</f>
        <v>0</v>
      </c>
      <c r="AJ167" s="326">
        <f>MAX(0,(('EPA (2017) Table A3.6-7'!$AB138-'EPA (2017) Table A3.6-7'!$C138)/COUNT('EPA (2017) Table A3.6-7'!$D$6:$AB$6)*(AJ$160-$B$160)+'EPA (2017) Table A3.6-7'!$AB138)/'EPA (2017) Table A3.6-7'!$AB138)*$B167</f>
        <v>0</v>
      </c>
      <c r="AK167" s="326">
        <f>MAX(0,(('EPA (2017) Table A3.6-7'!$AB138-'EPA (2017) Table A3.6-7'!$C138)/COUNT('EPA (2017) Table A3.6-7'!$D$6:$AB$6)*(AK$160-$B$160)+'EPA (2017) Table A3.6-7'!$AB138)/'EPA (2017) Table A3.6-7'!$AB138)*$B167</f>
        <v>0</v>
      </c>
    </row>
    <row r="168" spans="1:37" x14ac:dyDescent="0.25">
      <c r="A168" s="214" t="s">
        <v>1507</v>
      </c>
      <c r="B168" s="198">
        <v>48.116177551925617</v>
      </c>
      <c r="C168" s="326">
        <f>MAX(0,(('EPA (2017) Table A3.6-7'!$AB139-'EPA (2017) Table A3.6-7'!$C139)/COUNT('EPA (2017) Table A3.6-7'!$D$6:$AB$6)*(C$160-$B$160)+'EPA (2017) Table A3.6-7'!$AB139)/'EPA (2017) Table A3.6-7'!$AB139)*$B168</f>
        <v>46.287482013124539</v>
      </c>
      <c r="D168" s="326">
        <f>MAX(0,(('EPA (2017) Table A3.6-7'!$AB139-'EPA (2017) Table A3.6-7'!$C139)/COUNT('EPA (2017) Table A3.6-7'!$D$6:$AB$6)*(D$160-$B$160)+'EPA (2017) Table A3.6-7'!$AB139)/'EPA (2017) Table A3.6-7'!$AB139)*$B168</f>
        <v>44.458786474323475</v>
      </c>
      <c r="E168" s="326">
        <f>MAX(0,(('EPA (2017) Table A3.6-7'!$AB139-'EPA (2017) Table A3.6-7'!$C139)/COUNT('EPA (2017) Table A3.6-7'!$D$6:$AB$6)*(E$160-$B$160)+'EPA (2017) Table A3.6-7'!$AB139)/'EPA (2017) Table A3.6-7'!$AB139)*$B168</f>
        <v>42.630090935522396</v>
      </c>
      <c r="F168" s="326">
        <f>MAX(0,(('EPA (2017) Table A3.6-7'!$AB139-'EPA (2017) Table A3.6-7'!$C139)/COUNT('EPA (2017) Table A3.6-7'!$D$6:$AB$6)*(F$160-$B$160)+'EPA (2017) Table A3.6-7'!$AB139)/'EPA (2017) Table A3.6-7'!$AB139)*$B168</f>
        <v>40.801395396721333</v>
      </c>
      <c r="G168" s="326">
        <f>MAX(0,(('EPA (2017) Table A3.6-7'!$AB139-'EPA (2017) Table A3.6-7'!$C139)/COUNT('EPA (2017) Table A3.6-7'!$D$6:$AB$6)*(G$160-$B$160)+'EPA (2017) Table A3.6-7'!$AB139)/'EPA (2017) Table A3.6-7'!$AB139)*$B168</f>
        <v>38.972699857920254</v>
      </c>
      <c r="H168" s="326">
        <f>MAX(0,(('EPA (2017) Table A3.6-7'!$AB139-'EPA (2017) Table A3.6-7'!$C139)/COUNT('EPA (2017) Table A3.6-7'!$D$6:$AB$6)*(H$160-$B$160)+'EPA (2017) Table A3.6-7'!$AB139)/'EPA (2017) Table A3.6-7'!$AB139)*$B168</f>
        <v>37.144004319119183</v>
      </c>
      <c r="I168" s="326">
        <f>MAX(0,(('EPA (2017) Table A3.6-7'!$AB139-'EPA (2017) Table A3.6-7'!$C139)/COUNT('EPA (2017) Table A3.6-7'!$D$6:$AB$6)*(I$160-$B$160)+'EPA (2017) Table A3.6-7'!$AB139)/'EPA (2017) Table A3.6-7'!$AB139)*$B168</f>
        <v>35.315308780318112</v>
      </c>
      <c r="J168" s="326">
        <f>MAX(0,(('EPA (2017) Table A3.6-7'!$AB139-'EPA (2017) Table A3.6-7'!$C139)/COUNT('EPA (2017) Table A3.6-7'!$D$6:$AB$6)*(J$160-$B$160)+'EPA (2017) Table A3.6-7'!$AB139)/'EPA (2017) Table A3.6-7'!$AB139)*$B168</f>
        <v>33.486613241517034</v>
      </c>
      <c r="K168" s="326">
        <f>MAX(0,(('EPA (2017) Table A3.6-7'!$AB139-'EPA (2017) Table A3.6-7'!$C139)/COUNT('EPA (2017) Table A3.6-7'!$D$6:$AB$6)*(K$160-$B$160)+'EPA (2017) Table A3.6-7'!$AB139)/'EPA (2017) Table A3.6-7'!$AB139)*$B168</f>
        <v>31.657917702715963</v>
      </c>
      <c r="L168" s="326">
        <f>MAX(0,(('EPA (2017) Table A3.6-7'!$AB139-'EPA (2017) Table A3.6-7'!$C139)/COUNT('EPA (2017) Table A3.6-7'!$D$6:$AB$6)*(L$160-$B$160)+'EPA (2017) Table A3.6-7'!$AB139)/'EPA (2017) Table A3.6-7'!$AB139)*$B168</f>
        <v>29.829222163914892</v>
      </c>
      <c r="M168" s="326">
        <f>MAX(0,(('EPA (2017) Table A3.6-7'!$AB139-'EPA (2017) Table A3.6-7'!$C139)/COUNT('EPA (2017) Table A3.6-7'!$D$6:$AB$6)*(M$160-$B$160)+'EPA (2017) Table A3.6-7'!$AB139)/'EPA (2017) Table A3.6-7'!$AB139)*$B168</f>
        <v>28.000526625113817</v>
      </c>
      <c r="N168" s="326">
        <f>MAX(0,(('EPA (2017) Table A3.6-7'!$AB139-'EPA (2017) Table A3.6-7'!$C139)/COUNT('EPA (2017) Table A3.6-7'!$D$6:$AB$6)*(N$160-$B$160)+'EPA (2017) Table A3.6-7'!$AB139)/'EPA (2017) Table A3.6-7'!$AB139)*$B168</f>
        <v>26.171831086312746</v>
      </c>
      <c r="O168" s="326">
        <f>MAX(0,(('EPA (2017) Table A3.6-7'!$AB139-'EPA (2017) Table A3.6-7'!$C139)/COUNT('EPA (2017) Table A3.6-7'!$D$6:$AB$6)*(O$160-$B$160)+'EPA (2017) Table A3.6-7'!$AB139)/'EPA (2017) Table A3.6-7'!$AB139)*$B168</f>
        <v>24.343135547511679</v>
      </c>
      <c r="P168" s="326">
        <f>MAX(0,(('EPA (2017) Table A3.6-7'!$AB139-'EPA (2017) Table A3.6-7'!$C139)/COUNT('EPA (2017) Table A3.6-7'!$D$6:$AB$6)*(P$160-$B$160)+'EPA (2017) Table A3.6-7'!$AB139)/'EPA (2017) Table A3.6-7'!$AB139)*$B168</f>
        <v>22.514440008710601</v>
      </c>
      <c r="Q168" s="326">
        <f>MAX(0,(('EPA (2017) Table A3.6-7'!$AB139-'EPA (2017) Table A3.6-7'!$C139)/COUNT('EPA (2017) Table A3.6-7'!$D$6:$AB$6)*(Q$160-$B$160)+'EPA (2017) Table A3.6-7'!$AB139)/'EPA (2017) Table A3.6-7'!$AB139)*$B168</f>
        <v>20.68574446990953</v>
      </c>
      <c r="R168" s="326">
        <f>MAX(0,(('EPA (2017) Table A3.6-7'!$AB139-'EPA (2017) Table A3.6-7'!$C139)/COUNT('EPA (2017) Table A3.6-7'!$D$6:$AB$6)*(R$160-$B$160)+'EPA (2017) Table A3.6-7'!$AB139)/'EPA (2017) Table A3.6-7'!$AB139)*$B168</f>
        <v>18.857048931108459</v>
      </c>
      <c r="S168" s="326">
        <f>MAX(0,(('EPA (2017) Table A3.6-7'!$AB139-'EPA (2017) Table A3.6-7'!$C139)/COUNT('EPA (2017) Table A3.6-7'!$D$6:$AB$6)*(S$160-$B$160)+'EPA (2017) Table A3.6-7'!$AB139)/'EPA (2017) Table A3.6-7'!$AB139)*$B168</f>
        <v>17.028353392307384</v>
      </c>
      <c r="T168" s="326">
        <f>MAX(0,(('EPA (2017) Table A3.6-7'!$AB139-'EPA (2017) Table A3.6-7'!$C139)/COUNT('EPA (2017) Table A3.6-7'!$D$6:$AB$6)*(T$160-$B$160)+'EPA (2017) Table A3.6-7'!$AB139)/'EPA (2017) Table A3.6-7'!$AB139)*$B168</f>
        <v>15.199657853506315</v>
      </c>
      <c r="U168" s="326">
        <f>MAX(0,(('EPA (2017) Table A3.6-7'!$AB139-'EPA (2017) Table A3.6-7'!$C139)/COUNT('EPA (2017) Table A3.6-7'!$D$6:$AB$6)*(U$160-$B$160)+'EPA (2017) Table A3.6-7'!$AB139)/'EPA (2017) Table A3.6-7'!$AB139)*$B168</f>
        <v>13.37096231470524</v>
      </c>
      <c r="V168" s="326">
        <f>MAX(0,(('EPA (2017) Table A3.6-7'!$AB139-'EPA (2017) Table A3.6-7'!$C139)/COUNT('EPA (2017) Table A3.6-7'!$D$6:$AB$6)*(V$160-$B$160)+'EPA (2017) Table A3.6-7'!$AB139)/'EPA (2017) Table A3.6-7'!$AB139)*$B168</f>
        <v>11.542266775904171</v>
      </c>
      <c r="W168" s="326">
        <f>MAX(0,(('EPA (2017) Table A3.6-7'!$AB139-'EPA (2017) Table A3.6-7'!$C139)/COUNT('EPA (2017) Table A3.6-7'!$D$6:$AB$6)*(W$160-$B$160)+'EPA (2017) Table A3.6-7'!$AB139)/'EPA (2017) Table A3.6-7'!$AB139)*$B168</f>
        <v>9.7135712371030962</v>
      </c>
      <c r="X168" s="326">
        <f>MAX(0,(('EPA (2017) Table A3.6-7'!$AB139-'EPA (2017) Table A3.6-7'!$C139)/COUNT('EPA (2017) Table A3.6-7'!$D$6:$AB$6)*(X$160-$B$160)+'EPA (2017) Table A3.6-7'!$AB139)/'EPA (2017) Table A3.6-7'!$AB139)*$B168</f>
        <v>7.8848756983020216</v>
      </c>
      <c r="Y168" s="326">
        <f>MAX(0,(('EPA (2017) Table A3.6-7'!$AB139-'EPA (2017) Table A3.6-7'!$C139)/COUNT('EPA (2017) Table A3.6-7'!$D$6:$AB$6)*(Y$160-$B$160)+'EPA (2017) Table A3.6-7'!$AB139)/'EPA (2017) Table A3.6-7'!$AB139)*$B168</f>
        <v>6.0561801595009532</v>
      </c>
      <c r="Z168" s="326">
        <f>MAX(0,(('EPA (2017) Table A3.6-7'!$AB139-'EPA (2017) Table A3.6-7'!$C139)/COUNT('EPA (2017) Table A3.6-7'!$D$6:$AB$6)*(Z$160-$B$160)+'EPA (2017) Table A3.6-7'!$AB139)/'EPA (2017) Table A3.6-7'!$AB139)*$B168</f>
        <v>4.2274846206998777</v>
      </c>
      <c r="AA168" s="326">
        <f>MAX(0,(('EPA (2017) Table A3.6-7'!$AB139-'EPA (2017) Table A3.6-7'!$C139)/COUNT('EPA (2017) Table A3.6-7'!$D$6:$AB$6)*(AA$160-$B$160)+'EPA (2017) Table A3.6-7'!$AB139)/'EPA (2017) Table A3.6-7'!$AB139)*$B168</f>
        <v>2.3987890818988031</v>
      </c>
      <c r="AB168" s="326">
        <f>MAX(0,(('EPA (2017) Table A3.6-7'!$AB139-'EPA (2017) Table A3.6-7'!$C139)/COUNT('EPA (2017) Table A3.6-7'!$D$6:$AB$6)*(AB$160-$B$160)+'EPA (2017) Table A3.6-7'!$AB139)/'EPA (2017) Table A3.6-7'!$AB139)*$B168</f>
        <v>0.57009354309773463</v>
      </c>
      <c r="AC168" s="326">
        <f>MAX(0,(('EPA (2017) Table A3.6-7'!$AB139-'EPA (2017) Table A3.6-7'!$C139)/COUNT('EPA (2017) Table A3.6-7'!$D$6:$AB$6)*(AC$160-$B$160)+'EPA (2017) Table A3.6-7'!$AB139)/'EPA (2017) Table A3.6-7'!$AB139)*$B168</f>
        <v>0</v>
      </c>
      <c r="AD168" s="326">
        <f>MAX(0,(('EPA (2017) Table A3.6-7'!$AB139-'EPA (2017) Table A3.6-7'!$C139)/COUNT('EPA (2017) Table A3.6-7'!$D$6:$AB$6)*(AD$160-$B$160)+'EPA (2017) Table A3.6-7'!$AB139)/'EPA (2017) Table A3.6-7'!$AB139)*$B168</f>
        <v>0</v>
      </c>
      <c r="AE168" s="326">
        <f>MAX(0,(('EPA (2017) Table A3.6-7'!$AB139-'EPA (2017) Table A3.6-7'!$C139)/COUNT('EPA (2017) Table A3.6-7'!$D$6:$AB$6)*(AE$160-$B$160)+'EPA (2017) Table A3.6-7'!$AB139)/'EPA (2017) Table A3.6-7'!$AB139)*$B168</f>
        <v>0</v>
      </c>
      <c r="AF168" s="326">
        <f>MAX(0,(('EPA (2017) Table A3.6-7'!$AB139-'EPA (2017) Table A3.6-7'!$C139)/COUNT('EPA (2017) Table A3.6-7'!$D$6:$AB$6)*(AF$160-$B$160)+'EPA (2017) Table A3.6-7'!$AB139)/'EPA (2017) Table A3.6-7'!$AB139)*$B168</f>
        <v>0</v>
      </c>
      <c r="AG168" s="326">
        <f>MAX(0,(('EPA (2017) Table A3.6-7'!$AB139-'EPA (2017) Table A3.6-7'!$C139)/COUNT('EPA (2017) Table A3.6-7'!$D$6:$AB$6)*(AG$160-$B$160)+'EPA (2017) Table A3.6-7'!$AB139)/'EPA (2017) Table A3.6-7'!$AB139)*$B168</f>
        <v>0</v>
      </c>
      <c r="AH168" s="326">
        <f>MAX(0,(('EPA (2017) Table A3.6-7'!$AB139-'EPA (2017) Table A3.6-7'!$C139)/COUNT('EPA (2017) Table A3.6-7'!$D$6:$AB$6)*(AH$160-$B$160)+'EPA (2017) Table A3.6-7'!$AB139)/'EPA (2017) Table A3.6-7'!$AB139)*$B168</f>
        <v>0</v>
      </c>
      <c r="AI168" s="326">
        <f>MAX(0,(('EPA (2017) Table A3.6-7'!$AB139-'EPA (2017) Table A3.6-7'!$C139)/COUNT('EPA (2017) Table A3.6-7'!$D$6:$AB$6)*(AI$160-$B$160)+'EPA (2017) Table A3.6-7'!$AB139)/'EPA (2017) Table A3.6-7'!$AB139)*$B168</f>
        <v>0</v>
      </c>
      <c r="AJ168" s="326">
        <f>MAX(0,(('EPA (2017) Table A3.6-7'!$AB139-'EPA (2017) Table A3.6-7'!$C139)/COUNT('EPA (2017) Table A3.6-7'!$D$6:$AB$6)*(AJ$160-$B$160)+'EPA (2017) Table A3.6-7'!$AB139)/'EPA (2017) Table A3.6-7'!$AB139)*$B168</f>
        <v>0</v>
      </c>
      <c r="AK168" s="326">
        <f>MAX(0,(('EPA (2017) Table A3.6-7'!$AB139-'EPA (2017) Table A3.6-7'!$C139)/COUNT('EPA (2017) Table A3.6-7'!$D$6:$AB$6)*(AK$160-$B$160)+'EPA (2017) Table A3.6-7'!$AB139)/'EPA (2017) Table A3.6-7'!$AB139)*$B168</f>
        <v>0</v>
      </c>
    </row>
    <row r="169" spans="1:37" x14ac:dyDescent="0.25">
      <c r="A169" s="214" t="s">
        <v>1508</v>
      </c>
      <c r="B169" s="198">
        <v>46.898941559787474</v>
      </c>
      <c r="C169" s="326">
        <f>MAX(0,(('EPA (2017) Table A3.6-7'!$AB140-'EPA (2017) Table A3.6-7'!$C140)/COUNT('EPA (2017) Table A3.6-7'!$D$6:$AB$6)*(C$160-$B$160)+'EPA (2017) Table A3.6-7'!$AB140)/'EPA (2017) Table A3.6-7'!$AB140)*$B169</f>
        <v>46.973287298823976</v>
      </c>
      <c r="D169" s="326">
        <f>MAX(0,(('EPA (2017) Table A3.6-7'!$AB140-'EPA (2017) Table A3.6-7'!$C140)/COUNT('EPA (2017) Table A3.6-7'!$D$6:$AB$6)*(D$160-$B$160)+'EPA (2017) Table A3.6-7'!$AB140)/'EPA (2017) Table A3.6-7'!$AB140)*$B169</f>
        <v>47.047633037860471</v>
      </c>
      <c r="E169" s="326">
        <f>MAX(0,(('EPA (2017) Table A3.6-7'!$AB140-'EPA (2017) Table A3.6-7'!$C140)/COUNT('EPA (2017) Table A3.6-7'!$D$6:$AB$6)*(E$160-$B$160)+'EPA (2017) Table A3.6-7'!$AB140)/'EPA (2017) Table A3.6-7'!$AB140)*$B169</f>
        <v>47.121978776896967</v>
      </c>
      <c r="F169" s="326">
        <f>MAX(0,(('EPA (2017) Table A3.6-7'!$AB140-'EPA (2017) Table A3.6-7'!$C140)/COUNT('EPA (2017) Table A3.6-7'!$D$6:$AB$6)*(F$160-$B$160)+'EPA (2017) Table A3.6-7'!$AB140)/'EPA (2017) Table A3.6-7'!$AB140)*$B169</f>
        <v>47.196324515933462</v>
      </c>
      <c r="G169" s="326">
        <f>MAX(0,(('EPA (2017) Table A3.6-7'!$AB140-'EPA (2017) Table A3.6-7'!$C140)/COUNT('EPA (2017) Table A3.6-7'!$D$6:$AB$6)*(G$160-$B$160)+'EPA (2017) Table A3.6-7'!$AB140)/'EPA (2017) Table A3.6-7'!$AB140)*$B169</f>
        <v>47.270670254969964</v>
      </c>
      <c r="H169" s="326">
        <f>MAX(0,(('EPA (2017) Table A3.6-7'!$AB140-'EPA (2017) Table A3.6-7'!$C140)/COUNT('EPA (2017) Table A3.6-7'!$D$6:$AB$6)*(H$160-$B$160)+'EPA (2017) Table A3.6-7'!$AB140)/'EPA (2017) Table A3.6-7'!$AB140)*$B169</f>
        <v>47.345015994006467</v>
      </c>
      <c r="I169" s="326">
        <f>MAX(0,(('EPA (2017) Table A3.6-7'!$AB140-'EPA (2017) Table A3.6-7'!$C140)/COUNT('EPA (2017) Table A3.6-7'!$D$6:$AB$6)*(I$160-$B$160)+'EPA (2017) Table A3.6-7'!$AB140)/'EPA (2017) Table A3.6-7'!$AB140)*$B169</f>
        <v>47.419361733042955</v>
      </c>
      <c r="J169" s="326">
        <f>MAX(0,(('EPA (2017) Table A3.6-7'!$AB140-'EPA (2017) Table A3.6-7'!$C140)/COUNT('EPA (2017) Table A3.6-7'!$D$6:$AB$6)*(J$160-$B$160)+'EPA (2017) Table A3.6-7'!$AB140)/'EPA (2017) Table A3.6-7'!$AB140)*$B169</f>
        <v>47.493707472079457</v>
      </c>
      <c r="K169" s="326">
        <f>MAX(0,(('EPA (2017) Table A3.6-7'!$AB140-'EPA (2017) Table A3.6-7'!$C140)/COUNT('EPA (2017) Table A3.6-7'!$D$6:$AB$6)*(K$160-$B$160)+'EPA (2017) Table A3.6-7'!$AB140)/'EPA (2017) Table A3.6-7'!$AB140)*$B169</f>
        <v>47.568053211115952</v>
      </c>
      <c r="L169" s="326">
        <f>MAX(0,(('EPA (2017) Table A3.6-7'!$AB140-'EPA (2017) Table A3.6-7'!$C140)/COUNT('EPA (2017) Table A3.6-7'!$D$6:$AB$6)*(L$160-$B$160)+'EPA (2017) Table A3.6-7'!$AB140)/'EPA (2017) Table A3.6-7'!$AB140)*$B169</f>
        <v>47.642398950152455</v>
      </c>
      <c r="M169" s="326">
        <f>MAX(0,(('EPA (2017) Table A3.6-7'!$AB140-'EPA (2017) Table A3.6-7'!$C140)/COUNT('EPA (2017) Table A3.6-7'!$D$6:$AB$6)*(M$160-$B$160)+'EPA (2017) Table A3.6-7'!$AB140)/'EPA (2017) Table A3.6-7'!$AB140)*$B169</f>
        <v>47.716744689188943</v>
      </c>
      <c r="N169" s="326">
        <f>MAX(0,(('EPA (2017) Table A3.6-7'!$AB140-'EPA (2017) Table A3.6-7'!$C140)/COUNT('EPA (2017) Table A3.6-7'!$D$6:$AB$6)*(N$160-$B$160)+'EPA (2017) Table A3.6-7'!$AB140)/'EPA (2017) Table A3.6-7'!$AB140)*$B169</f>
        <v>47.791090428225445</v>
      </c>
      <c r="O169" s="326">
        <f>MAX(0,(('EPA (2017) Table A3.6-7'!$AB140-'EPA (2017) Table A3.6-7'!$C140)/COUNT('EPA (2017) Table A3.6-7'!$D$6:$AB$6)*(O$160-$B$160)+'EPA (2017) Table A3.6-7'!$AB140)/'EPA (2017) Table A3.6-7'!$AB140)*$B169</f>
        <v>47.865436167261933</v>
      </c>
      <c r="P169" s="326">
        <f>MAX(0,(('EPA (2017) Table A3.6-7'!$AB140-'EPA (2017) Table A3.6-7'!$C140)/COUNT('EPA (2017) Table A3.6-7'!$D$6:$AB$6)*(P$160-$B$160)+'EPA (2017) Table A3.6-7'!$AB140)/'EPA (2017) Table A3.6-7'!$AB140)*$B169</f>
        <v>47.939781906298435</v>
      </c>
      <c r="Q169" s="326">
        <f>MAX(0,(('EPA (2017) Table A3.6-7'!$AB140-'EPA (2017) Table A3.6-7'!$C140)/COUNT('EPA (2017) Table A3.6-7'!$D$6:$AB$6)*(Q$160-$B$160)+'EPA (2017) Table A3.6-7'!$AB140)/'EPA (2017) Table A3.6-7'!$AB140)*$B169</f>
        <v>48.014127645334931</v>
      </c>
      <c r="R169" s="326">
        <f>MAX(0,(('EPA (2017) Table A3.6-7'!$AB140-'EPA (2017) Table A3.6-7'!$C140)/COUNT('EPA (2017) Table A3.6-7'!$D$6:$AB$6)*(R$160-$B$160)+'EPA (2017) Table A3.6-7'!$AB140)/'EPA (2017) Table A3.6-7'!$AB140)*$B169</f>
        <v>48.088473384371433</v>
      </c>
      <c r="S169" s="326">
        <f>MAX(0,(('EPA (2017) Table A3.6-7'!$AB140-'EPA (2017) Table A3.6-7'!$C140)/COUNT('EPA (2017) Table A3.6-7'!$D$6:$AB$6)*(S$160-$B$160)+'EPA (2017) Table A3.6-7'!$AB140)/'EPA (2017) Table A3.6-7'!$AB140)*$B169</f>
        <v>48.162819123407921</v>
      </c>
      <c r="T169" s="326">
        <f>MAX(0,(('EPA (2017) Table A3.6-7'!$AB140-'EPA (2017) Table A3.6-7'!$C140)/COUNT('EPA (2017) Table A3.6-7'!$D$6:$AB$6)*(T$160-$B$160)+'EPA (2017) Table A3.6-7'!$AB140)/'EPA (2017) Table A3.6-7'!$AB140)*$B169</f>
        <v>48.237164862444423</v>
      </c>
      <c r="U169" s="326">
        <f>MAX(0,(('EPA (2017) Table A3.6-7'!$AB140-'EPA (2017) Table A3.6-7'!$C140)/COUNT('EPA (2017) Table A3.6-7'!$D$6:$AB$6)*(U$160-$B$160)+'EPA (2017) Table A3.6-7'!$AB140)/'EPA (2017) Table A3.6-7'!$AB140)*$B169</f>
        <v>48.311510601480926</v>
      </c>
      <c r="V169" s="326">
        <f>MAX(0,(('EPA (2017) Table A3.6-7'!$AB140-'EPA (2017) Table A3.6-7'!$C140)/COUNT('EPA (2017) Table A3.6-7'!$D$6:$AB$6)*(V$160-$B$160)+'EPA (2017) Table A3.6-7'!$AB140)/'EPA (2017) Table A3.6-7'!$AB140)*$B169</f>
        <v>48.385856340517421</v>
      </c>
      <c r="W169" s="326">
        <f>MAX(0,(('EPA (2017) Table A3.6-7'!$AB140-'EPA (2017) Table A3.6-7'!$C140)/COUNT('EPA (2017) Table A3.6-7'!$D$6:$AB$6)*(W$160-$B$160)+'EPA (2017) Table A3.6-7'!$AB140)/'EPA (2017) Table A3.6-7'!$AB140)*$B169</f>
        <v>48.460202079553923</v>
      </c>
      <c r="X169" s="326">
        <f>MAX(0,(('EPA (2017) Table A3.6-7'!$AB140-'EPA (2017) Table A3.6-7'!$C140)/COUNT('EPA (2017) Table A3.6-7'!$D$6:$AB$6)*(X$160-$B$160)+'EPA (2017) Table A3.6-7'!$AB140)/'EPA (2017) Table A3.6-7'!$AB140)*$B169</f>
        <v>48.534547818590411</v>
      </c>
      <c r="Y169" s="326">
        <f>MAX(0,(('EPA (2017) Table A3.6-7'!$AB140-'EPA (2017) Table A3.6-7'!$C140)/COUNT('EPA (2017) Table A3.6-7'!$D$6:$AB$6)*(Y$160-$B$160)+'EPA (2017) Table A3.6-7'!$AB140)/'EPA (2017) Table A3.6-7'!$AB140)*$B169</f>
        <v>48.608893557626914</v>
      </c>
      <c r="Z169" s="326">
        <f>MAX(0,(('EPA (2017) Table A3.6-7'!$AB140-'EPA (2017) Table A3.6-7'!$C140)/COUNT('EPA (2017) Table A3.6-7'!$D$6:$AB$6)*(Z$160-$B$160)+'EPA (2017) Table A3.6-7'!$AB140)/'EPA (2017) Table A3.6-7'!$AB140)*$B169</f>
        <v>48.683239296663416</v>
      </c>
      <c r="AA169" s="326">
        <f>MAX(0,(('EPA (2017) Table A3.6-7'!$AB140-'EPA (2017) Table A3.6-7'!$C140)/COUNT('EPA (2017) Table A3.6-7'!$D$6:$AB$6)*(AA$160-$B$160)+'EPA (2017) Table A3.6-7'!$AB140)/'EPA (2017) Table A3.6-7'!$AB140)*$B169</f>
        <v>48.757585035699911</v>
      </c>
      <c r="AB169" s="326">
        <f>MAX(0,(('EPA (2017) Table A3.6-7'!$AB140-'EPA (2017) Table A3.6-7'!$C140)/COUNT('EPA (2017) Table A3.6-7'!$D$6:$AB$6)*(AB$160-$B$160)+'EPA (2017) Table A3.6-7'!$AB140)/'EPA (2017) Table A3.6-7'!$AB140)*$B169</f>
        <v>48.831930774736406</v>
      </c>
      <c r="AC169" s="326">
        <f>MAX(0,(('EPA (2017) Table A3.6-7'!$AB140-'EPA (2017) Table A3.6-7'!$C140)/COUNT('EPA (2017) Table A3.6-7'!$D$6:$AB$6)*(AC$160-$B$160)+'EPA (2017) Table A3.6-7'!$AB140)/'EPA (2017) Table A3.6-7'!$AB140)*$B169</f>
        <v>48.906276513772902</v>
      </c>
      <c r="AD169" s="326">
        <f>MAX(0,(('EPA (2017) Table A3.6-7'!$AB140-'EPA (2017) Table A3.6-7'!$C140)/COUNT('EPA (2017) Table A3.6-7'!$D$6:$AB$6)*(AD$160-$B$160)+'EPA (2017) Table A3.6-7'!$AB140)/'EPA (2017) Table A3.6-7'!$AB140)*$B169</f>
        <v>48.980622252809404</v>
      </c>
      <c r="AE169" s="326">
        <f>MAX(0,(('EPA (2017) Table A3.6-7'!$AB140-'EPA (2017) Table A3.6-7'!$C140)/COUNT('EPA (2017) Table A3.6-7'!$D$6:$AB$6)*(AE$160-$B$160)+'EPA (2017) Table A3.6-7'!$AB140)/'EPA (2017) Table A3.6-7'!$AB140)*$B169</f>
        <v>49.054967991845906</v>
      </c>
      <c r="AF169" s="326">
        <f>MAX(0,(('EPA (2017) Table A3.6-7'!$AB140-'EPA (2017) Table A3.6-7'!$C140)/COUNT('EPA (2017) Table A3.6-7'!$D$6:$AB$6)*(AF$160-$B$160)+'EPA (2017) Table A3.6-7'!$AB140)/'EPA (2017) Table A3.6-7'!$AB140)*$B169</f>
        <v>49.129313730882394</v>
      </c>
      <c r="AG169" s="326">
        <f>MAX(0,(('EPA (2017) Table A3.6-7'!$AB140-'EPA (2017) Table A3.6-7'!$C140)/COUNT('EPA (2017) Table A3.6-7'!$D$6:$AB$6)*(AG$160-$B$160)+'EPA (2017) Table A3.6-7'!$AB140)/'EPA (2017) Table A3.6-7'!$AB140)*$B169</f>
        <v>49.203659469918897</v>
      </c>
      <c r="AH169" s="326">
        <f>MAX(0,(('EPA (2017) Table A3.6-7'!$AB140-'EPA (2017) Table A3.6-7'!$C140)/COUNT('EPA (2017) Table A3.6-7'!$D$6:$AB$6)*(AH$160-$B$160)+'EPA (2017) Table A3.6-7'!$AB140)/'EPA (2017) Table A3.6-7'!$AB140)*$B169</f>
        <v>49.278005208955392</v>
      </c>
      <c r="AI169" s="326">
        <f>MAX(0,(('EPA (2017) Table A3.6-7'!$AB140-'EPA (2017) Table A3.6-7'!$C140)/COUNT('EPA (2017) Table A3.6-7'!$D$6:$AB$6)*(AI$160-$B$160)+'EPA (2017) Table A3.6-7'!$AB140)/'EPA (2017) Table A3.6-7'!$AB140)*$B169</f>
        <v>49.352350947991894</v>
      </c>
      <c r="AJ169" s="326">
        <f>MAX(0,(('EPA (2017) Table A3.6-7'!$AB140-'EPA (2017) Table A3.6-7'!$C140)/COUNT('EPA (2017) Table A3.6-7'!$D$6:$AB$6)*(AJ$160-$B$160)+'EPA (2017) Table A3.6-7'!$AB140)/'EPA (2017) Table A3.6-7'!$AB140)*$B169</f>
        <v>49.426696687028382</v>
      </c>
      <c r="AK169" s="326">
        <f>MAX(0,(('EPA (2017) Table A3.6-7'!$AB140-'EPA (2017) Table A3.6-7'!$C140)/COUNT('EPA (2017) Table A3.6-7'!$D$6:$AB$6)*(AK$160-$B$160)+'EPA (2017) Table A3.6-7'!$AB140)/'EPA (2017) Table A3.6-7'!$AB140)*$B169</f>
        <v>49.501042426064885</v>
      </c>
    </row>
    <row r="170" spans="1:37" x14ac:dyDescent="0.25">
      <c r="A170" s="214" t="s">
        <v>1509</v>
      </c>
      <c r="B170" s="198">
        <v>20.383368901044889</v>
      </c>
      <c r="C170" s="326">
        <f>MAX(0,(('EPA (2017) Table A3.6-7'!$AB141-'EPA (2017) Table A3.6-7'!$C141)/COUNT('EPA (2017) Table A3.6-7'!$D$6:$AB$6)*(C$160-$B$160)+'EPA (2017) Table A3.6-7'!$AB141)/'EPA (2017) Table A3.6-7'!$AB141)*$B170</f>
        <v>20.839397141117356</v>
      </c>
      <c r="D170" s="326">
        <f>MAX(0,(('EPA (2017) Table A3.6-7'!$AB141-'EPA (2017) Table A3.6-7'!$C141)/COUNT('EPA (2017) Table A3.6-7'!$D$6:$AB$6)*(D$160-$B$160)+'EPA (2017) Table A3.6-7'!$AB141)/'EPA (2017) Table A3.6-7'!$AB141)*$B170</f>
        <v>21.29542538118983</v>
      </c>
      <c r="E170" s="326">
        <f>MAX(0,(('EPA (2017) Table A3.6-7'!$AB141-'EPA (2017) Table A3.6-7'!$C141)/COUNT('EPA (2017) Table A3.6-7'!$D$6:$AB$6)*(E$160-$B$160)+'EPA (2017) Table A3.6-7'!$AB141)/'EPA (2017) Table A3.6-7'!$AB141)*$B170</f>
        <v>21.751453621262293</v>
      </c>
      <c r="F170" s="326">
        <f>MAX(0,(('EPA (2017) Table A3.6-7'!$AB141-'EPA (2017) Table A3.6-7'!$C141)/COUNT('EPA (2017) Table A3.6-7'!$D$6:$AB$6)*(F$160-$B$160)+'EPA (2017) Table A3.6-7'!$AB141)/'EPA (2017) Table A3.6-7'!$AB141)*$B170</f>
        <v>22.207481861334763</v>
      </c>
      <c r="G170" s="326">
        <f>MAX(0,(('EPA (2017) Table A3.6-7'!$AB141-'EPA (2017) Table A3.6-7'!$C141)/COUNT('EPA (2017) Table A3.6-7'!$D$6:$AB$6)*(G$160-$B$160)+'EPA (2017) Table A3.6-7'!$AB141)/'EPA (2017) Table A3.6-7'!$AB141)*$B170</f>
        <v>22.663510101407233</v>
      </c>
      <c r="H170" s="326">
        <f>MAX(0,(('EPA (2017) Table A3.6-7'!$AB141-'EPA (2017) Table A3.6-7'!$C141)/COUNT('EPA (2017) Table A3.6-7'!$D$6:$AB$6)*(H$160-$B$160)+'EPA (2017) Table A3.6-7'!$AB141)/'EPA (2017) Table A3.6-7'!$AB141)*$B170</f>
        <v>23.119538341479704</v>
      </c>
      <c r="I170" s="326">
        <f>MAX(0,(('EPA (2017) Table A3.6-7'!$AB141-'EPA (2017) Table A3.6-7'!$C141)/COUNT('EPA (2017) Table A3.6-7'!$D$6:$AB$6)*(I$160-$B$160)+'EPA (2017) Table A3.6-7'!$AB141)/'EPA (2017) Table A3.6-7'!$AB141)*$B170</f>
        <v>23.575566581552174</v>
      </c>
      <c r="J170" s="326">
        <f>MAX(0,(('EPA (2017) Table A3.6-7'!$AB141-'EPA (2017) Table A3.6-7'!$C141)/COUNT('EPA (2017) Table A3.6-7'!$D$6:$AB$6)*(J$160-$B$160)+'EPA (2017) Table A3.6-7'!$AB141)/'EPA (2017) Table A3.6-7'!$AB141)*$B170</f>
        <v>24.03159482162464</v>
      </c>
      <c r="K170" s="326">
        <f>MAX(0,(('EPA (2017) Table A3.6-7'!$AB141-'EPA (2017) Table A3.6-7'!$C141)/COUNT('EPA (2017) Table A3.6-7'!$D$6:$AB$6)*(K$160-$B$160)+'EPA (2017) Table A3.6-7'!$AB141)/'EPA (2017) Table A3.6-7'!$AB141)*$B170</f>
        <v>24.487623061697107</v>
      </c>
      <c r="L170" s="326">
        <f>MAX(0,(('EPA (2017) Table A3.6-7'!$AB141-'EPA (2017) Table A3.6-7'!$C141)/COUNT('EPA (2017) Table A3.6-7'!$D$6:$AB$6)*(L$160-$B$160)+'EPA (2017) Table A3.6-7'!$AB141)/'EPA (2017) Table A3.6-7'!$AB141)*$B170</f>
        <v>24.943651301769574</v>
      </c>
      <c r="M170" s="326">
        <f>MAX(0,(('EPA (2017) Table A3.6-7'!$AB141-'EPA (2017) Table A3.6-7'!$C141)/COUNT('EPA (2017) Table A3.6-7'!$D$6:$AB$6)*(M$160-$B$160)+'EPA (2017) Table A3.6-7'!$AB141)/'EPA (2017) Table A3.6-7'!$AB141)*$B170</f>
        <v>25.399679541842048</v>
      </c>
      <c r="N170" s="326">
        <f>MAX(0,(('EPA (2017) Table A3.6-7'!$AB141-'EPA (2017) Table A3.6-7'!$C141)/COUNT('EPA (2017) Table A3.6-7'!$D$6:$AB$6)*(N$160-$B$160)+'EPA (2017) Table A3.6-7'!$AB141)/'EPA (2017) Table A3.6-7'!$AB141)*$B170</f>
        <v>25.855707781914514</v>
      </c>
      <c r="O170" s="326">
        <f>MAX(0,(('EPA (2017) Table A3.6-7'!$AB141-'EPA (2017) Table A3.6-7'!$C141)/COUNT('EPA (2017) Table A3.6-7'!$D$6:$AB$6)*(O$160-$B$160)+'EPA (2017) Table A3.6-7'!$AB141)/'EPA (2017) Table A3.6-7'!$AB141)*$B170</f>
        <v>26.311736021986981</v>
      </c>
      <c r="P170" s="326">
        <f>MAX(0,(('EPA (2017) Table A3.6-7'!$AB141-'EPA (2017) Table A3.6-7'!$C141)/COUNT('EPA (2017) Table A3.6-7'!$D$6:$AB$6)*(P$160-$B$160)+'EPA (2017) Table A3.6-7'!$AB141)/'EPA (2017) Table A3.6-7'!$AB141)*$B170</f>
        <v>26.767764262059451</v>
      </c>
      <c r="Q170" s="326">
        <f>MAX(0,(('EPA (2017) Table A3.6-7'!$AB141-'EPA (2017) Table A3.6-7'!$C141)/COUNT('EPA (2017) Table A3.6-7'!$D$6:$AB$6)*(Q$160-$B$160)+'EPA (2017) Table A3.6-7'!$AB141)/'EPA (2017) Table A3.6-7'!$AB141)*$B170</f>
        <v>27.223792502131921</v>
      </c>
      <c r="R170" s="326">
        <f>MAX(0,(('EPA (2017) Table A3.6-7'!$AB141-'EPA (2017) Table A3.6-7'!$C141)/COUNT('EPA (2017) Table A3.6-7'!$D$6:$AB$6)*(R$160-$B$160)+'EPA (2017) Table A3.6-7'!$AB141)/'EPA (2017) Table A3.6-7'!$AB141)*$B170</f>
        <v>27.679820742204392</v>
      </c>
      <c r="S170" s="326">
        <f>MAX(0,(('EPA (2017) Table A3.6-7'!$AB141-'EPA (2017) Table A3.6-7'!$C141)/COUNT('EPA (2017) Table A3.6-7'!$D$6:$AB$6)*(S$160-$B$160)+'EPA (2017) Table A3.6-7'!$AB141)/'EPA (2017) Table A3.6-7'!$AB141)*$B170</f>
        <v>28.135848982276855</v>
      </c>
      <c r="T170" s="326">
        <f>MAX(0,(('EPA (2017) Table A3.6-7'!$AB141-'EPA (2017) Table A3.6-7'!$C141)/COUNT('EPA (2017) Table A3.6-7'!$D$6:$AB$6)*(T$160-$B$160)+'EPA (2017) Table A3.6-7'!$AB141)/'EPA (2017) Table A3.6-7'!$AB141)*$B170</f>
        <v>28.591877222349325</v>
      </c>
      <c r="U170" s="326">
        <f>MAX(0,(('EPA (2017) Table A3.6-7'!$AB141-'EPA (2017) Table A3.6-7'!$C141)/COUNT('EPA (2017) Table A3.6-7'!$D$6:$AB$6)*(U$160-$B$160)+'EPA (2017) Table A3.6-7'!$AB141)/'EPA (2017) Table A3.6-7'!$AB141)*$B170</f>
        <v>29.047905462421799</v>
      </c>
      <c r="V170" s="326">
        <f>MAX(0,(('EPA (2017) Table A3.6-7'!$AB141-'EPA (2017) Table A3.6-7'!$C141)/COUNT('EPA (2017) Table A3.6-7'!$D$6:$AB$6)*(V$160-$B$160)+'EPA (2017) Table A3.6-7'!$AB141)/'EPA (2017) Table A3.6-7'!$AB141)*$B170</f>
        <v>29.503933702494265</v>
      </c>
      <c r="W170" s="326">
        <f>MAX(0,(('EPA (2017) Table A3.6-7'!$AB141-'EPA (2017) Table A3.6-7'!$C141)/COUNT('EPA (2017) Table A3.6-7'!$D$6:$AB$6)*(W$160-$B$160)+'EPA (2017) Table A3.6-7'!$AB141)/'EPA (2017) Table A3.6-7'!$AB141)*$B170</f>
        <v>29.959961942566732</v>
      </c>
      <c r="X170" s="326">
        <f>MAX(0,(('EPA (2017) Table A3.6-7'!$AB141-'EPA (2017) Table A3.6-7'!$C141)/COUNT('EPA (2017) Table A3.6-7'!$D$6:$AB$6)*(X$160-$B$160)+'EPA (2017) Table A3.6-7'!$AB141)/'EPA (2017) Table A3.6-7'!$AB141)*$B170</f>
        <v>30.415990182639202</v>
      </c>
      <c r="Y170" s="326">
        <f>MAX(0,(('EPA (2017) Table A3.6-7'!$AB141-'EPA (2017) Table A3.6-7'!$C141)/COUNT('EPA (2017) Table A3.6-7'!$D$6:$AB$6)*(Y$160-$B$160)+'EPA (2017) Table A3.6-7'!$AB141)/'EPA (2017) Table A3.6-7'!$AB141)*$B170</f>
        <v>30.872018422711665</v>
      </c>
      <c r="Z170" s="326">
        <f>MAX(0,(('EPA (2017) Table A3.6-7'!$AB141-'EPA (2017) Table A3.6-7'!$C141)/COUNT('EPA (2017) Table A3.6-7'!$D$6:$AB$6)*(Z$160-$B$160)+'EPA (2017) Table A3.6-7'!$AB141)/'EPA (2017) Table A3.6-7'!$AB141)*$B170</f>
        <v>31.328046662784136</v>
      </c>
      <c r="AA170" s="326">
        <f>MAX(0,(('EPA (2017) Table A3.6-7'!$AB141-'EPA (2017) Table A3.6-7'!$C141)/COUNT('EPA (2017) Table A3.6-7'!$D$6:$AB$6)*(AA$160-$B$160)+'EPA (2017) Table A3.6-7'!$AB141)/'EPA (2017) Table A3.6-7'!$AB141)*$B170</f>
        <v>31.784074902856609</v>
      </c>
      <c r="AB170" s="326">
        <f>MAX(0,(('EPA (2017) Table A3.6-7'!$AB141-'EPA (2017) Table A3.6-7'!$C141)/COUNT('EPA (2017) Table A3.6-7'!$D$6:$AB$6)*(AB$160-$B$160)+'EPA (2017) Table A3.6-7'!$AB141)/'EPA (2017) Table A3.6-7'!$AB141)*$B170</f>
        <v>32.240103142929073</v>
      </c>
      <c r="AC170" s="326">
        <f>MAX(0,(('EPA (2017) Table A3.6-7'!$AB141-'EPA (2017) Table A3.6-7'!$C141)/COUNT('EPA (2017) Table A3.6-7'!$D$6:$AB$6)*(AC$160-$B$160)+'EPA (2017) Table A3.6-7'!$AB141)/'EPA (2017) Table A3.6-7'!$AB141)*$B170</f>
        <v>32.69613138300155</v>
      </c>
      <c r="AD170" s="326">
        <f>MAX(0,(('EPA (2017) Table A3.6-7'!$AB141-'EPA (2017) Table A3.6-7'!$C141)/COUNT('EPA (2017) Table A3.6-7'!$D$6:$AB$6)*(AD$160-$B$160)+'EPA (2017) Table A3.6-7'!$AB141)/'EPA (2017) Table A3.6-7'!$AB141)*$B170</f>
        <v>33.152159623074013</v>
      </c>
      <c r="AE170" s="326">
        <f>MAX(0,(('EPA (2017) Table A3.6-7'!$AB141-'EPA (2017) Table A3.6-7'!$C141)/COUNT('EPA (2017) Table A3.6-7'!$D$6:$AB$6)*(AE$160-$B$160)+'EPA (2017) Table A3.6-7'!$AB141)/'EPA (2017) Table A3.6-7'!$AB141)*$B170</f>
        <v>33.608187863146483</v>
      </c>
      <c r="AF170" s="326">
        <f>MAX(0,(('EPA (2017) Table A3.6-7'!$AB141-'EPA (2017) Table A3.6-7'!$C141)/COUNT('EPA (2017) Table A3.6-7'!$D$6:$AB$6)*(AF$160-$B$160)+'EPA (2017) Table A3.6-7'!$AB141)/'EPA (2017) Table A3.6-7'!$AB141)*$B170</f>
        <v>34.064216103218953</v>
      </c>
      <c r="AG170" s="326">
        <f>MAX(0,(('EPA (2017) Table A3.6-7'!$AB141-'EPA (2017) Table A3.6-7'!$C141)/COUNT('EPA (2017) Table A3.6-7'!$D$6:$AB$6)*(AG$160-$B$160)+'EPA (2017) Table A3.6-7'!$AB141)/'EPA (2017) Table A3.6-7'!$AB141)*$B170</f>
        <v>34.520244343291417</v>
      </c>
      <c r="AH170" s="326">
        <f>MAX(0,(('EPA (2017) Table A3.6-7'!$AB141-'EPA (2017) Table A3.6-7'!$C141)/COUNT('EPA (2017) Table A3.6-7'!$D$6:$AB$6)*(AH$160-$B$160)+'EPA (2017) Table A3.6-7'!$AB141)/'EPA (2017) Table A3.6-7'!$AB141)*$B170</f>
        <v>34.976272583363887</v>
      </c>
      <c r="AI170" s="326">
        <f>MAX(0,(('EPA (2017) Table A3.6-7'!$AB141-'EPA (2017) Table A3.6-7'!$C141)/COUNT('EPA (2017) Table A3.6-7'!$D$6:$AB$6)*(AI$160-$B$160)+'EPA (2017) Table A3.6-7'!$AB141)/'EPA (2017) Table A3.6-7'!$AB141)*$B170</f>
        <v>35.432300823436357</v>
      </c>
      <c r="AJ170" s="326">
        <f>MAX(0,(('EPA (2017) Table A3.6-7'!$AB141-'EPA (2017) Table A3.6-7'!$C141)/COUNT('EPA (2017) Table A3.6-7'!$D$6:$AB$6)*(AJ$160-$B$160)+'EPA (2017) Table A3.6-7'!$AB141)/'EPA (2017) Table A3.6-7'!$AB141)*$B170</f>
        <v>35.88832906350882</v>
      </c>
      <c r="AK170" s="326">
        <f>MAX(0,(('EPA (2017) Table A3.6-7'!$AB141-'EPA (2017) Table A3.6-7'!$C141)/COUNT('EPA (2017) Table A3.6-7'!$D$6:$AB$6)*(AK$160-$B$160)+'EPA (2017) Table A3.6-7'!$AB141)/'EPA (2017) Table A3.6-7'!$AB141)*$B170</f>
        <v>36.34435730358129</v>
      </c>
    </row>
    <row r="171" spans="1:37" x14ac:dyDescent="0.25">
      <c r="A171" s="214" t="s">
        <v>1510</v>
      </c>
      <c r="B171" s="198">
        <v>47.769130049054105</v>
      </c>
      <c r="C171" s="326">
        <f>MAX(0,(('EPA (2017) Table A3.6-7'!$AB143-'EPA (2017) Table A3.6-7'!$C143)/COUNT('EPA (2017) Table A3.6-7'!$D$6:$AB$6)*(C$160-$B$160)+'EPA (2017) Table A3.6-7'!$AB143)/'EPA (2017) Table A3.6-7'!$AB143)*$B171</f>
        <v>45.256524195965838</v>
      </c>
      <c r="D171" s="326">
        <f>MAX(0,(('EPA (2017) Table A3.6-7'!$AB143-'EPA (2017) Table A3.6-7'!$C143)/COUNT('EPA (2017) Table A3.6-7'!$D$6:$AB$6)*(D$160-$B$160)+'EPA (2017) Table A3.6-7'!$AB143)/'EPA (2017) Table A3.6-7'!$AB143)*$B171</f>
        <v>42.743918342877571</v>
      </c>
      <c r="E171" s="326">
        <f>MAX(0,(('EPA (2017) Table A3.6-7'!$AB143-'EPA (2017) Table A3.6-7'!$C143)/COUNT('EPA (2017) Table A3.6-7'!$D$6:$AB$6)*(E$160-$B$160)+'EPA (2017) Table A3.6-7'!$AB143)/'EPA (2017) Table A3.6-7'!$AB143)*$B171</f>
        <v>40.231312489789303</v>
      </c>
      <c r="F171" s="326">
        <f>MAX(0,(('EPA (2017) Table A3.6-7'!$AB143-'EPA (2017) Table A3.6-7'!$C143)/COUNT('EPA (2017) Table A3.6-7'!$D$6:$AB$6)*(F$160-$B$160)+'EPA (2017) Table A3.6-7'!$AB143)/'EPA (2017) Table A3.6-7'!$AB143)*$B171</f>
        <v>37.718706636701036</v>
      </c>
      <c r="G171" s="326">
        <f>MAX(0,(('EPA (2017) Table A3.6-7'!$AB143-'EPA (2017) Table A3.6-7'!$C143)/COUNT('EPA (2017) Table A3.6-7'!$D$6:$AB$6)*(G$160-$B$160)+'EPA (2017) Table A3.6-7'!$AB143)/'EPA (2017) Table A3.6-7'!$AB143)*$B171</f>
        <v>35.206100783612769</v>
      </c>
      <c r="H171" s="326">
        <f>MAX(0,(('EPA (2017) Table A3.6-7'!$AB143-'EPA (2017) Table A3.6-7'!$C143)/COUNT('EPA (2017) Table A3.6-7'!$D$6:$AB$6)*(H$160-$B$160)+'EPA (2017) Table A3.6-7'!$AB143)/'EPA (2017) Table A3.6-7'!$AB143)*$B171</f>
        <v>32.693494930524501</v>
      </c>
      <c r="I171" s="326">
        <f>MAX(0,(('EPA (2017) Table A3.6-7'!$AB143-'EPA (2017) Table A3.6-7'!$C143)/COUNT('EPA (2017) Table A3.6-7'!$D$6:$AB$6)*(I$160-$B$160)+'EPA (2017) Table A3.6-7'!$AB143)/'EPA (2017) Table A3.6-7'!$AB143)*$B171</f>
        <v>30.18088907743623</v>
      </c>
      <c r="J171" s="326">
        <f>MAX(0,(('EPA (2017) Table A3.6-7'!$AB143-'EPA (2017) Table A3.6-7'!$C143)/COUNT('EPA (2017) Table A3.6-7'!$D$6:$AB$6)*(J$160-$B$160)+'EPA (2017) Table A3.6-7'!$AB143)/'EPA (2017) Table A3.6-7'!$AB143)*$B171</f>
        <v>27.668283224347967</v>
      </c>
      <c r="K171" s="326">
        <f>MAX(0,(('EPA (2017) Table A3.6-7'!$AB143-'EPA (2017) Table A3.6-7'!$C143)/COUNT('EPA (2017) Table A3.6-7'!$D$6:$AB$6)*(K$160-$B$160)+'EPA (2017) Table A3.6-7'!$AB143)/'EPA (2017) Table A3.6-7'!$AB143)*$B171</f>
        <v>25.155677371259696</v>
      </c>
      <c r="L171" s="326">
        <f>MAX(0,(('EPA (2017) Table A3.6-7'!$AB143-'EPA (2017) Table A3.6-7'!$C143)/COUNT('EPA (2017) Table A3.6-7'!$D$6:$AB$6)*(L$160-$B$160)+'EPA (2017) Table A3.6-7'!$AB143)/'EPA (2017) Table A3.6-7'!$AB143)*$B171</f>
        <v>22.643071518171428</v>
      </c>
      <c r="M171" s="326">
        <f>MAX(0,(('EPA (2017) Table A3.6-7'!$AB143-'EPA (2017) Table A3.6-7'!$C143)/COUNT('EPA (2017) Table A3.6-7'!$D$6:$AB$6)*(M$160-$B$160)+'EPA (2017) Table A3.6-7'!$AB143)/'EPA (2017) Table A3.6-7'!$AB143)*$B171</f>
        <v>20.130465665083161</v>
      </c>
      <c r="N171" s="326">
        <f>MAX(0,(('EPA (2017) Table A3.6-7'!$AB143-'EPA (2017) Table A3.6-7'!$C143)/COUNT('EPA (2017) Table A3.6-7'!$D$6:$AB$6)*(N$160-$B$160)+'EPA (2017) Table A3.6-7'!$AB143)/'EPA (2017) Table A3.6-7'!$AB143)*$B171</f>
        <v>17.617859811994894</v>
      </c>
      <c r="O171" s="326">
        <f>MAX(0,(('EPA (2017) Table A3.6-7'!$AB143-'EPA (2017) Table A3.6-7'!$C143)/COUNT('EPA (2017) Table A3.6-7'!$D$6:$AB$6)*(O$160-$B$160)+'EPA (2017) Table A3.6-7'!$AB143)/'EPA (2017) Table A3.6-7'!$AB143)*$B171</f>
        <v>15.10525395890663</v>
      </c>
      <c r="P171" s="326">
        <f>MAX(0,(('EPA (2017) Table A3.6-7'!$AB143-'EPA (2017) Table A3.6-7'!$C143)/COUNT('EPA (2017) Table A3.6-7'!$D$6:$AB$6)*(P$160-$B$160)+'EPA (2017) Table A3.6-7'!$AB143)/'EPA (2017) Table A3.6-7'!$AB143)*$B171</f>
        <v>12.592648105818357</v>
      </c>
      <c r="Q171" s="326">
        <f>MAX(0,(('EPA (2017) Table A3.6-7'!$AB143-'EPA (2017) Table A3.6-7'!$C143)/COUNT('EPA (2017) Table A3.6-7'!$D$6:$AB$6)*(Q$160-$B$160)+'EPA (2017) Table A3.6-7'!$AB143)/'EPA (2017) Table A3.6-7'!$AB143)*$B171</f>
        <v>10.080042252730086</v>
      </c>
      <c r="R171" s="326">
        <f>MAX(0,(('EPA (2017) Table A3.6-7'!$AB143-'EPA (2017) Table A3.6-7'!$C143)/COUNT('EPA (2017) Table A3.6-7'!$D$6:$AB$6)*(R$160-$B$160)+'EPA (2017) Table A3.6-7'!$AB143)/'EPA (2017) Table A3.6-7'!$AB143)*$B171</f>
        <v>7.5674363996418226</v>
      </c>
      <c r="S171" s="326">
        <f>MAX(0,(('EPA (2017) Table A3.6-7'!$AB143-'EPA (2017) Table A3.6-7'!$C143)/COUNT('EPA (2017) Table A3.6-7'!$D$6:$AB$6)*(S$160-$B$160)+'EPA (2017) Table A3.6-7'!$AB143)/'EPA (2017) Table A3.6-7'!$AB143)*$B171</f>
        <v>5.0548305465535579</v>
      </c>
      <c r="T171" s="326">
        <f>MAX(0,(('EPA (2017) Table A3.6-7'!$AB143-'EPA (2017) Table A3.6-7'!$C143)/COUNT('EPA (2017) Table A3.6-7'!$D$6:$AB$6)*(T$160-$B$160)+'EPA (2017) Table A3.6-7'!$AB143)/'EPA (2017) Table A3.6-7'!$AB143)*$B171</f>
        <v>2.542224693465287</v>
      </c>
      <c r="U171" s="326">
        <f>MAX(0,(('EPA (2017) Table A3.6-7'!$AB143-'EPA (2017) Table A3.6-7'!$C143)/COUNT('EPA (2017) Table A3.6-7'!$D$6:$AB$6)*(U$160-$B$160)+'EPA (2017) Table A3.6-7'!$AB143)/'EPA (2017) Table A3.6-7'!$AB143)*$B171</f>
        <v>2.9618840377016134E-2</v>
      </c>
      <c r="V171" s="326">
        <f>MAX(0,(('EPA (2017) Table A3.6-7'!$AB143-'EPA (2017) Table A3.6-7'!$C143)/COUNT('EPA (2017) Table A3.6-7'!$D$6:$AB$6)*(V$160-$B$160)+'EPA (2017) Table A3.6-7'!$AB143)/'EPA (2017) Table A3.6-7'!$AB143)*$B171</f>
        <v>0</v>
      </c>
      <c r="W171" s="326">
        <f>MAX(0,(('EPA (2017) Table A3.6-7'!$AB143-'EPA (2017) Table A3.6-7'!$C143)/COUNT('EPA (2017) Table A3.6-7'!$D$6:$AB$6)*(W$160-$B$160)+'EPA (2017) Table A3.6-7'!$AB143)/'EPA (2017) Table A3.6-7'!$AB143)*$B171</f>
        <v>0</v>
      </c>
      <c r="X171" s="326">
        <f>MAX(0,(('EPA (2017) Table A3.6-7'!$AB143-'EPA (2017) Table A3.6-7'!$C143)/COUNT('EPA (2017) Table A3.6-7'!$D$6:$AB$6)*(X$160-$B$160)+'EPA (2017) Table A3.6-7'!$AB143)/'EPA (2017) Table A3.6-7'!$AB143)*$B171</f>
        <v>0</v>
      </c>
      <c r="Y171" s="326">
        <f>MAX(0,(('EPA (2017) Table A3.6-7'!$AB143-'EPA (2017) Table A3.6-7'!$C143)/COUNT('EPA (2017) Table A3.6-7'!$D$6:$AB$6)*(Y$160-$B$160)+'EPA (2017) Table A3.6-7'!$AB143)/'EPA (2017) Table A3.6-7'!$AB143)*$B171</f>
        <v>0</v>
      </c>
      <c r="Z171" s="326">
        <f>MAX(0,(('EPA (2017) Table A3.6-7'!$AB143-'EPA (2017) Table A3.6-7'!$C143)/COUNT('EPA (2017) Table A3.6-7'!$D$6:$AB$6)*(Z$160-$B$160)+'EPA (2017) Table A3.6-7'!$AB143)/'EPA (2017) Table A3.6-7'!$AB143)*$B171</f>
        <v>0</v>
      </c>
      <c r="AA171" s="326">
        <f>MAX(0,(('EPA (2017) Table A3.6-7'!$AB143-'EPA (2017) Table A3.6-7'!$C143)/COUNT('EPA (2017) Table A3.6-7'!$D$6:$AB$6)*(AA$160-$B$160)+'EPA (2017) Table A3.6-7'!$AB143)/'EPA (2017) Table A3.6-7'!$AB143)*$B171</f>
        <v>0</v>
      </c>
      <c r="AB171" s="326">
        <f>MAX(0,(('EPA (2017) Table A3.6-7'!$AB143-'EPA (2017) Table A3.6-7'!$C143)/COUNT('EPA (2017) Table A3.6-7'!$D$6:$AB$6)*(AB$160-$B$160)+'EPA (2017) Table A3.6-7'!$AB143)/'EPA (2017) Table A3.6-7'!$AB143)*$B171</f>
        <v>0</v>
      </c>
      <c r="AC171" s="326">
        <f>MAX(0,(('EPA (2017) Table A3.6-7'!$AB143-'EPA (2017) Table A3.6-7'!$C143)/COUNT('EPA (2017) Table A3.6-7'!$D$6:$AB$6)*(AC$160-$B$160)+'EPA (2017) Table A3.6-7'!$AB143)/'EPA (2017) Table A3.6-7'!$AB143)*$B171</f>
        <v>0</v>
      </c>
      <c r="AD171" s="326">
        <f>MAX(0,(('EPA (2017) Table A3.6-7'!$AB143-'EPA (2017) Table A3.6-7'!$C143)/COUNT('EPA (2017) Table A3.6-7'!$D$6:$AB$6)*(AD$160-$B$160)+'EPA (2017) Table A3.6-7'!$AB143)/'EPA (2017) Table A3.6-7'!$AB143)*$B171</f>
        <v>0</v>
      </c>
      <c r="AE171" s="326">
        <f>MAX(0,(('EPA (2017) Table A3.6-7'!$AB143-'EPA (2017) Table A3.6-7'!$C143)/COUNT('EPA (2017) Table A3.6-7'!$D$6:$AB$6)*(AE$160-$B$160)+'EPA (2017) Table A3.6-7'!$AB143)/'EPA (2017) Table A3.6-7'!$AB143)*$B171</f>
        <v>0</v>
      </c>
      <c r="AF171" s="326">
        <f>MAX(0,(('EPA (2017) Table A3.6-7'!$AB143-'EPA (2017) Table A3.6-7'!$C143)/COUNT('EPA (2017) Table A3.6-7'!$D$6:$AB$6)*(AF$160-$B$160)+'EPA (2017) Table A3.6-7'!$AB143)/'EPA (2017) Table A3.6-7'!$AB143)*$B171</f>
        <v>0</v>
      </c>
      <c r="AG171" s="326">
        <f>MAX(0,(('EPA (2017) Table A3.6-7'!$AB143-'EPA (2017) Table A3.6-7'!$C143)/COUNT('EPA (2017) Table A3.6-7'!$D$6:$AB$6)*(AG$160-$B$160)+'EPA (2017) Table A3.6-7'!$AB143)/'EPA (2017) Table A3.6-7'!$AB143)*$B171</f>
        <v>0</v>
      </c>
      <c r="AH171" s="326">
        <f>MAX(0,(('EPA (2017) Table A3.6-7'!$AB143-'EPA (2017) Table A3.6-7'!$C143)/COUNT('EPA (2017) Table A3.6-7'!$D$6:$AB$6)*(AH$160-$B$160)+'EPA (2017) Table A3.6-7'!$AB143)/'EPA (2017) Table A3.6-7'!$AB143)*$B171</f>
        <v>0</v>
      </c>
      <c r="AI171" s="326">
        <f>MAX(0,(('EPA (2017) Table A3.6-7'!$AB143-'EPA (2017) Table A3.6-7'!$C143)/COUNT('EPA (2017) Table A3.6-7'!$D$6:$AB$6)*(AI$160-$B$160)+'EPA (2017) Table A3.6-7'!$AB143)/'EPA (2017) Table A3.6-7'!$AB143)*$B171</f>
        <v>0</v>
      </c>
      <c r="AJ171" s="326">
        <f>MAX(0,(('EPA (2017) Table A3.6-7'!$AB143-'EPA (2017) Table A3.6-7'!$C143)/COUNT('EPA (2017) Table A3.6-7'!$D$6:$AB$6)*(AJ$160-$B$160)+'EPA (2017) Table A3.6-7'!$AB143)/'EPA (2017) Table A3.6-7'!$AB143)*$B171</f>
        <v>0</v>
      </c>
      <c r="AK171" s="326">
        <f>MAX(0,(('EPA (2017) Table A3.6-7'!$AB143-'EPA (2017) Table A3.6-7'!$C143)/COUNT('EPA (2017) Table A3.6-7'!$D$6:$AB$6)*(AK$160-$B$160)+'EPA (2017) Table A3.6-7'!$AB143)/'EPA (2017) Table A3.6-7'!$AB143)*$B171</f>
        <v>0</v>
      </c>
    </row>
    <row r="172" spans="1:37" x14ac:dyDescent="0.25">
      <c r="A172" s="214" t="s">
        <v>1511</v>
      </c>
      <c r="B172" s="198">
        <v>18.56120141609545</v>
      </c>
      <c r="C172" s="326">
        <f>MAX(0,(('EPA (2017) Table A3.6-7'!$AB144-'EPA (2017) Table A3.6-7'!$C144)/COUNT('EPA (2017) Table A3.6-7'!$D$6:$AB$6)*(C$160-$B$160)+'EPA (2017) Table A3.6-7'!$AB144)/'EPA (2017) Table A3.6-7'!$AB144)*$B172</f>
        <v>18.278760853669191</v>
      </c>
      <c r="D172" s="326">
        <f>MAX(0,(('EPA (2017) Table A3.6-7'!$AB144-'EPA (2017) Table A3.6-7'!$C144)/COUNT('EPA (2017) Table A3.6-7'!$D$6:$AB$6)*(D$160-$B$160)+'EPA (2017) Table A3.6-7'!$AB144)/'EPA (2017) Table A3.6-7'!$AB144)*$B172</f>
        <v>17.996320291242931</v>
      </c>
      <c r="E172" s="326">
        <f>MAX(0,(('EPA (2017) Table A3.6-7'!$AB144-'EPA (2017) Table A3.6-7'!$C144)/COUNT('EPA (2017) Table A3.6-7'!$D$6:$AB$6)*(E$160-$B$160)+'EPA (2017) Table A3.6-7'!$AB144)/'EPA (2017) Table A3.6-7'!$AB144)*$B172</f>
        <v>17.713879728816671</v>
      </c>
      <c r="F172" s="326">
        <f>MAX(0,(('EPA (2017) Table A3.6-7'!$AB144-'EPA (2017) Table A3.6-7'!$C144)/COUNT('EPA (2017) Table A3.6-7'!$D$6:$AB$6)*(F$160-$B$160)+'EPA (2017) Table A3.6-7'!$AB144)/'EPA (2017) Table A3.6-7'!$AB144)*$B172</f>
        <v>17.431439166390408</v>
      </c>
      <c r="G172" s="326">
        <f>MAX(0,(('EPA (2017) Table A3.6-7'!$AB144-'EPA (2017) Table A3.6-7'!$C144)/COUNT('EPA (2017) Table A3.6-7'!$D$6:$AB$6)*(G$160-$B$160)+'EPA (2017) Table A3.6-7'!$AB144)/'EPA (2017) Table A3.6-7'!$AB144)*$B172</f>
        <v>17.148998603964149</v>
      </c>
      <c r="H172" s="326">
        <f>MAX(0,(('EPA (2017) Table A3.6-7'!$AB144-'EPA (2017) Table A3.6-7'!$C144)/COUNT('EPA (2017) Table A3.6-7'!$D$6:$AB$6)*(H$160-$B$160)+'EPA (2017) Table A3.6-7'!$AB144)/'EPA (2017) Table A3.6-7'!$AB144)*$B172</f>
        <v>16.866558041537889</v>
      </c>
      <c r="I172" s="326">
        <f>MAX(0,(('EPA (2017) Table A3.6-7'!$AB144-'EPA (2017) Table A3.6-7'!$C144)/COUNT('EPA (2017) Table A3.6-7'!$D$6:$AB$6)*(I$160-$B$160)+'EPA (2017) Table A3.6-7'!$AB144)/'EPA (2017) Table A3.6-7'!$AB144)*$B172</f>
        <v>16.584117479111626</v>
      </c>
      <c r="J172" s="326">
        <f>MAX(0,(('EPA (2017) Table A3.6-7'!$AB144-'EPA (2017) Table A3.6-7'!$C144)/COUNT('EPA (2017) Table A3.6-7'!$D$6:$AB$6)*(J$160-$B$160)+'EPA (2017) Table A3.6-7'!$AB144)/'EPA (2017) Table A3.6-7'!$AB144)*$B172</f>
        <v>16.30167691668537</v>
      </c>
      <c r="K172" s="326">
        <f>MAX(0,(('EPA (2017) Table A3.6-7'!$AB144-'EPA (2017) Table A3.6-7'!$C144)/COUNT('EPA (2017) Table A3.6-7'!$D$6:$AB$6)*(K$160-$B$160)+'EPA (2017) Table A3.6-7'!$AB144)/'EPA (2017) Table A3.6-7'!$AB144)*$B172</f>
        <v>16.019236354259107</v>
      </c>
      <c r="L172" s="326">
        <f>MAX(0,(('EPA (2017) Table A3.6-7'!$AB144-'EPA (2017) Table A3.6-7'!$C144)/COUNT('EPA (2017) Table A3.6-7'!$D$6:$AB$6)*(L$160-$B$160)+'EPA (2017) Table A3.6-7'!$AB144)/'EPA (2017) Table A3.6-7'!$AB144)*$B172</f>
        <v>15.736795791832845</v>
      </c>
      <c r="M172" s="326">
        <f>MAX(0,(('EPA (2017) Table A3.6-7'!$AB144-'EPA (2017) Table A3.6-7'!$C144)/COUNT('EPA (2017) Table A3.6-7'!$D$6:$AB$6)*(M$160-$B$160)+'EPA (2017) Table A3.6-7'!$AB144)/'EPA (2017) Table A3.6-7'!$AB144)*$B172</f>
        <v>15.454355229406586</v>
      </c>
      <c r="N172" s="326">
        <f>MAX(0,(('EPA (2017) Table A3.6-7'!$AB144-'EPA (2017) Table A3.6-7'!$C144)/COUNT('EPA (2017) Table A3.6-7'!$D$6:$AB$6)*(N$160-$B$160)+'EPA (2017) Table A3.6-7'!$AB144)/'EPA (2017) Table A3.6-7'!$AB144)*$B172</f>
        <v>15.171914666980324</v>
      </c>
      <c r="O172" s="326">
        <f>MAX(0,(('EPA (2017) Table A3.6-7'!$AB144-'EPA (2017) Table A3.6-7'!$C144)/COUNT('EPA (2017) Table A3.6-7'!$D$6:$AB$6)*(O$160-$B$160)+'EPA (2017) Table A3.6-7'!$AB144)/'EPA (2017) Table A3.6-7'!$AB144)*$B172</f>
        <v>14.889474104554065</v>
      </c>
      <c r="P172" s="326">
        <f>MAX(0,(('EPA (2017) Table A3.6-7'!$AB144-'EPA (2017) Table A3.6-7'!$C144)/COUNT('EPA (2017) Table A3.6-7'!$D$6:$AB$6)*(P$160-$B$160)+'EPA (2017) Table A3.6-7'!$AB144)/'EPA (2017) Table A3.6-7'!$AB144)*$B172</f>
        <v>14.607033542127805</v>
      </c>
      <c r="Q172" s="326">
        <f>MAX(0,(('EPA (2017) Table A3.6-7'!$AB144-'EPA (2017) Table A3.6-7'!$C144)/COUNT('EPA (2017) Table A3.6-7'!$D$6:$AB$6)*(Q$160-$B$160)+'EPA (2017) Table A3.6-7'!$AB144)/'EPA (2017) Table A3.6-7'!$AB144)*$B172</f>
        <v>14.324592979701546</v>
      </c>
      <c r="R172" s="326">
        <f>MAX(0,(('EPA (2017) Table A3.6-7'!$AB144-'EPA (2017) Table A3.6-7'!$C144)/COUNT('EPA (2017) Table A3.6-7'!$D$6:$AB$6)*(R$160-$B$160)+'EPA (2017) Table A3.6-7'!$AB144)/'EPA (2017) Table A3.6-7'!$AB144)*$B172</f>
        <v>14.042152417275286</v>
      </c>
      <c r="S172" s="326">
        <f>MAX(0,(('EPA (2017) Table A3.6-7'!$AB144-'EPA (2017) Table A3.6-7'!$C144)/COUNT('EPA (2017) Table A3.6-7'!$D$6:$AB$6)*(S$160-$B$160)+'EPA (2017) Table A3.6-7'!$AB144)/'EPA (2017) Table A3.6-7'!$AB144)*$B172</f>
        <v>13.759711854849023</v>
      </c>
      <c r="T172" s="326">
        <f>MAX(0,(('EPA (2017) Table A3.6-7'!$AB144-'EPA (2017) Table A3.6-7'!$C144)/COUNT('EPA (2017) Table A3.6-7'!$D$6:$AB$6)*(T$160-$B$160)+'EPA (2017) Table A3.6-7'!$AB144)/'EPA (2017) Table A3.6-7'!$AB144)*$B172</f>
        <v>13.477271292422763</v>
      </c>
      <c r="U172" s="326">
        <f>MAX(0,(('EPA (2017) Table A3.6-7'!$AB144-'EPA (2017) Table A3.6-7'!$C144)/COUNT('EPA (2017) Table A3.6-7'!$D$6:$AB$6)*(U$160-$B$160)+'EPA (2017) Table A3.6-7'!$AB144)/'EPA (2017) Table A3.6-7'!$AB144)*$B172</f>
        <v>13.194830729996504</v>
      </c>
      <c r="V172" s="326">
        <f>MAX(0,(('EPA (2017) Table A3.6-7'!$AB144-'EPA (2017) Table A3.6-7'!$C144)/COUNT('EPA (2017) Table A3.6-7'!$D$6:$AB$6)*(V$160-$B$160)+'EPA (2017) Table A3.6-7'!$AB144)/'EPA (2017) Table A3.6-7'!$AB144)*$B172</f>
        <v>12.912390167570242</v>
      </c>
      <c r="W172" s="326">
        <f>MAX(0,(('EPA (2017) Table A3.6-7'!$AB144-'EPA (2017) Table A3.6-7'!$C144)/COUNT('EPA (2017) Table A3.6-7'!$D$6:$AB$6)*(W$160-$B$160)+'EPA (2017) Table A3.6-7'!$AB144)/'EPA (2017) Table A3.6-7'!$AB144)*$B172</f>
        <v>12.629949605143981</v>
      </c>
      <c r="X172" s="326">
        <f>MAX(0,(('EPA (2017) Table A3.6-7'!$AB144-'EPA (2017) Table A3.6-7'!$C144)/COUNT('EPA (2017) Table A3.6-7'!$D$6:$AB$6)*(X$160-$B$160)+'EPA (2017) Table A3.6-7'!$AB144)/'EPA (2017) Table A3.6-7'!$AB144)*$B172</f>
        <v>12.34750904271772</v>
      </c>
      <c r="Y172" s="326">
        <f>MAX(0,(('EPA (2017) Table A3.6-7'!$AB144-'EPA (2017) Table A3.6-7'!$C144)/COUNT('EPA (2017) Table A3.6-7'!$D$6:$AB$6)*(Y$160-$B$160)+'EPA (2017) Table A3.6-7'!$AB144)/'EPA (2017) Table A3.6-7'!$AB144)*$B172</f>
        <v>12.065068480291462</v>
      </c>
      <c r="Z172" s="326">
        <f>MAX(0,(('EPA (2017) Table A3.6-7'!$AB144-'EPA (2017) Table A3.6-7'!$C144)/COUNT('EPA (2017) Table A3.6-7'!$D$6:$AB$6)*(Z$160-$B$160)+'EPA (2017) Table A3.6-7'!$AB144)/'EPA (2017) Table A3.6-7'!$AB144)*$B172</f>
        <v>11.7826279178652</v>
      </c>
      <c r="AA172" s="326">
        <f>MAX(0,(('EPA (2017) Table A3.6-7'!$AB144-'EPA (2017) Table A3.6-7'!$C144)/COUNT('EPA (2017) Table A3.6-7'!$D$6:$AB$6)*(AA$160-$B$160)+'EPA (2017) Table A3.6-7'!$AB144)/'EPA (2017) Table A3.6-7'!$AB144)*$B172</f>
        <v>11.500187355438941</v>
      </c>
      <c r="AB172" s="326">
        <f>MAX(0,(('EPA (2017) Table A3.6-7'!$AB144-'EPA (2017) Table A3.6-7'!$C144)/COUNT('EPA (2017) Table A3.6-7'!$D$6:$AB$6)*(AB$160-$B$160)+'EPA (2017) Table A3.6-7'!$AB144)/'EPA (2017) Table A3.6-7'!$AB144)*$B172</f>
        <v>11.217746793012681</v>
      </c>
      <c r="AC172" s="326">
        <f>MAX(0,(('EPA (2017) Table A3.6-7'!$AB144-'EPA (2017) Table A3.6-7'!$C144)/COUNT('EPA (2017) Table A3.6-7'!$D$6:$AB$6)*(AC$160-$B$160)+'EPA (2017) Table A3.6-7'!$AB144)/'EPA (2017) Table A3.6-7'!$AB144)*$B172</f>
        <v>10.93530623058642</v>
      </c>
      <c r="AD172" s="326">
        <f>MAX(0,(('EPA (2017) Table A3.6-7'!$AB144-'EPA (2017) Table A3.6-7'!$C144)/COUNT('EPA (2017) Table A3.6-7'!$D$6:$AB$6)*(AD$160-$B$160)+'EPA (2017) Table A3.6-7'!$AB144)/'EPA (2017) Table A3.6-7'!$AB144)*$B172</f>
        <v>10.652865668160159</v>
      </c>
      <c r="AE172" s="326">
        <f>MAX(0,(('EPA (2017) Table A3.6-7'!$AB144-'EPA (2017) Table A3.6-7'!$C144)/COUNT('EPA (2017) Table A3.6-7'!$D$6:$AB$6)*(AE$160-$B$160)+'EPA (2017) Table A3.6-7'!$AB144)/'EPA (2017) Table A3.6-7'!$AB144)*$B172</f>
        <v>10.370425105733899</v>
      </c>
      <c r="AF172" s="326">
        <f>MAX(0,(('EPA (2017) Table A3.6-7'!$AB144-'EPA (2017) Table A3.6-7'!$C144)/COUNT('EPA (2017) Table A3.6-7'!$D$6:$AB$6)*(AF$160-$B$160)+'EPA (2017) Table A3.6-7'!$AB144)/'EPA (2017) Table A3.6-7'!$AB144)*$B172</f>
        <v>10.087984543307639</v>
      </c>
      <c r="AG172" s="326">
        <f>MAX(0,(('EPA (2017) Table A3.6-7'!$AB144-'EPA (2017) Table A3.6-7'!$C144)/COUNT('EPA (2017) Table A3.6-7'!$D$6:$AB$6)*(AG$160-$B$160)+'EPA (2017) Table A3.6-7'!$AB144)/'EPA (2017) Table A3.6-7'!$AB144)*$B172</f>
        <v>9.8055439808813798</v>
      </c>
      <c r="AH172" s="326">
        <f>MAX(0,(('EPA (2017) Table A3.6-7'!$AB144-'EPA (2017) Table A3.6-7'!$C144)/COUNT('EPA (2017) Table A3.6-7'!$D$6:$AB$6)*(AH$160-$B$160)+'EPA (2017) Table A3.6-7'!$AB144)/'EPA (2017) Table A3.6-7'!$AB144)*$B172</f>
        <v>9.5231034184551184</v>
      </c>
      <c r="AI172" s="326">
        <f>MAX(0,(('EPA (2017) Table A3.6-7'!$AB144-'EPA (2017) Table A3.6-7'!$C144)/COUNT('EPA (2017) Table A3.6-7'!$D$6:$AB$6)*(AI$160-$B$160)+'EPA (2017) Table A3.6-7'!$AB144)/'EPA (2017) Table A3.6-7'!$AB144)*$B172</f>
        <v>9.2406628560288588</v>
      </c>
      <c r="AJ172" s="326">
        <f>MAX(0,(('EPA (2017) Table A3.6-7'!$AB144-'EPA (2017) Table A3.6-7'!$C144)/COUNT('EPA (2017) Table A3.6-7'!$D$6:$AB$6)*(AJ$160-$B$160)+'EPA (2017) Table A3.6-7'!$AB144)/'EPA (2017) Table A3.6-7'!$AB144)*$B172</f>
        <v>8.9582222936025975</v>
      </c>
      <c r="AK172" s="326">
        <f>MAX(0,(('EPA (2017) Table A3.6-7'!$AB144-'EPA (2017) Table A3.6-7'!$C144)/COUNT('EPA (2017) Table A3.6-7'!$D$6:$AB$6)*(AK$160-$B$160)+'EPA (2017) Table A3.6-7'!$AB144)/'EPA (2017) Table A3.6-7'!$AB144)*$B172</f>
        <v>8.6757817311763379</v>
      </c>
    </row>
    <row r="173" spans="1:37" x14ac:dyDescent="0.25">
      <c r="A173" s="214" t="s">
        <v>1512</v>
      </c>
      <c r="B173" s="198">
        <v>12.496932088731516</v>
      </c>
      <c r="C173" s="326">
        <f>MAX(0,(('EPA (2017) Table A3.6-7'!$AB145-'EPA (2017) Table A3.6-7'!$C145)/COUNT('EPA (2017) Table A3.6-7'!$D$6:$AB$6)*(C$160-$B$160)+'EPA (2017) Table A3.6-7'!$AB145)/'EPA (2017) Table A3.6-7'!$AB145)*$B173</f>
        <v>12.798197723197855</v>
      </c>
      <c r="D173" s="326">
        <f>MAX(0,(('EPA (2017) Table A3.6-7'!$AB145-'EPA (2017) Table A3.6-7'!$C145)/COUNT('EPA (2017) Table A3.6-7'!$D$6:$AB$6)*(D$160-$B$160)+'EPA (2017) Table A3.6-7'!$AB145)/'EPA (2017) Table A3.6-7'!$AB145)*$B173</f>
        <v>13.099463357664192</v>
      </c>
      <c r="E173" s="326">
        <f>MAX(0,(('EPA (2017) Table A3.6-7'!$AB145-'EPA (2017) Table A3.6-7'!$C145)/COUNT('EPA (2017) Table A3.6-7'!$D$6:$AB$6)*(E$160-$B$160)+'EPA (2017) Table A3.6-7'!$AB145)/'EPA (2017) Table A3.6-7'!$AB145)*$B173</f>
        <v>13.400728992130531</v>
      </c>
      <c r="F173" s="326">
        <f>MAX(0,(('EPA (2017) Table A3.6-7'!$AB145-'EPA (2017) Table A3.6-7'!$C145)/COUNT('EPA (2017) Table A3.6-7'!$D$6:$AB$6)*(F$160-$B$160)+'EPA (2017) Table A3.6-7'!$AB145)/'EPA (2017) Table A3.6-7'!$AB145)*$B173</f>
        <v>13.701994626596868</v>
      </c>
      <c r="G173" s="326">
        <f>MAX(0,(('EPA (2017) Table A3.6-7'!$AB145-'EPA (2017) Table A3.6-7'!$C145)/COUNT('EPA (2017) Table A3.6-7'!$D$6:$AB$6)*(G$160-$B$160)+'EPA (2017) Table A3.6-7'!$AB145)/'EPA (2017) Table A3.6-7'!$AB145)*$B173</f>
        <v>14.003260261063208</v>
      </c>
      <c r="H173" s="326">
        <f>MAX(0,(('EPA (2017) Table A3.6-7'!$AB145-'EPA (2017) Table A3.6-7'!$C145)/COUNT('EPA (2017) Table A3.6-7'!$D$6:$AB$6)*(H$160-$B$160)+'EPA (2017) Table A3.6-7'!$AB145)/'EPA (2017) Table A3.6-7'!$AB145)*$B173</f>
        <v>14.304525895529546</v>
      </c>
      <c r="I173" s="326">
        <f>MAX(0,(('EPA (2017) Table A3.6-7'!$AB145-'EPA (2017) Table A3.6-7'!$C145)/COUNT('EPA (2017) Table A3.6-7'!$D$6:$AB$6)*(I$160-$B$160)+'EPA (2017) Table A3.6-7'!$AB145)/'EPA (2017) Table A3.6-7'!$AB145)*$B173</f>
        <v>14.605791529995885</v>
      </c>
      <c r="J173" s="326">
        <f>MAX(0,(('EPA (2017) Table A3.6-7'!$AB145-'EPA (2017) Table A3.6-7'!$C145)/COUNT('EPA (2017) Table A3.6-7'!$D$6:$AB$6)*(J$160-$B$160)+'EPA (2017) Table A3.6-7'!$AB145)/'EPA (2017) Table A3.6-7'!$AB145)*$B173</f>
        <v>14.907057164462222</v>
      </c>
      <c r="K173" s="326">
        <f>MAX(0,(('EPA (2017) Table A3.6-7'!$AB145-'EPA (2017) Table A3.6-7'!$C145)/COUNT('EPA (2017) Table A3.6-7'!$D$6:$AB$6)*(K$160-$B$160)+'EPA (2017) Table A3.6-7'!$AB145)/'EPA (2017) Table A3.6-7'!$AB145)*$B173</f>
        <v>15.208322798928561</v>
      </c>
      <c r="L173" s="326">
        <f>MAX(0,(('EPA (2017) Table A3.6-7'!$AB145-'EPA (2017) Table A3.6-7'!$C145)/COUNT('EPA (2017) Table A3.6-7'!$D$6:$AB$6)*(L$160-$B$160)+'EPA (2017) Table A3.6-7'!$AB145)/'EPA (2017) Table A3.6-7'!$AB145)*$B173</f>
        <v>15.509588433394898</v>
      </c>
      <c r="M173" s="326">
        <f>MAX(0,(('EPA (2017) Table A3.6-7'!$AB145-'EPA (2017) Table A3.6-7'!$C145)/COUNT('EPA (2017) Table A3.6-7'!$D$6:$AB$6)*(M$160-$B$160)+'EPA (2017) Table A3.6-7'!$AB145)/'EPA (2017) Table A3.6-7'!$AB145)*$B173</f>
        <v>15.810854067861237</v>
      </c>
      <c r="N173" s="326">
        <f>MAX(0,(('EPA (2017) Table A3.6-7'!$AB145-'EPA (2017) Table A3.6-7'!$C145)/COUNT('EPA (2017) Table A3.6-7'!$D$6:$AB$6)*(N$160-$B$160)+'EPA (2017) Table A3.6-7'!$AB145)/'EPA (2017) Table A3.6-7'!$AB145)*$B173</f>
        <v>16.112119702327576</v>
      </c>
      <c r="O173" s="326">
        <f>MAX(0,(('EPA (2017) Table A3.6-7'!$AB145-'EPA (2017) Table A3.6-7'!$C145)/COUNT('EPA (2017) Table A3.6-7'!$D$6:$AB$6)*(O$160-$B$160)+'EPA (2017) Table A3.6-7'!$AB145)/'EPA (2017) Table A3.6-7'!$AB145)*$B173</f>
        <v>16.413385336793915</v>
      </c>
      <c r="P173" s="326">
        <f>MAX(0,(('EPA (2017) Table A3.6-7'!$AB145-'EPA (2017) Table A3.6-7'!$C145)/COUNT('EPA (2017) Table A3.6-7'!$D$6:$AB$6)*(P$160-$B$160)+'EPA (2017) Table A3.6-7'!$AB145)/'EPA (2017) Table A3.6-7'!$AB145)*$B173</f>
        <v>16.714650971260255</v>
      </c>
      <c r="Q173" s="326">
        <f>MAX(0,(('EPA (2017) Table A3.6-7'!$AB145-'EPA (2017) Table A3.6-7'!$C145)/COUNT('EPA (2017) Table A3.6-7'!$D$6:$AB$6)*(Q$160-$B$160)+'EPA (2017) Table A3.6-7'!$AB145)/'EPA (2017) Table A3.6-7'!$AB145)*$B173</f>
        <v>17.015916605726591</v>
      </c>
      <c r="R173" s="326">
        <f>MAX(0,(('EPA (2017) Table A3.6-7'!$AB145-'EPA (2017) Table A3.6-7'!$C145)/COUNT('EPA (2017) Table A3.6-7'!$D$6:$AB$6)*(R$160-$B$160)+'EPA (2017) Table A3.6-7'!$AB145)/'EPA (2017) Table A3.6-7'!$AB145)*$B173</f>
        <v>17.317182240192928</v>
      </c>
      <c r="S173" s="326">
        <f>MAX(0,(('EPA (2017) Table A3.6-7'!$AB145-'EPA (2017) Table A3.6-7'!$C145)/COUNT('EPA (2017) Table A3.6-7'!$D$6:$AB$6)*(S$160-$B$160)+'EPA (2017) Table A3.6-7'!$AB145)/'EPA (2017) Table A3.6-7'!$AB145)*$B173</f>
        <v>17.618447874659267</v>
      </c>
      <c r="T173" s="326">
        <f>MAX(0,(('EPA (2017) Table A3.6-7'!$AB145-'EPA (2017) Table A3.6-7'!$C145)/COUNT('EPA (2017) Table A3.6-7'!$D$6:$AB$6)*(T$160-$B$160)+'EPA (2017) Table A3.6-7'!$AB145)/'EPA (2017) Table A3.6-7'!$AB145)*$B173</f>
        <v>17.919713509125607</v>
      </c>
      <c r="U173" s="326">
        <f>MAX(0,(('EPA (2017) Table A3.6-7'!$AB145-'EPA (2017) Table A3.6-7'!$C145)/COUNT('EPA (2017) Table A3.6-7'!$D$6:$AB$6)*(U$160-$B$160)+'EPA (2017) Table A3.6-7'!$AB145)/'EPA (2017) Table A3.6-7'!$AB145)*$B173</f>
        <v>18.220979143591947</v>
      </c>
      <c r="V173" s="326">
        <f>MAX(0,(('EPA (2017) Table A3.6-7'!$AB145-'EPA (2017) Table A3.6-7'!$C145)/COUNT('EPA (2017) Table A3.6-7'!$D$6:$AB$6)*(V$160-$B$160)+'EPA (2017) Table A3.6-7'!$AB145)/'EPA (2017) Table A3.6-7'!$AB145)*$B173</f>
        <v>18.52224477805828</v>
      </c>
      <c r="W173" s="326">
        <f>MAX(0,(('EPA (2017) Table A3.6-7'!$AB145-'EPA (2017) Table A3.6-7'!$C145)/COUNT('EPA (2017) Table A3.6-7'!$D$6:$AB$6)*(W$160-$B$160)+'EPA (2017) Table A3.6-7'!$AB145)/'EPA (2017) Table A3.6-7'!$AB145)*$B173</f>
        <v>18.82351041252462</v>
      </c>
      <c r="X173" s="326">
        <f>MAX(0,(('EPA (2017) Table A3.6-7'!$AB145-'EPA (2017) Table A3.6-7'!$C145)/COUNT('EPA (2017) Table A3.6-7'!$D$6:$AB$6)*(X$160-$B$160)+'EPA (2017) Table A3.6-7'!$AB145)/'EPA (2017) Table A3.6-7'!$AB145)*$B173</f>
        <v>19.124776046990959</v>
      </c>
      <c r="Y173" s="326">
        <f>MAX(0,(('EPA (2017) Table A3.6-7'!$AB145-'EPA (2017) Table A3.6-7'!$C145)/COUNT('EPA (2017) Table A3.6-7'!$D$6:$AB$6)*(Y$160-$B$160)+'EPA (2017) Table A3.6-7'!$AB145)/'EPA (2017) Table A3.6-7'!$AB145)*$B173</f>
        <v>19.426041681457292</v>
      </c>
      <c r="Z173" s="326">
        <f>MAX(0,(('EPA (2017) Table A3.6-7'!$AB145-'EPA (2017) Table A3.6-7'!$C145)/COUNT('EPA (2017) Table A3.6-7'!$D$6:$AB$6)*(Z$160-$B$160)+'EPA (2017) Table A3.6-7'!$AB145)/'EPA (2017) Table A3.6-7'!$AB145)*$B173</f>
        <v>19.727307315923632</v>
      </c>
      <c r="AA173" s="326">
        <f>MAX(0,(('EPA (2017) Table A3.6-7'!$AB145-'EPA (2017) Table A3.6-7'!$C145)/COUNT('EPA (2017) Table A3.6-7'!$D$6:$AB$6)*(AA$160-$B$160)+'EPA (2017) Table A3.6-7'!$AB145)/'EPA (2017) Table A3.6-7'!$AB145)*$B173</f>
        <v>20.028572950389972</v>
      </c>
      <c r="AB173" s="326">
        <f>MAX(0,(('EPA (2017) Table A3.6-7'!$AB145-'EPA (2017) Table A3.6-7'!$C145)/COUNT('EPA (2017) Table A3.6-7'!$D$6:$AB$6)*(AB$160-$B$160)+'EPA (2017) Table A3.6-7'!$AB145)/'EPA (2017) Table A3.6-7'!$AB145)*$B173</f>
        <v>20.329838584856311</v>
      </c>
      <c r="AC173" s="326">
        <f>MAX(0,(('EPA (2017) Table A3.6-7'!$AB145-'EPA (2017) Table A3.6-7'!$C145)/COUNT('EPA (2017) Table A3.6-7'!$D$6:$AB$6)*(AC$160-$B$160)+'EPA (2017) Table A3.6-7'!$AB145)/'EPA (2017) Table A3.6-7'!$AB145)*$B173</f>
        <v>20.631104219322651</v>
      </c>
      <c r="AD173" s="326">
        <f>MAX(0,(('EPA (2017) Table A3.6-7'!$AB145-'EPA (2017) Table A3.6-7'!$C145)/COUNT('EPA (2017) Table A3.6-7'!$D$6:$AB$6)*(AD$160-$B$160)+'EPA (2017) Table A3.6-7'!$AB145)/'EPA (2017) Table A3.6-7'!$AB145)*$B173</f>
        <v>20.932369853788991</v>
      </c>
      <c r="AE173" s="326">
        <f>MAX(0,(('EPA (2017) Table A3.6-7'!$AB145-'EPA (2017) Table A3.6-7'!$C145)/COUNT('EPA (2017) Table A3.6-7'!$D$6:$AB$6)*(AE$160-$B$160)+'EPA (2017) Table A3.6-7'!$AB145)/'EPA (2017) Table A3.6-7'!$AB145)*$B173</f>
        <v>21.233635488255327</v>
      </c>
      <c r="AF173" s="326">
        <f>MAX(0,(('EPA (2017) Table A3.6-7'!$AB145-'EPA (2017) Table A3.6-7'!$C145)/COUNT('EPA (2017) Table A3.6-7'!$D$6:$AB$6)*(AF$160-$B$160)+'EPA (2017) Table A3.6-7'!$AB145)/'EPA (2017) Table A3.6-7'!$AB145)*$B173</f>
        <v>21.534901122721667</v>
      </c>
      <c r="AG173" s="326">
        <f>MAX(0,(('EPA (2017) Table A3.6-7'!$AB145-'EPA (2017) Table A3.6-7'!$C145)/COUNT('EPA (2017) Table A3.6-7'!$D$6:$AB$6)*(AG$160-$B$160)+'EPA (2017) Table A3.6-7'!$AB145)/'EPA (2017) Table A3.6-7'!$AB145)*$B173</f>
        <v>21.836166757188003</v>
      </c>
      <c r="AH173" s="326">
        <f>MAX(0,(('EPA (2017) Table A3.6-7'!$AB145-'EPA (2017) Table A3.6-7'!$C145)/COUNT('EPA (2017) Table A3.6-7'!$D$6:$AB$6)*(AH$160-$B$160)+'EPA (2017) Table A3.6-7'!$AB145)/'EPA (2017) Table A3.6-7'!$AB145)*$B173</f>
        <v>22.13743239165434</v>
      </c>
      <c r="AI173" s="326">
        <f>MAX(0,(('EPA (2017) Table A3.6-7'!$AB145-'EPA (2017) Table A3.6-7'!$C145)/COUNT('EPA (2017) Table A3.6-7'!$D$6:$AB$6)*(AI$160-$B$160)+'EPA (2017) Table A3.6-7'!$AB145)/'EPA (2017) Table A3.6-7'!$AB145)*$B173</f>
        <v>22.438698026120679</v>
      </c>
      <c r="AJ173" s="326">
        <f>MAX(0,(('EPA (2017) Table A3.6-7'!$AB145-'EPA (2017) Table A3.6-7'!$C145)/COUNT('EPA (2017) Table A3.6-7'!$D$6:$AB$6)*(AJ$160-$B$160)+'EPA (2017) Table A3.6-7'!$AB145)/'EPA (2017) Table A3.6-7'!$AB145)*$B173</f>
        <v>22.739963660587019</v>
      </c>
      <c r="AK173" s="326">
        <f>MAX(0,(('EPA (2017) Table A3.6-7'!$AB145-'EPA (2017) Table A3.6-7'!$C145)/COUNT('EPA (2017) Table A3.6-7'!$D$6:$AB$6)*(AK$160-$B$160)+'EPA (2017) Table A3.6-7'!$AB145)/'EPA (2017) Table A3.6-7'!$AB145)*$B173</f>
        <v>23.041229295053359</v>
      </c>
    </row>
    <row r="174" spans="1:37" x14ac:dyDescent="0.25">
      <c r="A174" s="208" t="s">
        <v>1513</v>
      </c>
      <c r="B174" s="197">
        <v>4.3859417012468827</v>
      </c>
      <c r="C174" s="326">
        <f>MAX(0,(('EPA (2017) Table A3.6-7'!$AB146-'EPA (2017) Table A3.6-7'!$C146)/COUNT('EPA (2017) Table A3.6-7'!$D$6:$AB$6)*(C$160-$B$160)+'EPA (2017) Table A3.6-7'!$AB146)/'EPA (2017) Table A3.6-7'!$AB146)*$B174</f>
        <v>4.2502166344633592</v>
      </c>
      <c r="D174" s="326">
        <f>MAX(0,(('EPA (2017) Table A3.6-7'!$AB146-'EPA (2017) Table A3.6-7'!$C146)/COUNT('EPA (2017) Table A3.6-7'!$D$6:$AB$6)*(D$160-$B$160)+'EPA (2017) Table A3.6-7'!$AB146)/'EPA (2017) Table A3.6-7'!$AB146)*$B174</f>
        <v>4.1144915676798357</v>
      </c>
      <c r="E174" s="326">
        <f>MAX(0,(('EPA (2017) Table A3.6-7'!$AB146-'EPA (2017) Table A3.6-7'!$C146)/COUNT('EPA (2017) Table A3.6-7'!$D$6:$AB$6)*(E$160-$B$160)+'EPA (2017) Table A3.6-7'!$AB146)/'EPA (2017) Table A3.6-7'!$AB146)*$B174</f>
        <v>3.9787665008963122</v>
      </c>
      <c r="F174" s="326">
        <f>MAX(0,(('EPA (2017) Table A3.6-7'!$AB146-'EPA (2017) Table A3.6-7'!$C146)/COUNT('EPA (2017) Table A3.6-7'!$D$6:$AB$6)*(F$160-$B$160)+'EPA (2017) Table A3.6-7'!$AB146)/'EPA (2017) Table A3.6-7'!$AB146)*$B174</f>
        <v>3.8430414341127896</v>
      </c>
      <c r="G174" s="326">
        <f>MAX(0,(('EPA (2017) Table A3.6-7'!$AB146-'EPA (2017) Table A3.6-7'!$C146)/COUNT('EPA (2017) Table A3.6-7'!$D$6:$AB$6)*(G$160-$B$160)+'EPA (2017) Table A3.6-7'!$AB146)/'EPA (2017) Table A3.6-7'!$AB146)*$B174</f>
        <v>3.7073163673292657</v>
      </c>
      <c r="H174" s="326">
        <f>MAX(0,(('EPA (2017) Table A3.6-7'!$AB146-'EPA (2017) Table A3.6-7'!$C146)/COUNT('EPA (2017) Table A3.6-7'!$D$6:$AB$6)*(H$160-$B$160)+'EPA (2017) Table A3.6-7'!$AB146)/'EPA (2017) Table A3.6-7'!$AB146)*$B174</f>
        <v>3.5715913005457423</v>
      </c>
      <c r="I174" s="326">
        <f>MAX(0,(('EPA (2017) Table A3.6-7'!$AB146-'EPA (2017) Table A3.6-7'!$C146)/COUNT('EPA (2017) Table A3.6-7'!$D$6:$AB$6)*(I$160-$B$160)+'EPA (2017) Table A3.6-7'!$AB146)/'EPA (2017) Table A3.6-7'!$AB146)*$B174</f>
        <v>3.4358662337622188</v>
      </c>
      <c r="J174" s="326">
        <f>MAX(0,(('EPA (2017) Table A3.6-7'!$AB146-'EPA (2017) Table A3.6-7'!$C146)/COUNT('EPA (2017) Table A3.6-7'!$D$6:$AB$6)*(J$160-$B$160)+'EPA (2017) Table A3.6-7'!$AB146)/'EPA (2017) Table A3.6-7'!$AB146)*$B174</f>
        <v>3.3001411669786953</v>
      </c>
      <c r="K174" s="326">
        <f>MAX(0,(('EPA (2017) Table A3.6-7'!$AB146-'EPA (2017) Table A3.6-7'!$C146)/COUNT('EPA (2017) Table A3.6-7'!$D$6:$AB$6)*(K$160-$B$160)+'EPA (2017) Table A3.6-7'!$AB146)/'EPA (2017) Table A3.6-7'!$AB146)*$B174</f>
        <v>3.1644161001951727</v>
      </c>
      <c r="L174" s="326">
        <f>MAX(0,(('EPA (2017) Table A3.6-7'!$AB146-'EPA (2017) Table A3.6-7'!$C146)/COUNT('EPA (2017) Table A3.6-7'!$D$6:$AB$6)*(L$160-$B$160)+'EPA (2017) Table A3.6-7'!$AB146)/'EPA (2017) Table A3.6-7'!$AB146)*$B174</f>
        <v>3.0286910334116492</v>
      </c>
      <c r="M174" s="326">
        <f>MAX(0,(('EPA (2017) Table A3.6-7'!$AB146-'EPA (2017) Table A3.6-7'!$C146)/COUNT('EPA (2017) Table A3.6-7'!$D$6:$AB$6)*(M$160-$B$160)+'EPA (2017) Table A3.6-7'!$AB146)/'EPA (2017) Table A3.6-7'!$AB146)*$B174</f>
        <v>2.8929659666281258</v>
      </c>
      <c r="N174" s="326">
        <f>MAX(0,(('EPA (2017) Table A3.6-7'!$AB146-'EPA (2017) Table A3.6-7'!$C146)/COUNT('EPA (2017) Table A3.6-7'!$D$6:$AB$6)*(N$160-$B$160)+'EPA (2017) Table A3.6-7'!$AB146)/'EPA (2017) Table A3.6-7'!$AB146)*$B174</f>
        <v>2.7572408998446023</v>
      </c>
      <c r="O174" s="326">
        <f>MAX(0,(('EPA (2017) Table A3.6-7'!$AB146-'EPA (2017) Table A3.6-7'!$C146)/COUNT('EPA (2017) Table A3.6-7'!$D$6:$AB$6)*(O$160-$B$160)+'EPA (2017) Table A3.6-7'!$AB146)/'EPA (2017) Table A3.6-7'!$AB146)*$B174</f>
        <v>2.6215158330610784</v>
      </c>
      <c r="P174" s="326">
        <f>MAX(0,(('EPA (2017) Table A3.6-7'!$AB146-'EPA (2017) Table A3.6-7'!$C146)/COUNT('EPA (2017) Table A3.6-7'!$D$6:$AB$6)*(P$160-$B$160)+'EPA (2017) Table A3.6-7'!$AB146)/'EPA (2017) Table A3.6-7'!$AB146)*$B174</f>
        <v>2.4857907662775549</v>
      </c>
      <c r="Q174" s="326">
        <f>MAX(0,(('EPA (2017) Table A3.6-7'!$AB146-'EPA (2017) Table A3.6-7'!$C146)/COUNT('EPA (2017) Table A3.6-7'!$D$6:$AB$6)*(Q$160-$B$160)+'EPA (2017) Table A3.6-7'!$AB146)/'EPA (2017) Table A3.6-7'!$AB146)*$B174</f>
        <v>2.3500656994940319</v>
      </c>
      <c r="R174" s="326">
        <f>MAX(0,(('EPA (2017) Table A3.6-7'!$AB146-'EPA (2017) Table A3.6-7'!$C146)/COUNT('EPA (2017) Table A3.6-7'!$D$6:$AB$6)*(R$160-$B$160)+'EPA (2017) Table A3.6-7'!$AB146)/'EPA (2017) Table A3.6-7'!$AB146)*$B174</f>
        <v>2.2143406327105084</v>
      </c>
      <c r="S174" s="326">
        <f>MAX(0,(('EPA (2017) Table A3.6-7'!$AB146-'EPA (2017) Table A3.6-7'!$C146)/COUNT('EPA (2017) Table A3.6-7'!$D$6:$AB$6)*(S$160-$B$160)+'EPA (2017) Table A3.6-7'!$AB146)/'EPA (2017) Table A3.6-7'!$AB146)*$B174</f>
        <v>2.0786155659269849</v>
      </c>
      <c r="T174" s="326">
        <f>MAX(0,(('EPA (2017) Table A3.6-7'!$AB146-'EPA (2017) Table A3.6-7'!$C146)/COUNT('EPA (2017) Table A3.6-7'!$D$6:$AB$6)*(T$160-$B$160)+'EPA (2017) Table A3.6-7'!$AB146)/'EPA (2017) Table A3.6-7'!$AB146)*$B174</f>
        <v>1.9428904991434619</v>
      </c>
      <c r="U174" s="326">
        <f>MAX(0,(('EPA (2017) Table A3.6-7'!$AB146-'EPA (2017) Table A3.6-7'!$C146)/COUNT('EPA (2017) Table A3.6-7'!$D$6:$AB$6)*(U$160-$B$160)+'EPA (2017) Table A3.6-7'!$AB146)/'EPA (2017) Table A3.6-7'!$AB146)*$B174</f>
        <v>1.8071654323599382</v>
      </c>
      <c r="V174" s="326">
        <f>MAX(0,(('EPA (2017) Table A3.6-7'!$AB146-'EPA (2017) Table A3.6-7'!$C146)/COUNT('EPA (2017) Table A3.6-7'!$D$6:$AB$6)*(V$160-$B$160)+'EPA (2017) Table A3.6-7'!$AB146)/'EPA (2017) Table A3.6-7'!$AB146)*$B174</f>
        <v>1.6714403655764147</v>
      </c>
      <c r="W174" s="326">
        <f>MAX(0,(('EPA (2017) Table A3.6-7'!$AB146-'EPA (2017) Table A3.6-7'!$C146)/COUNT('EPA (2017) Table A3.6-7'!$D$6:$AB$6)*(W$160-$B$160)+'EPA (2017) Table A3.6-7'!$AB146)/'EPA (2017) Table A3.6-7'!$AB146)*$B174</f>
        <v>1.5357152987928915</v>
      </c>
      <c r="X174" s="326">
        <f>MAX(0,(('EPA (2017) Table A3.6-7'!$AB146-'EPA (2017) Table A3.6-7'!$C146)/COUNT('EPA (2017) Table A3.6-7'!$D$6:$AB$6)*(X$160-$B$160)+'EPA (2017) Table A3.6-7'!$AB146)/'EPA (2017) Table A3.6-7'!$AB146)*$B174</f>
        <v>1.3999902320093678</v>
      </c>
      <c r="Y174" s="326">
        <f>MAX(0,(('EPA (2017) Table A3.6-7'!$AB146-'EPA (2017) Table A3.6-7'!$C146)/COUNT('EPA (2017) Table A3.6-7'!$D$6:$AB$6)*(Y$160-$B$160)+'EPA (2017) Table A3.6-7'!$AB146)/'EPA (2017) Table A3.6-7'!$AB146)*$B174</f>
        <v>1.264265165225845</v>
      </c>
      <c r="Z174" s="326">
        <f>MAX(0,(('EPA (2017) Table A3.6-7'!$AB146-'EPA (2017) Table A3.6-7'!$C146)/COUNT('EPA (2017) Table A3.6-7'!$D$6:$AB$6)*(Z$160-$B$160)+'EPA (2017) Table A3.6-7'!$AB146)/'EPA (2017) Table A3.6-7'!$AB146)*$B174</f>
        <v>1.1285400984423215</v>
      </c>
      <c r="AA174" s="326">
        <f>MAX(0,(('EPA (2017) Table A3.6-7'!$AB146-'EPA (2017) Table A3.6-7'!$C146)/COUNT('EPA (2017) Table A3.6-7'!$D$6:$AB$6)*(AA$160-$B$160)+'EPA (2017) Table A3.6-7'!$AB146)/'EPA (2017) Table A3.6-7'!$AB146)*$B174</f>
        <v>0.99281503165879792</v>
      </c>
      <c r="AB174" s="326">
        <f>MAX(0,(('EPA (2017) Table A3.6-7'!$AB146-'EPA (2017) Table A3.6-7'!$C146)/COUNT('EPA (2017) Table A3.6-7'!$D$6:$AB$6)*(AB$160-$B$160)+'EPA (2017) Table A3.6-7'!$AB146)/'EPA (2017) Table A3.6-7'!$AB146)*$B174</f>
        <v>0.85708996487527456</v>
      </c>
      <c r="AC174" s="326">
        <f>MAX(0,(('EPA (2017) Table A3.6-7'!$AB146-'EPA (2017) Table A3.6-7'!$C146)/COUNT('EPA (2017) Table A3.6-7'!$D$6:$AB$6)*(AC$160-$B$160)+'EPA (2017) Table A3.6-7'!$AB146)/'EPA (2017) Table A3.6-7'!$AB146)*$B174</f>
        <v>0.72136489809175097</v>
      </c>
      <c r="AD174" s="326">
        <f>MAX(0,(('EPA (2017) Table A3.6-7'!$AB146-'EPA (2017) Table A3.6-7'!$C146)/COUNT('EPA (2017) Table A3.6-7'!$D$6:$AB$6)*(AD$160-$B$160)+'EPA (2017) Table A3.6-7'!$AB146)/'EPA (2017) Table A3.6-7'!$AB146)*$B174</f>
        <v>0.58563983130822761</v>
      </c>
      <c r="AE174" s="326">
        <f>MAX(0,(('EPA (2017) Table A3.6-7'!$AB146-'EPA (2017) Table A3.6-7'!$C146)/COUNT('EPA (2017) Table A3.6-7'!$D$6:$AB$6)*(AE$160-$B$160)+'EPA (2017) Table A3.6-7'!$AB146)/'EPA (2017) Table A3.6-7'!$AB146)*$B174</f>
        <v>0.44991476452470464</v>
      </c>
      <c r="AF174" s="326">
        <f>MAX(0,(('EPA (2017) Table A3.6-7'!$AB146-'EPA (2017) Table A3.6-7'!$C146)/COUNT('EPA (2017) Table A3.6-7'!$D$6:$AB$6)*(AF$160-$B$160)+'EPA (2017) Table A3.6-7'!$AB146)/'EPA (2017) Table A3.6-7'!$AB146)*$B174</f>
        <v>0.31418969774118116</v>
      </c>
      <c r="AG174" s="326">
        <f>MAX(0,(('EPA (2017) Table A3.6-7'!$AB146-'EPA (2017) Table A3.6-7'!$C146)/COUNT('EPA (2017) Table A3.6-7'!$D$6:$AB$6)*(AG$160-$B$160)+'EPA (2017) Table A3.6-7'!$AB146)/'EPA (2017) Table A3.6-7'!$AB146)*$B174</f>
        <v>0.17846463095765769</v>
      </c>
      <c r="AH174" s="326">
        <f>MAX(0,(('EPA (2017) Table A3.6-7'!$AB146-'EPA (2017) Table A3.6-7'!$C146)/COUNT('EPA (2017) Table A3.6-7'!$D$6:$AB$6)*(AH$160-$B$160)+'EPA (2017) Table A3.6-7'!$AB146)/'EPA (2017) Table A3.6-7'!$AB146)*$B174</f>
        <v>4.2739564174134222E-2</v>
      </c>
      <c r="AI174" s="326">
        <f>MAX(0,(('EPA (2017) Table A3.6-7'!$AB146-'EPA (2017) Table A3.6-7'!$C146)/COUNT('EPA (2017) Table A3.6-7'!$D$6:$AB$6)*(AI$160-$B$160)+'EPA (2017) Table A3.6-7'!$AB146)/'EPA (2017) Table A3.6-7'!$AB146)*$B174</f>
        <v>0</v>
      </c>
      <c r="AJ174" s="326">
        <f>MAX(0,(('EPA (2017) Table A3.6-7'!$AB146-'EPA (2017) Table A3.6-7'!$C146)/COUNT('EPA (2017) Table A3.6-7'!$D$6:$AB$6)*(AJ$160-$B$160)+'EPA (2017) Table A3.6-7'!$AB146)/'EPA (2017) Table A3.6-7'!$AB146)*$B174</f>
        <v>0</v>
      </c>
      <c r="AK174" s="326">
        <f>MAX(0,(('EPA (2017) Table A3.6-7'!$AB146-'EPA (2017) Table A3.6-7'!$C146)/COUNT('EPA (2017) Table A3.6-7'!$D$6:$AB$6)*(AK$160-$B$160)+'EPA (2017) Table A3.6-7'!$AB146)/'EPA (2017) Table A3.6-7'!$AB146)*$B174</f>
        <v>0</v>
      </c>
    </row>
    <row r="175" spans="1:37" x14ac:dyDescent="0.25">
      <c r="A175" s="209" t="s">
        <v>1514</v>
      </c>
      <c r="B175" s="193"/>
      <c r="C175" s="193" t="str">
        <f>IF(B175="","",$B175*'AEO 2017_Table 13'!D$36/'AEO 2017_Table 13'!$C$36)</f>
        <v/>
      </c>
      <c r="D175" s="193" t="str">
        <f>IF(C175="","",$B175*'AEO 2017_Table 13'!E$36/'AEO 2017_Table 13'!$C$36)</f>
        <v/>
      </c>
      <c r="E175" s="193" t="str">
        <f>IF(D175="","",$B175*'AEO 2017_Table 13'!F$36/'AEO 2017_Table 13'!$C$36)</f>
        <v/>
      </c>
      <c r="F175" s="193" t="str">
        <f>IF(E175="","",$B175*'AEO 2017_Table 13'!G$36/'AEO 2017_Table 13'!$C$36)</f>
        <v/>
      </c>
      <c r="G175" s="193" t="str">
        <f>IF(F175="","",$B175*'AEO 2017_Table 13'!H$36/'AEO 2017_Table 13'!$C$36)</f>
        <v/>
      </c>
      <c r="H175" s="193" t="str">
        <f>IF(G175="","",$B175*'AEO 2017_Table 13'!I$36/'AEO 2017_Table 13'!$C$36)</f>
        <v/>
      </c>
      <c r="I175" s="193" t="str">
        <f>IF(H175="","",$B175*'AEO 2017_Table 13'!J$36/'AEO 2017_Table 13'!$C$36)</f>
        <v/>
      </c>
      <c r="J175" s="193" t="str">
        <f>IF(I175="","",$B175*'AEO 2017_Table 13'!K$36/'AEO 2017_Table 13'!$C$36)</f>
        <v/>
      </c>
      <c r="K175" s="193" t="str">
        <f>IF(J175="","",$B175*'AEO 2017_Table 13'!L$36/'AEO 2017_Table 13'!$C$36)</f>
        <v/>
      </c>
      <c r="L175" s="193" t="str">
        <f>IF(K175="","",$B175*'AEO 2017_Table 13'!M$36/'AEO 2017_Table 13'!$C$36)</f>
        <v/>
      </c>
      <c r="M175" s="193" t="str">
        <f>IF(L175="","",$B175*'AEO 2017_Table 13'!N$36/'AEO 2017_Table 13'!$C$36)</f>
        <v/>
      </c>
      <c r="N175" s="193" t="str">
        <f>IF(M175="","",$B175*'AEO 2017_Table 13'!O$36/'AEO 2017_Table 13'!$C$36)</f>
        <v/>
      </c>
      <c r="O175" s="193" t="str">
        <f>IF(N175="","",$B175*'AEO 2017_Table 13'!P$36/'AEO 2017_Table 13'!$C$36)</f>
        <v/>
      </c>
      <c r="P175" s="193" t="str">
        <f>IF(O175="","",$B175*'AEO 2017_Table 13'!Q$36/'AEO 2017_Table 13'!$C$36)</f>
        <v/>
      </c>
      <c r="Q175" s="193" t="str">
        <f>IF(P175="","",$B175*'AEO 2017_Table 13'!R$36/'AEO 2017_Table 13'!$C$36)</f>
        <v/>
      </c>
      <c r="R175" s="193" t="str">
        <f>IF(Q175="","",$B175*'AEO 2017_Table 13'!S$36/'AEO 2017_Table 13'!$C$36)</f>
        <v/>
      </c>
      <c r="S175" s="193" t="str">
        <f>IF(R175="","",$B175*'AEO 2017_Table 13'!T$36/'AEO 2017_Table 13'!$C$36)</f>
        <v/>
      </c>
      <c r="T175" s="193" t="str">
        <f>IF(S175="","",$B175*'AEO 2017_Table 13'!U$36/'AEO 2017_Table 13'!$C$36)</f>
        <v/>
      </c>
      <c r="U175" s="193" t="str">
        <f>IF(T175="","",$B175*'AEO 2017_Table 13'!V$36/'AEO 2017_Table 13'!$C$36)</f>
        <v/>
      </c>
      <c r="V175" s="193" t="str">
        <f>IF(U175="","",$B175*'AEO 2017_Table 13'!W$36/'AEO 2017_Table 13'!$C$36)</f>
        <v/>
      </c>
      <c r="W175" s="193" t="str">
        <f>IF(V175="","",$B175*'AEO 2017_Table 13'!X$36/'AEO 2017_Table 13'!$C$36)</f>
        <v/>
      </c>
      <c r="X175" s="193" t="str">
        <f>IF(W175="","",$B175*'AEO 2017_Table 13'!Y$36/'AEO 2017_Table 13'!$C$36)</f>
        <v/>
      </c>
      <c r="Y175" s="193" t="str">
        <f>IF(X175="","",$B175*'AEO 2017_Table 13'!Z$36/'AEO 2017_Table 13'!$C$36)</f>
        <v/>
      </c>
      <c r="Z175" s="193" t="str">
        <f>IF(Y175="","",$B175*'AEO 2017_Table 13'!AA$36/'AEO 2017_Table 13'!$C$36)</f>
        <v/>
      </c>
      <c r="AA175" s="193" t="str">
        <f>IF(Z175="","",$B175*'AEO 2017_Table 13'!AB$36/'AEO 2017_Table 13'!$C$36)</f>
        <v/>
      </c>
      <c r="AB175" s="193" t="str">
        <f>IF(AA175="","",$B175*'AEO 2017_Table 13'!AC$36/'AEO 2017_Table 13'!$C$36)</f>
        <v/>
      </c>
      <c r="AC175" s="193" t="str">
        <f>IF(AB175="","",$B175*'AEO 2017_Table 13'!AD$36/'AEO 2017_Table 13'!$C$36)</f>
        <v/>
      </c>
      <c r="AD175" s="193" t="str">
        <f>IF(AC175="","",$B175*'AEO 2017_Table 13'!AE$36/'AEO 2017_Table 13'!$C$36)</f>
        <v/>
      </c>
      <c r="AE175" s="193" t="str">
        <f>IF(AD175="","",$B175*'AEO 2017_Table 13'!AF$36/'AEO 2017_Table 13'!$C$36)</f>
        <v/>
      </c>
      <c r="AF175" s="193" t="str">
        <f>IF(AE175="","",$B175*'AEO 2017_Table 13'!AG$36/'AEO 2017_Table 13'!$C$36)</f>
        <v/>
      </c>
      <c r="AG175" s="193" t="str">
        <f>IF(AF175="","",$B175*'AEO 2017_Table 13'!AH$36/'AEO 2017_Table 13'!$C$36)</f>
        <v/>
      </c>
      <c r="AH175" s="193" t="str">
        <f>IF(AG175="","",$B175*'AEO 2017_Table 13'!AI$36/'AEO 2017_Table 13'!$C$36)</f>
        <v/>
      </c>
      <c r="AI175" s="193" t="str">
        <f>IF(AH175="","",$B175*'AEO 2017_Table 13'!AJ$36/'AEO 2017_Table 13'!$C$36)</f>
        <v/>
      </c>
      <c r="AJ175" s="193" t="str">
        <f>IF(AI175="","",$B175*'AEO 2017_Table 13'!AK$36/'AEO 2017_Table 13'!$C$36)</f>
        <v/>
      </c>
      <c r="AK175" s="193" t="str">
        <f>IF(AJ175="","",$B175*'AEO 2017_Table 13'!AL$36/'AEO 2017_Table 13'!$C$36)</f>
        <v/>
      </c>
    </row>
    <row r="176" spans="1:37" x14ac:dyDescent="0.25">
      <c r="A176" s="242" t="s">
        <v>1515</v>
      </c>
      <c r="B176" s="195">
        <v>8.6264437173673851</v>
      </c>
      <c r="C176" s="195">
        <f>IF(B176="","",$B176*'AEO 2017_Table 13'!D$26/'AEO 2017_Table 13'!$C$26)</f>
        <v>8.2759862072671204</v>
      </c>
      <c r="D176" s="195">
        <f>IF(C176="","",$B176*'AEO 2017_Table 13'!E$26/'AEO 2017_Table 13'!$C$26)</f>
        <v>8.6422643835128188</v>
      </c>
      <c r="E176" s="195">
        <f>IF(D176="","",$B176*'AEO 2017_Table 13'!F$26/'AEO 2017_Table 13'!$C$26)</f>
        <v>8.7285182660901981</v>
      </c>
      <c r="F176" s="195">
        <f>IF(E176="","",$B176*'AEO 2017_Table 13'!G$26/'AEO 2017_Table 13'!$C$26)</f>
        <v>8.7103303013081472</v>
      </c>
      <c r="G176" s="195">
        <f>IF(F176="","",$B176*'AEO 2017_Table 13'!H$26/'AEO 2017_Table 13'!$C$26)</f>
        <v>8.6974514481720142</v>
      </c>
      <c r="H176" s="195">
        <f>IF(G176="","",$B176*'AEO 2017_Table 13'!I$26/'AEO 2017_Table 13'!$C$26)</f>
        <v>8.6906995007562671</v>
      </c>
      <c r="I176" s="195">
        <f>IF(H176="","",$B176*'AEO 2017_Table 13'!J$26/'AEO 2017_Table 13'!$C$26)</f>
        <v>8.6882367616212548</v>
      </c>
      <c r="J176" s="195">
        <f>IF(I176="","",$B176*'AEO 2017_Table 13'!K$26/'AEO 2017_Table 13'!$C$26)</f>
        <v>8.6896702404794759</v>
      </c>
      <c r="K176" s="195">
        <f>IF(J176="","",$B176*'AEO 2017_Table 13'!L$26/'AEO 2017_Table 13'!$C$26)</f>
        <v>8.6965662843339722</v>
      </c>
      <c r="L176" s="195">
        <f>IF(K176="","",$B176*'AEO 2017_Table 13'!M$26/'AEO 2017_Table 13'!$C$26)</f>
        <v>8.7018622963036414</v>
      </c>
      <c r="M176" s="195">
        <f>IF(L176="","",$B176*'AEO 2017_Table 13'!N$26/'AEO 2017_Table 13'!$C$26)</f>
        <v>8.6987314736798744</v>
      </c>
      <c r="N176" s="195">
        <f>IF(M176="","",$B176*'AEO 2017_Table 13'!O$26/'AEO 2017_Table 13'!$C$26)</f>
        <v>8.6883640156191113</v>
      </c>
      <c r="O176" s="195">
        <f>IF(N176="","",$B176*'AEO 2017_Table 13'!P$26/'AEO 2017_Table 13'!$C$26)</f>
        <v>8.6752456255458341</v>
      </c>
      <c r="P176" s="195">
        <f>IF(O176="","",$B176*'AEO 2017_Table 13'!Q$26/'AEO 2017_Table 13'!$C$26)</f>
        <v>8.6629543864586314</v>
      </c>
      <c r="Q176" s="195">
        <f>IF(P176="","",$B176*'AEO 2017_Table 13'!R$26/'AEO 2017_Table 13'!$C$26)</f>
        <v>8.6531127868301922</v>
      </c>
      <c r="R176" s="195">
        <f>IF(Q176="","",$B176*'AEO 2017_Table 13'!S$26/'AEO 2017_Table 13'!$C$26)</f>
        <v>8.6418377083435303</v>
      </c>
      <c r="S176" s="195">
        <f>IF(R176="","",$B176*'AEO 2017_Table 13'!T$26/'AEO 2017_Table 13'!$C$26)</f>
        <v>8.6272184696484597</v>
      </c>
      <c r="T176" s="195">
        <f>IF(S176="","",$B176*'AEO 2017_Table 13'!U$26/'AEO 2017_Table 13'!$C$26)</f>
        <v>8.6129604077414257</v>
      </c>
      <c r="U176" s="195">
        <f>IF(T176="","",$B176*'AEO 2017_Table 13'!V$26/'AEO 2017_Table 13'!$C$26)</f>
        <v>8.6000647121644</v>
      </c>
      <c r="V176" s="195">
        <f>IF(U176="","",$B176*'AEO 2017_Table 13'!W$26/'AEO 2017_Table 13'!$C$26)</f>
        <v>8.5818149917657411</v>
      </c>
      <c r="W176" s="195">
        <f>IF(V176="","",$B176*'AEO 2017_Table 13'!X$26/'AEO 2017_Table 13'!$C$26)</f>
        <v>8.5603165516570652</v>
      </c>
      <c r="X176" s="195">
        <f>IF(W176="","",$B176*'AEO 2017_Table 13'!Y$26/'AEO 2017_Table 13'!$C$26)</f>
        <v>8.5402965035823257</v>
      </c>
      <c r="Y176" s="195">
        <f>IF(X176="","",$B176*'AEO 2017_Table 13'!Z$26/'AEO 2017_Table 13'!$C$26)</f>
        <v>8.526457631315294</v>
      </c>
      <c r="Z176" s="195">
        <f>IF(Y176="","",$B176*'AEO 2017_Table 13'!AA$26/'AEO 2017_Table 13'!$C$26)</f>
        <v>8.5153696910607763</v>
      </c>
      <c r="AA176" s="195">
        <f>IF(Z176="","",$B176*'AEO 2017_Table 13'!AB$26/'AEO 2017_Table 13'!$C$26)</f>
        <v>8.5103824571741455</v>
      </c>
      <c r="AB176" s="195">
        <f>IF(AA176="","",$B176*'AEO 2017_Table 13'!AC$26/'AEO 2017_Table 13'!$C$26)</f>
        <v>8.5103375439984319</v>
      </c>
      <c r="AC176" s="195">
        <f>IF(AB176="","",$B176*'AEO 2017_Table 13'!AD$26/'AEO 2017_Table 13'!$C$26)</f>
        <v>8.5096077048930692</v>
      </c>
      <c r="AD176" s="195">
        <f>IF(AC176="","",$B176*'AEO 2017_Table 13'!AE$26/'AEO 2017_Table 13'!$C$26)</f>
        <v>8.5091735441944945</v>
      </c>
      <c r="AE176" s="195">
        <f>IF(AD176="","",$B176*'AEO 2017_Table 13'!AF$26/'AEO 2017_Table 13'!$C$26)</f>
        <v>8.5100399942093219</v>
      </c>
      <c r="AF176" s="195">
        <f>IF(AE176="","",$B176*'AEO 2017_Table 13'!AG$26/'AEO 2017_Table 13'!$C$26)</f>
        <v>8.5120386305286182</v>
      </c>
      <c r="AG176" s="195">
        <f>IF(AF176="","",$B176*'AEO 2017_Table 13'!AH$26/'AEO 2017_Table 13'!$C$26)</f>
        <v>8.5152124949457768</v>
      </c>
      <c r="AH176" s="195">
        <f>IF(AG176="","",$B176*'AEO 2017_Table 13'!AI$26/'AEO 2017_Table 13'!$C$26)</f>
        <v>8.5194043913457946</v>
      </c>
      <c r="AI176" s="195">
        <f>IF(AH176="","",$B176*'AEO 2017_Table 13'!AJ$26/'AEO 2017_Table 13'!$C$26)</f>
        <v>8.5227691367597398</v>
      </c>
      <c r="AJ176" s="195">
        <f>IF(AI176="","",$B176*'AEO 2017_Table 13'!AK$26/'AEO 2017_Table 13'!$C$26)</f>
        <v>8.5244608663783197</v>
      </c>
      <c r="AK176" s="195">
        <f>IF(AJ176="","",$B176*'AEO 2017_Table 13'!AL$26/'AEO 2017_Table 13'!$C$26)</f>
        <v>8.5270920299222617</v>
      </c>
    </row>
    <row r="177" spans="1:37" x14ac:dyDescent="0.25">
      <c r="A177" s="214" t="s">
        <v>1516</v>
      </c>
      <c r="B177" s="198">
        <v>14.625028604744672</v>
      </c>
      <c r="C177" s="195">
        <f>IF(B177="","",$B177*'AEO 2017_Table 13'!D$26/'AEO 2017_Table 13'!$C$26)</f>
        <v>14.030872857846905</v>
      </c>
      <c r="D177" s="195">
        <f>IF(C177="","",$B177*'AEO 2017_Table 13'!E$26/'AEO 2017_Table 13'!$C$26)</f>
        <v>14.651850514503064</v>
      </c>
      <c r="E177" s="195">
        <f>IF(D177="","",$B177*'AEO 2017_Table 13'!F$26/'AEO 2017_Table 13'!$C$26)</f>
        <v>14.798082906586583</v>
      </c>
      <c r="F177" s="195">
        <f>IF(E177="","",$B177*'AEO 2017_Table 13'!G$26/'AEO 2017_Table 13'!$C$26)</f>
        <v>14.767247545699217</v>
      </c>
      <c r="G177" s="195">
        <f>IF(F177="","",$B177*'AEO 2017_Table 13'!H$26/'AEO 2017_Table 13'!$C$26)</f>
        <v>14.745413102482127</v>
      </c>
      <c r="H177" s="195">
        <f>IF(G177="","",$B177*'AEO 2017_Table 13'!I$26/'AEO 2017_Table 13'!$C$26)</f>
        <v>14.733966041870785</v>
      </c>
      <c r="I177" s="195">
        <f>IF(H177="","",$B177*'AEO 2017_Table 13'!J$26/'AEO 2017_Table 13'!$C$26)</f>
        <v>14.729790783621194</v>
      </c>
      <c r="J177" s="195">
        <f>IF(I177="","",$B177*'AEO 2017_Table 13'!K$26/'AEO 2017_Table 13'!$C$26)</f>
        <v>14.732221063119056</v>
      </c>
      <c r="K177" s="195">
        <f>IF(J177="","",$B177*'AEO 2017_Table 13'!L$26/'AEO 2017_Table 13'!$C$26)</f>
        <v>14.743912420755638</v>
      </c>
      <c r="L177" s="195">
        <f>IF(K177="","",$B177*'AEO 2017_Table 13'!M$26/'AEO 2017_Table 13'!$C$26)</f>
        <v>14.752891129605445</v>
      </c>
      <c r="M177" s="195">
        <f>IF(L177="","",$B177*'AEO 2017_Table 13'!N$26/'AEO 2017_Table 13'!$C$26)</f>
        <v>14.747583221511549</v>
      </c>
      <c r="N177" s="195">
        <f>IF(M177="","",$B177*'AEO 2017_Table 13'!O$26/'AEO 2017_Table 13'!$C$26)</f>
        <v>14.73000652644868</v>
      </c>
      <c r="O177" s="195">
        <f>IF(N177="","",$B177*'AEO 2017_Table 13'!P$26/'AEO 2017_Table 13'!$C$26)</f>
        <v>14.707765979085735</v>
      </c>
      <c r="P177" s="195">
        <f>IF(O177="","",$B177*'AEO 2017_Table 13'!Q$26/'AEO 2017_Table 13'!$C$26)</f>
        <v>14.686927760101455</v>
      </c>
      <c r="Q177" s="195">
        <f>IF(P177="","",$B177*'AEO 2017_Table 13'!R$26/'AEO 2017_Table 13'!$C$26)</f>
        <v>14.670242590546287</v>
      </c>
      <c r="R177" s="195">
        <f>IF(Q177="","",$B177*'AEO 2017_Table 13'!S$26/'AEO 2017_Table 13'!$C$26)</f>
        <v>14.651127141493257</v>
      </c>
      <c r="S177" s="195">
        <f>IF(R177="","",$B177*'AEO 2017_Table 13'!T$26/'AEO 2017_Table 13'!$C$26)</f>
        <v>14.626342097841425</v>
      </c>
      <c r="T177" s="195">
        <f>IF(S177="","",$B177*'AEO 2017_Table 13'!U$26/'AEO 2017_Table 13'!$C$26)</f>
        <v>14.602169383097023</v>
      </c>
      <c r="U177" s="195">
        <f>IF(T177="","",$B177*'AEO 2017_Table 13'!V$26/'AEO 2017_Table 13'!$C$26)</f>
        <v>14.580306385682178</v>
      </c>
      <c r="V177" s="195">
        <f>IF(U177="","",$B177*'AEO 2017_Table 13'!W$26/'AEO 2017_Table 13'!$C$26)</f>
        <v>14.549366326069707</v>
      </c>
      <c r="W177" s="195">
        <f>IF(V177="","",$B177*'AEO 2017_Table 13'!X$26/'AEO 2017_Table 13'!$C$26)</f>
        <v>14.512918478979051</v>
      </c>
      <c r="X177" s="195">
        <f>IF(W177="","",$B177*'AEO 2017_Table 13'!Y$26/'AEO 2017_Table 13'!$C$26)</f>
        <v>14.478977055913601</v>
      </c>
      <c r="Y177" s="195">
        <f>IF(X177="","",$B177*'AEO 2017_Table 13'!Z$26/'AEO 2017_Table 13'!$C$26)</f>
        <v>14.45551502342445</v>
      </c>
      <c r="Z177" s="195">
        <f>IF(Y177="","",$B177*'AEO 2017_Table 13'!AA$26/'AEO 2017_Table 13'!$C$26)</f>
        <v>14.436716843235367</v>
      </c>
      <c r="AA177" s="195">
        <f>IF(Z177="","",$B177*'AEO 2017_Table 13'!AB$26/'AEO 2017_Table 13'!$C$26)</f>
        <v>14.428261628011082</v>
      </c>
      <c r="AB177" s="195">
        <f>IF(AA177="","",$B177*'AEO 2017_Table 13'!AC$26/'AEO 2017_Table 13'!$C$26)</f>
        <v>14.428185483483736</v>
      </c>
      <c r="AC177" s="195">
        <f>IF(AB177="","",$B177*'AEO 2017_Table 13'!AD$26/'AEO 2017_Table 13'!$C$26)</f>
        <v>14.426948134914326</v>
      </c>
      <c r="AD177" s="195">
        <f>IF(AC177="","",$B177*'AEO 2017_Table 13'!AE$26/'AEO 2017_Table 13'!$C$26)</f>
        <v>14.426212071149962</v>
      </c>
      <c r="AE177" s="195">
        <f>IF(AD177="","",$B177*'AEO 2017_Table 13'!AF$26/'AEO 2017_Table 13'!$C$26)</f>
        <v>14.427681025990054</v>
      </c>
      <c r="AF177" s="195">
        <f>IF(AE177="","",$B177*'AEO 2017_Table 13'!AG$26/'AEO 2017_Table 13'!$C$26)</f>
        <v>14.431069457457049</v>
      </c>
      <c r="AG177" s="195">
        <f>IF(AF177="","",$B177*'AEO 2017_Table 13'!AH$26/'AEO 2017_Table 13'!$C$26)</f>
        <v>14.436450337389653</v>
      </c>
      <c r="AH177" s="195">
        <f>IF(AG177="","",$B177*'AEO 2017_Table 13'!AI$26/'AEO 2017_Table 13'!$C$26)</f>
        <v>14.443557159942147</v>
      </c>
      <c r="AI177" s="195">
        <f>IF(AH177="","",$B177*'AEO 2017_Table 13'!AJ$26/'AEO 2017_Table 13'!$C$26)</f>
        <v>14.449261654115981</v>
      </c>
      <c r="AJ177" s="195">
        <f>IF(AI177="","",$B177*'AEO 2017_Table 13'!AK$26/'AEO 2017_Table 13'!$C$26)</f>
        <v>14.452129764646093</v>
      </c>
      <c r="AK177" s="195">
        <f>IF(AJ177="","",$B177*'AEO 2017_Table 13'!AL$26/'AEO 2017_Table 13'!$C$26)</f>
        <v>14.456590564873242</v>
      </c>
    </row>
    <row r="178" spans="1:37" x14ac:dyDescent="0.25">
      <c r="A178" s="214" t="s">
        <v>1517</v>
      </c>
      <c r="B178" s="198">
        <v>5.7104673244022601</v>
      </c>
      <c r="C178" s="195">
        <f>IF(B178="","",$B178*'AEO 2017_Table 13'!D$26/'AEO 2017_Table 13'!$C$26)</f>
        <v>5.4784741386135645</v>
      </c>
      <c r="D178" s="195">
        <f>IF(C178="","",$B178*'AEO 2017_Table 13'!E$26/'AEO 2017_Table 13'!$C$26)</f>
        <v>5.7209401681410865</v>
      </c>
      <c r="E178" s="195">
        <f>IF(D178="","",$B178*'AEO 2017_Table 13'!F$26/'AEO 2017_Table 13'!$C$26)</f>
        <v>5.7780378545340696</v>
      </c>
      <c r="F178" s="195">
        <f>IF(E178="","",$B178*'AEO 2017_Table 13'!G$26/'AEO 2017_Table 13'!$C$26)</f>
        <v>5.7659979245248838</v>
      </c>
      <c r="G178" s="195">
        <f>IF(F178="","",$B178*'AEO 2017_Table 13'!H$26/'AEO 2017_Table 13'!$C$26)</f>
        <v>5.7574724796927796</v>
      </c>
      <c r="H178" s="195">
        <f>IF(G178="","",$B178*'AEO 2017_Table 13'!I$26/'AEO 2017_Table 13'!$C$26)</f>
        <v>5.7530028771129729</v>
      </c>
      <c r="I178" s="195">
        <f>IF(H178="","",$B178*'AEO 2017_Table 13'!J$26/'AEO 2017_Table 13'!$C$26)</f>
        <v>5.7513726118704493</v>
      </c>
      <c r="J178" s="195">
        <f>IF(I178="","",$B178*'AEO 2017_Table 13'!K$26/'AEO 2017_Table 13'!$C$26)</f>
        <v>5.7523215352562946</v>
      </c>
      <c r="K178" s="195">
        <f>IF(J178="","",$B178*'AEO 2017_Table 13'!L$26/'AEO 2017_Table 13'!$C$26)</f>
        <v>5.7568865256960366</v>
      </c>
      <c r="L178" s="195">
        <f>IF(K178="","",$B178*'AEO 2017_Table 13'!M$26/'AEO 2017_Table 13'!$C$26)</f>
        <v>5.7603923392494876</v>
      </c>
      <c r="M178" s="195">
        <f>IF(L178="","",$B178*'AEO 2017_Table 13'!N$26/'AEO 2017_Table 13'!$C$26)</f>
        <v>5.7583198212018107</v>
      </c>
      <c r="N178" s="195">
        <f>IF(M178="","",$B178*'AEO 2017_Table 13'!O$26/'AEO 2017_Table 13'!$C$26)</f>
        <v>5.7514568505000012</v>
      </c>
      <c r="O178" s="195">
        <f>IF(N178="","",$B178*'AEO 2017_Table 13'!P$26/'AEO 2017_Table 13'!$C$26)</f>
        <v>5.7427728388357977</v>
      </c>
      <c r="P178" s="195">
        <f>IF(O178="","",$B178*'AEO 2017_Table 13'!Q$26/'AEO 2017_Table 13'!$C$26)</f>
        <v>5.734636378263688</v>
      </c>
      <c r="Q178" s="195">
        <f>IF(P178="","",$B178*'AEO 2017_Table 13'!R$26/'AEO 2017_Table 13'!$C$26)</f>
        <v>5.728121511310472</v>
      </c>
      <c r="R178" s="195">
        <f>IF(Q178="","",$B178*'AEO 2017_Table 13'!S$26/'AEO 2017_Table 13'!$C$26)</f>
        <v>5.7206577209714098</v>
      </c>
      <c r="S178" s="195">
        <f>IF(R178="","",$B178*'AEO 2017_Table 13'!T$26/'AEO 2017_Table 13'!$C$26)</f>
        <v>5.7109801889998311</v>
      </c>
      <c r="T178" s="195">
        <f>IF(S178="","",$B178*'AEO 2017_Table 13'!U$26/'AEO 2017_Table 13'!$C$26)</f>
        <v>5.7015417460797782</v>
      </c>
      <c r="U178" s="195">
        <f>IF(T178="","",$B178*'AEO 2017_Table 13'!V$26/'AEO 2017_Table 13'!$C$26)</f>
        <v>5.6930051520172933</v>
      </c>
      <c r="V178" s="195">
        <f>IF(U178="","",$B178*'AEO 2017_Table 13'!W$26/'AEO 2017_Table 13'!$C$26)</f>
        <v>5.6809243414967066</v>
      </c>
      <c r="W178" s="195">
        <f>IF(V178="","",$B178*'AEO 2017_Table 13'!X$26/'AEO 2017_Table 13'!$C$26)</f>
        <v>5.6666929683157692</v>
      </c>
      <c r="X178" s="195">
        <f>IF(W178="","",$B178*'AEO 2017_Table 13'!Y$26/'AEO 2017_Table 13'!$C$26)</f>
        <v>5.6534402498016956</v>
      </c>
      <c r="Y178" s="195">
        <f>IF(X178="","",$B178*'AEO 2017_Table 13'!Z$26/'AEO 2017_Table 13'!$C$26)</f>
        <v>5.6442792988378176</v>
      </c>
      <c r="Z178" s="195">
        <f>IF(Y178="","",$B178*'AEO 2017_Table 13'!AA$26/'AEO 2017_Table 13'!$C$26)</f>
        <v>5.6369393888363319</v>
      </c>
      <c r="AA178" s="195">
        <f>IF(Z178="","",$B178*'AEO 2017_Table 13'!AB$26/'AEO 2017_Table 13'!$C$26)</f>
        <v>5.6336379778398848</v>
      </c>
      <c r="AB178" s="195">
        <f>IF(AA178="","",$B178*'AEO 2017_Table 13'!AC$26/'AEO 2017_Table 13'!$C$26)</f>
        <v>5.6336082465588664</v>
      </c>
      <c r="AC178" s="195">
        <f>IF(AB178="","",$B178*'AEO 2017_Table 13'!AD$26/'AEO 2017_Table 13'!$C$26)</f>
        <v>5.6331251132423121</v>
      </c>
      <c r="AD178" s="195">
        <f>IF(AC178="","",$B178*'AEO 2017_Table 13'!AE$26/'AEO 2017_Table 13'!$C$26)</f>
        <v>5.632837710859131</v>
      </c>
      <c r="AE178" s="195">
        <f>IF(AD178="","",$B178*'AEO 2017_Table 13'!AF$26/'AEO 2017_Table 13'!$C$26)</f>
        <v>5.6334112768221178</v>
      </c>
      <c r="AF178" s="195">
        <f>IF(AE178="","",$B178*'AEO 2017_Table 13'!AG$26/'AEO 2017_Table 13'!$C$26)</f>
        <v>5.6347343188274488</v>
      </c>
      <c r="AG178" s="195">
        <f>IF(AF178="","",$B178*'AEO 2017_Table 13'!AH$26/'AEO 2017_Table 13'!$C$26)</f>
        <v>5.6368353293527678</v>
      </c>
      <c r="AH178" s="195">
        <f>IF(AG178="","",$B178*'AEO 2017_Table 13'!AI$26/'AEO 2017_Table 13'!$C$26)</f>
        <v>5.6396102489145097</v>
      </c>
      <c r="AI178" s="195">
        <f>IF(AH178="","",$B178*'AEO 2017_Table 13'!AJ$26/'AEO 2017_Table 13'!$C$26)</f>
        <v>5.6418376173841587</v>
      </c>
      <c r="AJ178" s="195">
        <f>IF(AI178="","",$B178*'AEO 2017_Table 13'!AK$26/'AEO 2017_Table 13'!$C$26)</f>
        <v>5.6429574956358621</v>
      </c>
      <c r="AK178" s="195">
        <f>IF(AJ178="","",$B178*'AEO 2017_Table 13'!AL$26/'AEO 2017_Table 13'!$C$26)</f>
        <v>5.6446992531822069</v>
      </c>
    </row>
    <row r="179" spans="1:37" x14ac:dyDescent="0.25">
      <c r="A179" s="214" t="s">
        <v>1518</v>
      </c>
      <c r="B179" s="198">
        <v>3.8245252689151275</v>
      </c>
      <c r="C179" s="195">
        <f>IF(B179="","",$B179*'AEO 2017_Table 13'!D$26/'AEO 2017_Table 13'!$C$26)</f>
        <v>3.6691502792932651</v>
      </c>
      <c r="D179" s="195">
        <f>IF(C179="","",$B179*'AEO 2017_Table 13'!E$26/'AEO 2017_Table 13'!$C$26)</f>
        <v>3.8315393455644031</v>
      </c>
      <c r="E179" s="195">
        <f>IF(D179="","",$B179*'AEO 2017_Table 13'!F$26/'AEO 2017_Table 13'!$C$26)</f>
        <v>3.8697799188837525</v>
      </c>
      <c r="F179" s="195">
        <f>IF(E179="","",$B179*'AEO 2017_Table 13'!G$26/'AEO 2017_Table 13'!$C$26)</f>
        <v>3.8617163027311259</v>
      </c>
      <c r="G179" s="195">
        <f>IF(F179="","",$B179*'AEO 2017_Table 13'!H$26/'AEO 2017_Table 13'!$C$26)</f>
        <v>3.8560064759626944</v>
      </c>
      <c r="H179" s="195">
        <f>IF(G179="","",$B179*'AEO 2017_Table 13'!I$26/'AEO 2017_Table 13'!$C$26)</f>
        <v>3.8530130067705262</v>
      </c>
      <c r="I179" s="195">
        <f>IF(H179="","",$B179*'AEO 2017_Table 13'!J$26/'AEO 2017_Table 13'!$C$26)</f>
        <v>3.8519211538168423</v>
      </c>
      <c r="J179" s="195">
        <f>IF(I179="","",$B179*'AEO 2017_Table 13'!K$26/'AEO 2017_Table 13'!$C$26)</f>
        <v>3.8525566852473294</v>
      </c>
      <c r="K179" s="195">
        <f>IF(J179="","",$B179*'AEO 2017_Table 13'!L$26/'AEO 2017_Table 13'!$C$26)</f>
        <v>3.8556140394527452</v>
      </c>
      <c r="L179" s="195">
        <f>IF(K179="","",$B179*'AEO 2017_Table 13'!M$26/'AEO 2017_Table 13'!$C$26)</f>
        <v>3.8579620211084644</v>
      </c>
      <c r="M179" s="195">
        <f>IF(L179="","",$B179*'AEO 2017_Table 13'!N$26/'AEO 2017_Table 13'!$C$26)</f>
        <v>3.8565739740024503</v>
      </c>
      <c r="N179" s="195">
        <f>IF(M179="","",$B179*'AEO 2017_Table 13'!O$26/'AEO 2017_Table 13'!$C$26)</f>
        <v>3.8519775717506186</v>
      </c>
      <c r="O179" s="195">
        <f>IF(N179="","",$B179*'AEO 2017_Table 13'!P$26/'AEO 2017_Table 13'!$C$26)</f>
        <v>3.8461615465186072</v>
      </c>
      <c r="P179" s="195">
        <f>IF(O179="","",$B179*'AEO 2017_Table 13'!Q$26/'AEO 2017_Table 13'!$C$26)</f>
        <v>3.8407122378561458</v>
      </c>
      <c r="Q179" s="195">
        <f>IF(P179="","",$B179*'AEO 2017_Table 13'!R$26/'AEO 2017_Table 13'!$C$26)</f>
        <v>3.8363489744188923</v>
      </c>
      <c r="R179" s="195">
        <f>IF(Q179="","",$B179*'AEO 2017_Table 13'!S$26/'AEO 2017_Table 13'!$C$26)</f>
        <v>3.8313501795511509</v>
      </c>
      <c r="S179" s="195">
        <f>IF(R179="","",$B179*'AEO 2017_Table 13'!T$26/'AEO 2017_Table 13'!$C$26)</f>
        <v>3.8248687545707689</v>
      </c>
      <c r="T179" s="195">
        <f>IF(S179="","",$B179*'AEO 2017_Table 13'!U$26/'AEO 2017_Table 13'!$C$26)</f>
        <v>3.8185474569612552</v>
      </c>
      <c r="U179" s="195">
        <f>IF(T179="","",$B179*'AEO 2017_Table 13'!V$26/'AEO 2017_Table 13'!$C$26)</f>
        <v>3.8128301631133539</v>
      </c>
      <c r="V179" s="195">
        <f>IF(U179="","",$B179*'AEO 2017_Table 13'!W$26/'AEO 2017_Table 13'!$C$26)</f>
        <v>3.8047391676693341</v>
      </c>
      <c r="W179" s="195">
        <f>IF(V179="","",$B179*'AEO 2017_Table 13'!X$26/'AEO 2017_Table 13'!$C$26)</f>
        <v>3.7952078555630075</v>
      </c>
      <c r="X179" s="195">
        <f>IF(W179="","",$B179*'AEO 2017_Table 13'!Y$26/'AEO 2017_Table 13'!$C$26)</f>
        <v>3.7863319870990906</v>
      </c>
      <c r="Y179" s="195">
        <f>IF(X179="","",$B179*'AEO 2017_Table 13'!Z$26/'AEO 2017_Table 13'!$C$26)</f>
        <v>3.7801965368008417</v>
      </c>
      <c r="Z179" s="195">
        <f>IF(Y179="","",$B179*'AEO 2017_Table 13'!AA$26/'AEO 2017_Table 13'!$C$26)</f>
        <v>3.7752807094827716</v>
      </c>
      <c r="AA179" s="195">
        <f>IF(Z179="","",$B179*'AEO 2017_Table 13'!AB$26/'AEO 2017_Table 13'!$C$26)</f>
        <v>3.7730696242840116</v>
      </c>
      <c r="AB179" s="195">
        <f>IF(AA179="","",$B179*'AEO 2017_Table 13'!AC$26/'AEO 2017_Table 13'!$C$26)</f>
        <v>3.7730497120720905</v>
      </c>
      <c r="AC179" s="195">
        <f>IF(AB179="","",$B179*'AEO 2017_Table 13'!AD$26/'AEO 2017_Table 13'!$C$26)</f>
        <v>3.7727261386283693</v>
      </c>
      <c r="AD179" s="195">
        <f>IF(AC179="","",$B179*'AEO 2017_Table 13'!AE$26/'AEO 2017_Table 13'!$C$26)</f>
        <v>3.7725336539131296</v>
      </c>
      <c r="AE179" s="195">
        <f>IF(AD179="","",$B179*'AEO 2017_Table 13'!AF$26/'AEO 2017_Table 13'!$C$26)</f>
        <v>3.7729177936681113</v>
      </c>
      <c r="AF179" s="195">
        <f>IF(AE179="","",$B179*'AEO 2017_Table 13'!AG$26/'AEO 2017_Table 13'!$C$26)</f>
        <v>3.7738038870986097</v>
      </c>
      <c r="AG179" s="195">
        <f>IF(AF179="","",$B179*'AEO 2017_Table 13'!AH$26/'AEO 2017_Table 13'!$C$26)</f>
        <v>3.7752110167410478</v>
      </c>
      <c r="AH179" s="195">
        <f>IF(AG179="","",$B179*'AEO 2017_Table 13'!AI$26/'AEO 2017_Table 13'!$C$26)</f>
        <v>3.7770694898537016</v>
      </c>
      <c r="AI179" s="195">
        <f>IF(AH179="","",$B179*'AEO 2017_Table 13'!AJ$26/'AEO 2017_Table 13'!$C$26)</f>
        <v>3.778561246396805</v>
      </c>
      <c r="AJ179" s="195">
        <f>IF(AI179="","",$B179*'AEO 2017_Table 13'!AK$26/'AEO 2017_Table 13'!$C$26)</f>
        <v>3.7793112730458409</v>
      </c>
      <c r="AK179" s="195">
        <f>IF(AJ179="","",$B179*'AEO 2017_Table 13'!AL$26/'AEO 2017_Table 13'!$C$26)</f>
        <v>3.78047779679423</v>
      </c>
    </row>
    <row r="180" spans="1:37" x14ac:dyDescent="0.25">
      <c r="A180" s="214" t="s">
        <v>1519</v>
      </c>
      <c r="B180" s="198">
        <v>0.21906293183999997</v>
      </c>
      <c r="C180" s="195">
        <f>IF(B180="","",$B180*'AEO 2017_Table 13'!D$26/'AEO 2017_Table 13'!$C$26)</f>
        <v>0.21016329113483351</v>
      </c>
      <c r="D180" s="195">
        <f>IF(C180="","",$B180*'AEO 2017_Table 13'!E$26/'AEO 2017_Table 13'!$C$26)</f>
        <v>0.21946468737484487</v>
      </c>
      <c r="E180" s="195">
        <f>IF(D180="","",$B180*'AEO 2017_Table 13'!F$26/'AEO 2017_Table 13'!$C$26)</f>
        <v>0.22165504866613148</v>
      </c>
      <c r="F180" s="195">
        <f>IF(E180="","",$B180*'AEO 2017_Table 13'!G$26/'AEO 2017_Table 13'!$C$26)</f>
        <v>0.22119317712092712</v>
      </c>
      <c r="G180" s="195">
        <f>IF(F180="","",$B180*'AEO 2017_Table 13'!H$26/'AEO 2017_Table 13'!$C$26)</f>
        <v>0.22086612701555658</v>
      </c>
      <c r="H180" s="195">
        <f>IF(G180="","",$B180*'AEO 2017_Table 13'!I$26/'AEO 2017_Table 13'!$C$26)</f>
        <v>0.22069466569905308</v>
      </c>
      <c r="I180" s="195">
        <f>IF(H180="","",$B180*'AEO 2017_Table 13'!J$26/'AEO 2017_Table 13'!$C$26)</f>
        <v>0.2206321260392641</v>
      </c>
      <c r="J180" s="195">
        <f>IF(I180="","",$B180*'AEO 2017_Table 13'!K$26/'AEO 2017_Table 13'!$C$26)</f>
        <v>0.2206685283032446</v>
      </c>
      <c r="K180" s="195">
        <f>IF(J180="","",$B180*'AEO 2017_Table 13'!L$26/'AEO 2017_Table 13'!$C$26)</f>
        <v>0.22084364885516125</v>
      </c>
      <c r="L180" s="195">
        <f>IF(K180="","",$B180*'AEO 2017_Table 13'!M$26/'AEO 2017_Table 13'!$C$26)</f>
        <v>0.22097813763723026</v>
      </c>
      <c r="M180" s="195">
        <f>IF(L180="","",$B180*'AEO 2017_Table 13'!N$26/'AEO 2017_Table 13'!$C$26)</f>
        <v>0.2208986324314347</v>
      </c>
      <c r="N180" s="195">
        <f>IF(M180="","",$B180*'AEO 2017_Table 13'!O$26/'AEO 2017_Table 13'!$C$26)</f>
        <v>0.2206353575718368</v>
      </c>
      <c r="O180" s="195">
        <f>IF(N180="","",$B180*'AEO 2017_Table 13'!P$26/'AEO 2017_Table 13'!$C$26)</f>
        <v>0.22030222458162352</v>
      </c>
      <c r="P180" s="195">
        <f>IF(O180="","",$B180*'AEO 2017_Table 13'!Q$26/'AEO 2017_Table 13'!$C$26)</f>
        <v>0.2199900965531327</v>
      </c>
      <c r="Q180" s="195">
        <f>IF(P180="","",$B180*'AEO 2017_Table 13'!R$26/'AEO 2017_Table 13'!$C$26)</f>
        <v>0.21974017552666605</v>
      </c>
      <c r="R180" s="195">
        <f>IF(Q180="","",$B180*'AEO 2017_Table 13'!S$26/'AEO 2017_Table 13'!$C$26)</f>
        <v>0.2194538522362188</v>
      </c>
      <c r="S180" s="195">
        <f>IF(R180="","",$B180*'AEO 2017_Table 13'!T$26/'AEO 2017_Table 13'!$C$26)</f>
        <v>0.21908260617066302</v>
      </c>
      <c r="T180" s="195">
        <f>IF(S180="","",$B180*'AEO 2017_Table 13'!U$26/'AEO 2017_Table 13'!$C$26)</f>
        <v>0.21872053195490915</v>
      </c>
      <c r="U180" s="195">
        <f>IF(T180="","",$B180*'AEO 2017_Table 13'!V$26/'AEO 2017_Table 13'!$C$26)</f>
        <v>0.21839305414669813</v>
      </c>
      <c r="V180" s="195">
        <f>IF(U180="","",$B180*'AEO 2017_Table 13'!W$26/'AEO 2017_Table 13'!$C$26)</f>
        <v>0.21792961435774524</v>
      </c>
      <c r="W180" s="195">
        <f>IF(V180="","",$B180*'AEO 2017_Table 13'!X$26/'AEO 2017_Table 13'!$C$26)</f>
        <v>0.21738367544311329</v>
      </c>
      <c r="X180" s="195">
        <f>IF(W180="","",$B180*'AEO 2017_Table 13'!Y$26/'AEO 2017_Table 13'!$C$26)</f>
        <v>0.21687527933336984</v>
      </c>
      <c r="Y180" s="195">
        <f>IF(X180="","",$B180*'AEO 2017_Table 13'!Z$26/'AEO 2017_Table 13'!$C$26)</f>
        <v>0.21652385016609069</v>
      </c>
      <c r="Z180" s="195">
        <f>IF(Y180="","",$B180*'AEO 2017_Table 13'!AA$26/'AEO 2017_Table 13'!$C$26)</f>
        <v>0.21624227912942681</v>
      </c>
      <c r="AA180" s="195">
        <f>IF(Z180="","",$B180*'AEO 2017_Table 13'!AB$26/'AEO 2017_Table 13'!$C$26)</f>
        <v>0.21611563156610039</v>
      </c>
      <c r="AB180" s="195">
        <f>IF(AA180="","",$B180*'AEO 2017_Table 13'!AC$26/'AEO 2017_Table 13'!$C$26)</f>
        <v>0.2161144910251924</v>
      </c>
      <c r="AC180" s="195">
        <f>IF(AB180="","",$B180*'AEO 2017_Table 13'!AD$26/'AEO 2017_Table 13'!$C$26)</f>
        <v>0.21609595723543731</v>
      </c>
      <c r="AD180" s="195">
        <f>IF(AC180="","",$B180*'AEO 2017_Table 13'!AE$26/'AEO 2017_Table 13'!$C$26)</f>
        <v>0.21608493200665987</v>
      </c>
      <c r="AE180" s="195">
        <f>IF(AD180="","",$B180*'AEO 2017_Table 13'!AF$26/'AEO 2017_Table 13'!$C$26)</f>
        <v>0.21610693494167688</v>
      </c>
      <c r="AF180" s="195">
        <f>IF(AE180="","",$B180*'AEO 2017_Table 13'!AG$26/'AEO 2017_Table 13'!$C$26)</f>
        <v>0.21615768901208313</v>
      </c>
      <c r="AG180" s="195">
        <f>IF(AF180="","",$B180*'AEO 2017_Table 13'!AH$26/'AEO 2017_Table 13'!$C$26)</f>
        <v>0.21623828723624883</v>
      </c>
      <c r="AH180" s="195">
        <f>IF(AG180="","",$B180*'AEO 2017_Table 13'!AI$26/'AEO 2017_Table 13'!$C$26)</f>
        <v>0.21634473772099599</v>
      </c>
      <c r="AI180" s="195">
        <f>IF(AH180="","",$B180*'AEO 2017_Table 13'!AJ$26/'AEO 2017_Table 13'!$C$26)</f>
        <v>0.21643018324402072</v>
      </c>
      <c r="AJ180" s="195">
        <f>IF(AI180="","",$B180*'AEO 2017_Table 13'!AK$26/'AEO 2017_Table 13'!$C$26)</f>
        <v>0.21647314361822229</v>
      </c>
      <c r="AK180" s="195">
        <f>IF(AJ180="","",$B180*'AEO 2017_Table 13'!AL$26/'AEO 2017_Table 13'!$C$26)</f>
        <v>0.21653996030641628</v>
      </c>
    </row>
    <row r="181" spans="1:37" x14ac:dyDescent="0.25">
      <c r="A181" s="214" t="s">
        <v>1520</v>
      </c>
      <c r="B181" s="198">
        <v>1.9095912262674126</v>
      </c>
      <c r="C181" s="195">
        <f>IF(B181="","",$B181*'AEO 2017_Table 13'!D$26/'AEO 2017_Table 13'!$C$26)</f>
        <v>1.8320122599641093</v>
      </c>
      <c r="D181" s="195">
        <f>IF(C181="","",$B181*'AEO 2017_Table 13'!E$26/'AEO 2017_Table 13'!$C$26)</f>
        <v>1.9130933653011608</v>
      </c>
      <c r="E181" s="195">
        <f>IF(D181="","",$B181*'AEO 2017_Table 13'!F$26/'AEO 2017_Table 13'!$C$26)</f>
        <v>1.9321869411474459</v>
      </c>
      <c r="F181" s="195">
        <f>IF(E181="","",$B181*'AEO 2017_Table 13'!G$26/'AEO 2017_Table 13'!$C$26)</f>
        <v>1.9281607654591331</v>
      </c>
      <c r="G181" s="195">
        <f>IF(F181="","",$B181*'AEO 2017_Table 13'!H$26/'AEO 2017_Table 13'!$C$26)</f>
        <v>1.92530984035501</v>
      </c>
      <c r="H181" s="195">
        <f>IF(G181="","",$B181*'AEO 2017_Table 13'!I$26/'AEO 2017_Table 13'!$C$26)</f>
        <v>1.9238151966793813</v>
      </c>
      <c r="I181" s="195">
        <f>IF(H181="","",$B181*'AEO 2017_Table 13'!J$26/'AEO 2017_Table 13'!$C$26)</f>
        <v>1.923270032855344</v>
      </c>
      <c r="J181" s="195">
        <f>IF(I181="","",$B181*'AEO 2017_Table 13'!K$26/'AEO 2017_Table 13'!$C$26)</f>
        <v>1.9235873546556572</v>
      </c>
      <c r="K181" s="195">
        <f>IF(J181="","",$B181*'AEO 2017_Table 13'!L$26/'AEO 2017_Table 13'!$C$26)</f>
        <v>1.925113896214607</v>
      </c>
      <c r="L181" s="195">
        <f>IF(K181="","",$B181*'AEO 2017_Table 13'!M$26/'AEO 2017_Table 13'!$C$26)</f>
        <v>1.926286246991223</v>
      </c>
      <c r="M181" s="195">
        <f>IF(L181="","",$B181*'AEO 2017_Table 13'!N$26/'AEO 2017_Table 13'!$C$26)</f>
        <v>1.9255931929808774</v>
      </c>
      <c r="N181" s="195">
        <f>IF(M181="","",$B181*'AEO 2017_Table 13'!O$26/'AEO 2017_Table 13'!$C$26)</f>
        <v>1.9232982024146403</v>
      </c>
      <c r="O181" s="195">
        <f>IF(N181="","",$B181*'AEO 2017_Table 13'!P$26/'AEO 2017_Table 13'!$C$26)</f>
        <v>1.9203942522577233</v>
      </c>
      <c r="P181" s="195">
        <f>IF(O181="","",$B181*'AEO 2017_Table 13'!Q$26/'AEO 2017_Table 13'!$C$26)</f>
        <v>1.9176734042362353</v>
      </c>
      <c r="Q181" s="195">
        <f>IF(P181="","",$B181*'AEO 2017_Table 13'!R$26/'AEO 2017_Table 13'!$C$26)</f>
        <v>1.9154948202312108</v>
      </c>
      <c r="R181" s="195">
        <f>IF(Q181="","",$B181*'AEO 2017_Table 13'!S$26/'AEO 2017_Table 13'!$C$26)</f>
        <v>1.9129989144258714</v>
      </c>
      <c r="S181" s="195">
        <f>IF(R181="","",$B181*'AEO 2017_Table 13'!T$26/'AEO 2017_Table 13'!$C$26)</f>
        <v>1.9097627291725428</v>
      </c>
      <c r="T181" s="195">
        <f>IF(S181="","",$B181*'AEO 2017_Table 13'!U$26/'AEO 2017_Table 13'!$C$26)</f>
        <v>1.9066064957566298</v>
      </c>
      <c r="U181" s="195">
        <f>IF(T181="","",$B181*'AEO 2017_Table 13'!V$26/'AEO 2017_Table 13'!$C$26)</f>
        <v>1.903751842328482</v>
      </c>
      <c r="V181" s="195">
        <f>IF(U181="","",$B181*'AEO 2017_Table 13'!W$26/'AEO 2017_Table 13'!$C$26)</f>
        <v>1.8997119961187454</v>
      </c>
      <c r="W181" s="195">
        <f>IF(V181="","",$B181*'AEO 2017_Table 13'!X$26/'AEO 2017_Table 13'!$C$26)</f>
        <v>1.8949529976304911</v>
      </c>
      <c r="X181" s="195">
        <f>IF(W181="","",$B181*'AEO 2017_Table 13'!Y$26/'AEO 2017_Table 13'!$C$26)</f>
        <v>1.8905212631399493</v>
      </c>
      <c r="Y181" s="195">
        <f>IF(X181="","",$B181*'AEO 2017_Table 13'!Z$26/'AEO 2017_Table 13'!$C$26)</f>
        <v>1.8874578235664257</v>
      </c>
      <c r="Z181" s="195">
        <f>IF(Y181="","",$B181*'AEO 2017_Table 13'!AA$26/'AEO 2017_Table 13'!$C$26)</f>
        <v>1.885003343583582</v>
      </c>
      <c r="AA181" s="195">
        <f>IF(Z181="","",$B181*'AEO 2017_Table 13'!AB$26/'AEO 2017_Table 13'!$C$26)</f>
        <v>1.883899345414084</v>
      </c>
      <c r="AB181" s="195">
        <f>IF(AA181="","",$B181*'AEO 2017_Table 13'!AC$26/'AEO 2017_Table 13'!$C$26)</f>
        <v>1.8838894032166851</v>
      </c>
      <c r="AC181" s="195">
        <f>IF(AB181="","",$B181*'AEO 2017_Table 13'!AD$26/'AEO 2017_Table 13'!$C$26)</f>
        <v>1.8837278425089534</v>
      </c>
      <c r="AD181" s="195">
        <f>IF(AC181="","",$B181*'AEO 2017_Table 13'!AE$26/'AEO 2017_Table 13'!$C$26)</f>
        <v>1.8836317346007643</v>
      </c>
      <c r="AE181" s="195">
        <f>IF(AD181="","",$B181*'AEO 2017_Table 13'!AF$26/'AEO 2017_Table 13'!$C$26)</f>
        <v>1.8838235361589177</v>
      </c>
      <c r="AF181" s="195">
        <f>IF(AE181="","",$B181*'AEO 2017_Table 13'!AG$26/'AEO 2017_Table 13'!$C$26)</f>
        <v>1.8842659639431669</v>
      </c>
      <c r="AG181" s="195">
        <f>IF(AF181="","",$B181*'AEO 2017_Table 13'!AH$26/'AEO 2017_Table 13'!$C$26)</f>
        <v>1.8849685458926864</v>
      </c>
      <c r="AH181" s="195">
        <f>IF(AG181="","",$B181*'AEO 2017_Table 13'!AI$26/'AEO 2017_Table 13'!$C$26)</f>
        <v>1.8858964843165797</v>
      </c>
      <c r="AI181" s="195">
        <f>IF(AH181="","",$B181*'AEO 2017_Table 13'!AJ$26/'AEO 2017_Table 13'!$C$26)</f>
        <v>1.8866413206050443</v>
      </c>
      <c r="AJ181" s="195">
        <f>IF(AI181="","",$B181*'AEO 2017_Table 13'!AK$26/'AEO 2017_Table 13'!$C$26)</f>
        <v>1.8870158100404013</v>
      </c>
      <c r="AK181" s="195">
        <f>IF(AJ181="","",$B181*'AEO 2017_Table 13'!AL$26/'AEO 2017_Table 13'!$C$26)</f>
        <v>1.8875982571046845</v>
      </c>
    </row>
    <row r="182" spans="1:37" x14ac:dyDescent="0.25">
      <c r="A182" s="214" t="s">
        <v>1521</v>
      </c>
      <c r="B182" s="198">
        <v>0.61042027679999999</v>
      </c>
      <c r="C182" s="195">
        <f>IF(B182="","",$B182*'AEO 2017_Table 13'!D$26/'AEO 2017_Table 13'!$C$26)</f>
        <v>0.5856213703988199</v>
      </c>
      <c r="D182" s="195">
        <f>IF(C182="","",$B182*'AEO 2017_Table 13'!E$26/'AEO 2017_Table 13'!$C$26)</f>
        <v>0.61153977119700309</v>
      </c>
      <c r="E182" s="195">
        <f>IF(D182="","",$B182*'AEO 2017_Table 13'!F$26/'AEO 2017_Table 13'!$C$26)</f>
        <v>0.61764322710571762</v>
      </c>
      <c r="F182" s="195">
        <f>IF(E182="","",$B182*'AEO 2017_Table 13'!G$26/'AEO 2017_Table 13'!$C$26)</f>
        <v>0.61635621905692728</v>
      </c>
      <c r="G182" s="195">
        <f>IF(F182="","",$B182*'AEO 2017_Table 13'!H$26/'AEO 2017_Table 13'!$C$26)</f>
        <v>0.61544489182246132</v>
      </c>
      <c r="H182" s="195">
        <f>IF(G182="","",$B182*'AEO 2017_Table 13'!I$26/'AEO 2017_Table 13'!$C$26)</f>
        <v>0.61496711375475521</v>
      </c>
      <c r="I182" s="195">
        <f>IF(H182="","",$B182*'AEO 2017_Table 13'!J$26/'AEO 2017_Table 13'!$C$26)</f>
        <v>0.61479284658815281</v>
      </c>
      <c r="J182" s="195">
        <f>IF(I182="","",$B182*'AEO 2017_Table 13'!K$26/'AEO 2017_Table 13'!$C$26)</f>
        <v>0.61489428173223892</v>
      </c>
      <c r="K182" s="195">
        <f>IF(J182="","",$B182*'AEO 2017_Table 13'!L$26/'AEO 2017_Table 13'!$C$26)</f>
        <v>0.61538225628309728</v>
      </c>
      <c r="L182" s="195">
        <f>IF(K182="","",$B182*'AEO 2017_Table 13'!M$26/'AEO 2017_Table 13'!$C$26)</f>
        <v>0.61575701014440776</v>
      </c>
      <c r="M182" s="195">
        <f>IF(L182="","",$B182*'AEO 2017_Table 13'!N$26/'AEO 2017_Table 13'!$C$26)</f>
        <v>0.61553546837409956</v>
      </c>
      <c r="N182" s="195">
        <f>IF(M182="","",$B182*'AEO 2017_Table 13'!O$26/'AEO 2017_Table 13'!$C$26)</f>
        <v>0.61480185127457299</v>
      </c>
      <c r="O182" s="195">
        <f>IF(N182="","",$B182*'AEO 2017_Table 13'!P$26/'AEO 2017_Table 13'!$C$26)</f>
        <v>0.61387357404213949</v>
      </c>
      <c r="P182" s="195">
        <f>IF(O182="","",$B182*'AEO 2017_Table 13'!Q$26/'AEO 2017_Table 13'!$C$26)</f>
        <v>0.61300382727143732</v>
      </c>
      <c r="Q182" s="195">
        <f>IF(P182="","",$B182*'AEO 2017_Table 13'!R$26/'AEO 2017_Table 13'!$C$26)</f>
        <v>0.61230742071432365</v>
      </c>
      <c r="R182" s="195">
        <f>IF(Q182="","",$B182*'AEO 2017_Table 13'!S$26/'AEO 2017_Table 13'!$C$26)</f>
        <v>0.61150957901312364</v>
      </c>
      <c r="S182" s="195">
        <f>IF(R182="","",$B182*'AEO 2017_Table 13'!T$26/'AEO 2017_Table 13'!$C$26)</f>
        <v>0.61047509944967571</v>
      </c>
      <c r="T182" s="195">
        <f>IF(S182="","",$B182*'AEO 2017_Table 13'!U$26/'AEO 2017_Table 13'!$C$26)</f>
        <v>0.60946617730503805</v>
      </c>
      <c r="U182" s="195">
        <f>IF(T182="","",$B182*'AEO 2017_Table 13'!V$26/'AEO 2017_Table 13'!$C$26)</f>
        <v>0.60855365827384</v>
      </c>
      <c r="V182" s="195">
        <f>IF(U182="","",$B182*'AEO 2017_Table 13'!W$26/'AEO 2017_Table 13'!$C$26)</f>
        <v>0.60726228030369866</v>
      </c>
      <c r="W182" s="195">
        <f>IF(V182="","",$B182*'AEO 2017_Table 13'!X$26/'AEO 2017_Table 13'!$C$26)</f>
        <v>0.60574101798612445</v>
      </c>
      <c r="X182" s="195">
        <f>IF(W182="","",$B182*'AEO 2017_Table 13'!Y$26/'AEO 2017_Table 13'!$C$26)</f>
        <v>0.60432436893725516</v>
      </c>
      <c r="Y182" s="195">
        <f>IF(X182="","",$B182*'AEO 2017_Table 13'!Z$26/'AEO 2017_Table 13'!$C$26)</f>
        <v>0.60334510928906049</v>
      </c>
      <c r="Z182" s="195">
        <f>IF(Y182="","",$B182*'AEO 2017_Table 13'!AA$26/'AEO 2017_Table 13'!$C$26)</f>
        <v>0.60256050977377251</v>
      </c>
      <c r="AA182" s="195">
        <f>IF(Z182="","",$B182*'AEO 2017_Table 13'!AB$26/'AEO 2017_Table 13'!$C$26)</f>
        <v>0.60220760551921693</v>
      </c>
      <c r="AB182" s="195">
        <f>IF(AA182="","",$B182*'AEO 2017_Table 13'!AC$26/'AEO 2017_Table 13'!$C$26)</f>
        <v>0.60220442739459812</v>
      </c>
      <c r="AC182" s="195">
        <f>IF(AB182="","",$B182*'AEO 2017_Table 13'!AD$26/'AEO 2017_Table 13'!$C$26)</f>
        <v>0.6021527828695411</v>
      </c>
      <c r="AD182" s="195">
        <f>IF(AC182="","",$B182*'AEO 2017_Table 13'!AE$26/'AEO 2017_Table 13'!$C$26)</f>
        <v>0.60212206099822518</v>
      </c>
      <c r="AE182" s="195">
        <f>IF(AD182="","",$B182*'AEO 2017_Table 13'!AF$26/'AEO 2017_Table 13'!$C$26)</f>
        <v>0.60218337231899799</v>
      </c>
      <c r="AF182" s="195">
        <f>IF(AE182="","",$B182*'AEO 2017_Table 13'!AG$26/'AEO 2017_Table 13'!$C$26)</f>
        <v>0.60232479886453849</v>
      </c>
      <c r="AG182" s="195">
        <f>IF(AF182="","",$B182*'AEO 2017_Table 13'!AH$26/'AEO 2017_Table 13'!$C$26)</f>
        <v>0.60254938633760646</v>
      </c>
      <c r="AH182" s="195">
        <f>IF(AG182="","",$B182*'AEO 2017_Table 13'!AI$26/'AEO 2017_Table 13'!$C$26)</f>
        <v>0.60284601130203597</v>
      </c>
      <c r="AI182" s="195">
        <f>IF(AH182="","",$B182*'AEO 2017_Table 13'!AJ$26/'AEO 2017_Table 13'!$C$26)</f>
        <v>0.60308410580473426</v>
      </c>
      <c r="AJ182" s="195">
        <f>IF(AI182="","",$B182*'AEO 2017_Table 13'!AK$26/'AEO 2017_Table 13'!$C$26)</f>
        <v>0.60320381516537913</v>
      </c>
      <c r="AK182" s="195">
        <f>IF(AJ182="","",$B182*'AEO 2017_Table 13'!AL$26/'AEO 2017_Table 13'!$C$26)</f>
        <v>0.60339000029930234</v>
      </c>
    </row>
    <row r="183" spans="1:37" x14ac:dyDescent="0.25">
      <c r="A183" s="214" t="s">
        <v>1522</v>
      </c>
      <c r="B183" s="198">
        <v>6.5394392213348835</v>
      </c>
      <c r="C183" s="195">
        <f>IF(B183="","",$B183*'AEO 2017_Table 13'!D$26/'AEO 2017_Table 13'!$C$26)</f>
        <v>6.2737682609660093</v>
      </c>
      <c r="D183" s="195">
        <f>IF(C183="","",$B183*'AEO 2017_Table 13'!E$26/'AEO 2017_Table 13'!$C$26)</f>
        <v>6.551432377273616</v>
      </c>
      <c r="E183" s="195">
        <f>IF(D183="","",$B183*'AEO 2017_Table 13'!F$26/'AEO 2017_Table 13'!$C$26)</f>
        <v>6.6168187683751247</v>
      </c>
      <c r="F183" s="195">
        <f>IF(E183="","",$B183*'AEO 2017_Table 13'!G$26/'AEO 2017_Table 13'!$C$26)</f>
        <v>6.6030310368198197</v>
      </c>
      <c r="G183" s="195">
        <f>IF(F183="","",$B183*'AEO 2017_Table 13'!H$26/'AEO 2017_Table 13'!$C$26)</f>
        <v>6.5932679780109291</v>
      </c>
      <c r="H183" s="195">
        <f>IF(G183="","",$B183*'AEO 2017_Table 13'!I$26/'AEO 2017_Table 13'!$C$26)</f>
        <v>6.5881495362523594</v>
      </c>
      <c r="I183" s="195">
        <f>IF(H183="","",$B183*'AEO 2017_Table 13'!J$26/'AEO 2017_Table 13'!$C$26)</f>
        <v>6.5862826101563838</v>
      </c>
      <c r="J183" s="195">
        <f>IF(I183="","",$B183*'AEO 2017_Table 13'!K$26/'AEO 2017_Table 13'!$C$26)</f>
        <v>6.5873692859842841</v>
      </c>
      <c r="K183" s="195">
        <f>IF(J183="","",$B183*'AEO 2017_Table 13'!L$26/'AEO 2017_Table 13'!$C$26)</f>
        <v>6.5925969627803847</v>
      </c>
      <c r="L183" s="195">
        <f>IF(K183="","",$B183*'AEO 2017_Table 13'!M$26/'AEO 2017_Table 13'!$C$26)</f>
        <v>6.5966117050688418</v>
      </c>
      <c r="M183" s="195">
        <f>IF(L183="","",$B183*'AEO 2017_Table 13'!N$26/'AEO 2017_Table 13'!$C$26)</f>
        <v>6.5942383256170434</v>
      </c>
      <c r="N183" s="195">
        <f>IF(M183="","",$B183*'AEO 2017_Table 13'!O$26/'AEO 2017_Table 13'!$C$26)</f>
        <v>6.5863790774622553</v>
      </c>
      <c r="O183" s="195">
        <f>IF(N183="","",$B183*'AEO 2017_Table 13'!P$26/'AEO 2017_Table 13'!$C$26)</f>
        <v>6.5764344331364306</v>
      </c>
      <c r="P183" s="195">
        <f>IF(O183="","",$B183*'AEO 2017_Table 13'!Q$26/'AEO 2017_Table 13'!$C$26)</f>
        <v>6.5671168262987685</v>
      </c>
      <c r="Q183" s="195">
        <f>IF(P183="","",$B183*'AEO 2017_Table 13'!R$26/'AEO 2017_Table 13'!$C$26)</f>
        <v>6.5596562150991229</v>
      </c>
      <c r="R183" s="195">
        <f>IF(Q183="","",$B183*'AEO 2017_Table 13'!S$26/'AEO 2017_Table 13'!$C$26)</f>
        <v>6.551108928071578</v>
      </c>
      <c r="S183" s="195">
        <f>IF(R183="","",$B183*'AEO 2017_Table 13'!T$26/'AEO 2017_Table 13'!$C$26)</f>
        <v>6.5400265369912152</v>
      </c>
      <c r="T183" s="195">
        <f>IF(S183="","",$B183*'AEO 2017_Table 13'!U$26/'AEO 2017_Table 13'!$C$26)</f>
        <v>6.5292179428231041</v>
      </c>
      <c r="U183" s="195">
        <f>IF(T183="","",$B183*'AEO 2017_Table 13'!V$26/'AEO 2017_Table 13'!$C$26)</f>
        <v>6.5194421162825549</v>
      </c>
      <c r="V183" s="195">
        <f>IF(U183="","",$B183*'AEO 2017_Table 13'!W$26/'AEO 2017_Table 13'!$C$26)</f>
        <v>6.5056075697111657</v>
      </c>
      <c r="W183" s="195">
        <f>IF(V183="","",$B183*'AEO 2017_Table 13'!X$26/'AEO 2017_Table 13'!$C$26)</f>
        <v>6.4893102695663627</v>
      </c>
      <c r="X183" s="195">
        <f>IF(W183="","",$B183*'AEO 2017_Table 13'!Y$26/'AEO 2017_Table 13'!$C$26)</f>
        <v>6.4741336925338837</v>
      </c>
      <c r="Y183" s="195">
        <f>IF(X183="","",$B183*'AEO 2017_Table 13'!Z$26/'AEO 2017_Table 13'!$C$26)</f>
        <v>6.4636428730204063</v>
      </c>
      <c r="Z183" s="195">
        <f>IF(Y183="","",$B183*'AEO 2017_Table 13'!AA$26/'AEO 2017_Table 13'!$C$26)</f>
        <v>6.4552374496779654</v>
      </c>
      <c r="AA183" s="195">
        <f>IF(Z183="","",$B183*'AEO 2017_Table 13'!AB$26/'AEO 2017_Table 13'!$C$26)</f>
        <v>6.4514567824699309</v>
      </c>
      <c r="AB183" s="195">
        <f>IF(AA183="","",$B183*'AEO 2017_Table 13'!AC$26/'AEO 2017_Table 13'!$C$26)</f>
        <v>6.4514227351855071</v>
      </c>
      <c r="AC183" s="195">
        <f>IF(AB183="","",$B183*'AEO 2017_Table 13'!AD$26/'AEO 2017_Table 13'!$C$26)</f>
        <v>6.4508694668135984</v>
      </c>
      <c r="AD183" s="195">
        <f>IF(AC183="","",$B183*'AEO 2017_Table 13'!AE$26/'AEO 2017_Table 13'!$C$26)</f>
        <v>6.450540343064155</v>
      </c>
      <c r="AE183" s="195">
        <f>IF(AD183="","",$B183*'AEO 2017_Table 13'!AF$26/'AEO 2017_Table 13'!$C$26)</f>
        <v>6.4511971719261902</v>
      </c>
      <c r="AF183" s="195">
        <f>IF(AE183="","",$B183*'AEO 2017_Table 13'!AG$26/'AEO 2017_Table 13'!$C$26)</f>
        <v>6.4527122760831066</v>
      </c>
      <c r="AG183" s="195">
        <f>IF(AF183="","",$B183*'AEO 2017_Table 13'!AH$26/'AEO 2017_Table 13'!$C$26)</f>
        <v>6.4551182841824781</v>
      </c>
      <c r="AH183" s="195">
        <f>IF(AG183="","",$B183*'AEO 2017_Table 13'!AI$26/'AEO 2017_Table 13'!$C$26)</f>
        <v>6.4582960307288184</v>
      </c>
      <c r="AI183" s="195">
        <f>IF(AH183="","",$B183*'AEO 2017_Table 13'!AJ$26/'AEO 2017_Table 13'!$C$26)</f>
        <v>6.4608467397869971</v>
      </c>
      <c r="AJ183" s="195">
        <f>IF(AI183="","",$B183*'AEO 2017_Table 13'!AK$26/'AEO 2017_Table 13'!$C$26)</f>
        <v>6.4621291875003415</v>
      </c>
      <c r="AK183" s="195">
        <f>IF(AJ183="","",$B183*'AEO 2017_Table 13'!AL$26/'AEO 2017_Table 13'!$C$26)</f>
        <v>6.464123790912911</v>
      </c>
    </row>
    <row r="184" spans="1:37" x14ac:dyDescent="0.25">
      <c r="A184" s="214" t="s">
        <v>1523</v>
      </c>
      <c r="B184" s="198">
        <v>0.41221084031999994</v>
      </c>
      <c r="C184" s="195">
        <f>IF(B184="","",$B184*'AEO 2017_Table 13'!D$26/'AEO 2017_Table 13'!$C$26)</f>
        <v>0.39546438146998242</v>
      </c>
      <c r="D184" s="195">
        <f>IF(C184="","",$B184*'AEO 2017_Table 13'!E$26/'AEO 2017_Table 13'!$C$26)</f>
        <v>0.41296682393270251</v>
      </c>
      <c r="E184" s="195">
        <f>IF(D184="","",$B184*'AEO 2017_Table 13'!F$26/'AEO 2017_Table 13'!$C$26)</f>
        <v>0.41708842798913465</v>
      </c>
      <c r="F184" s="195">
        <f>IF(E184="","",$B184*'AEO 2017_Table 13'!G$26/'AEO 2017_Table 13'!$C$26)</f>
        <v>0.41621932404640261</v>
      </c>
      <c r="G184" s="195">
        <f>IF(F184="","",$B184*'AEO 2017_Table 13'!H$26/'AEO 2017_Table 13'!$C$26)</f>
        <v>0.41560391368176813</v>
      </c>
      <c r="H184" s="195">
        <f>IF(G184="","",$B184*'AEO 2017_Table 13'!I$26/'AEO 2017_Table 13'!$C$26)</f>
        <v>0.41528127482742333</v>
      </c>
      <c r="I184" s="195">
        <f>IF(H184="","",$B184*'AEO 2017_Table 13'!J$26/'AEO 2017_Table 13'!$C$26)</f>
        <v>0.41516359391491842</v>
      </c>
      <c r="J184" s="195">
        <f>IF(I184="","",$B184*'AEO 2017_Table 13'!K$26/'AEO 2017_Table 13'!$C$26)</f>
        <v>0.41523209207523659</v>
      </c>
      <c r="K184" s="195">
        <f>IF(J184="","",$B184*'AEO 2017_Table 13'!L$26/'AEO 2017_Table 13'!$C$26)</f>
        <v>0.41556161651488754</v>
      </c>
      <c r="L184" s="195">
        <f>IF(K184="","",$B184*'AEO 2017_Table 13'!M$26/'AEO 2017_Table 13'!$C$26)</f>
        <v>0.41581468413068468</v>
      </c>
      <c r="M184" s="195">
        <f>IF(L184="","",$B184*'AEO 2017_Table 13'!N$26/'AEO 2017_Table 13'!$C$26)</f>
        <v>0.41566507914085121</v>
      </c>
      <c r="N184" s="195">
        <f>IF(M184="","",$B184*'AEO 2017_Table 13'!O$26/'AEO 2017_Table 13'!$C$26)</f>
        <v>0.41516967469155236</v>
      </c>
      <c r="O184" s="195">
        <f>IF(N184="","",$B184*'AEO 2017_Table 13'!P$26/'AEO 2017_Table 13'!$C$26)</f>
        <v>0.41454281815913629</v>
      </c>
      <c r="P184" s="195">
        <f>IF(O184="","",$B184*'AEO 2017_Table 13'!Q$26/'AEO 2017_Table 13'!$C$26)</f>
        <v>0.41395548667484117</v>
      </c>
      <c r="Q184" s="195">
        <f>IF(P184="","",$B184*'AEO 2017_Table 13'!R$26/'AEO 2017_Table 13'!$C$26)</f>
        <v>0.41348521014075046</v>
      </c>
      <c r="R184" s="195">
        <f>IF(Q184="","",$B184*'AEO 2017_Table 13'!S$26/'AEO 2017_Table 13'!$C$26)</f>
        <v>0.41294643544634152</v>
      </c>
      <c r="S184" s="195">
        <f>IF(R184="","",$B184*'AEO 2017_Table 13'!T$26/'AEO 2017_Table 13'!$C$26)</f>
        <v>0.41224786151891857</v>
      </c>
      <c r="T184" s="195">
        <f>IF(S184="","",$B184*'AEO 2017_Table 13'!U$26/'AEO 2017_Table 13'!$C$26)</f>
        <v>0.41156654626635392</v>
      </c>
      <c r="U184" s="195">
        <f>IF(T184="","",$B184*'AEO 2017_Table 13'!V$26/'AEO 2017_Table 13'!$C$26)</f>
        <v>0.41095033109304741</v>
      </c>
      <c r="V184" s="195">
        <f>IF(U184="","",$B184*'AEO 2017_Table 13'!W$26/'AEO 2017_Table 13'!$C$26)</f>
        <v>0.41007827618518417</v>
      </c>
      <c r="W184" s="195">
        <f>IF(V184="","",$B184*'AEO 2017_Table 13'!X$26/'AEO 2017_Table 13'!$C$26)</f>
        <v>0.40905098262678247</v>
      </c>
      <c r="X184" s="195">
        <f>IF(W184="","",$B184*'AEO 2017_Table 13'!Y$26/'AEO 2017_Table 13'!$C$26)</f>
        <v>0.40809433338515799</v>
      </c>
      <c r="Y184" s="195">
        <f>IF(X184="","",$B184*'AEO 2017_Table 13'!Z$26/'AEO 2017_Table 13'!$C$26)</f>
        <v>0.40743304892621124</v>
      </c>
      <c r="Z184" s="195">
        <f>IF(Y184="","",$B184*'AEO 2017_Table 13'!AA$26/'AEO 2017_Table 13'!$C$26)</f>
        <v>0.4069032165503817</v>
      </c>
      <c r="AA184" s="195">
        <f>IF(Z184="","",$B184*'AEO 2017_Table 13'!AB$26/'AEO 2017_Table 13'!$C$26)</f>
        <v>0.40666490376024067</v>
      </c>
      <c r="AB184" s="195">
        <f>IF(AA184="","",$B184*'AEO 2017_Table 13'!AC$26/'AEO 2017_Table 13'!$C$26)</f>
        <v>0.40666275760378162</v>
      </c>
      <c r="AC184" s="195">
        <f>IF(AB184="","",$B184*'AEO 2017_Table 13'!AD$26/'AEO 2017_Table 13'!$C$26)</f>
        <v>0.40662788256132193</v>
      </c>
      <c r="AD184" s="195">
        <f>IF(AC184="","",$B184*'AEO 2017_Table 13'!AE$26/'AEO 2017_Table 13'!$C$26)</f>
        <v>0.40660713638221768</v>
      </c>
      <c r="AE184" s="195">
        <f>IF(AD184="","",$B184*'AEO 2017_Table 13'!AF$26/'AEO 2017_Table 13'!$C$26)</f>
        <v>0.40664853931724038</v>
      </c>
      <c r="AF184" s="195">
        <f>IF(AE184="","",$B184*'AEO 2017_Table 13'!AG$26/'AEO 2017_Table 13'!$C$26)</f>
        <v>0.4067440432796684</v>
      </c>
      <c r="AG184" s="195">
        <f>IF(AF184="","",$B184*'AEO 2017_Table 13'!AH$26/'AEO 2017_Table 13'!$C$26)</f>
        <v>0.40689570500277505</v>
      </c>
      <c r="AH184" s="195">
        <f>IF(AG184="","",$B184*'AEO 2017_Table 13'!AI$26/'AEO 2017_Table 13'!$C$26)</f>
        <v>0.40709601293895359</v>
      </c>
      <c r="AI184" s="195">
        <f>IF(AH184="","",$B184*'AEO 2017_Table 13'!AJ$26/'AEO 2017_Table 13'!$C$26)</f>
        <v>0.40725679582701124</v>
      </c>
      <c r="AJ184" s="195">
        <f>IF(AI184="","",$B184*'AEO 2017_Table 13'!AK$26/'AEO 2017_Table 13'!$C$26)</f>
        <v>0.40733763438696907</v>
      </c>
      <c r="AK184" s="195">
        <f>IF(AJ184="","",$B184*'AEO 2017_Table 13'!AL$26/'AEO 2017_Table 13'!$C$26)</f>
        <v>0.40746336338619543</v>
      </c>
    </row>
    <row r="185" spans="1:37" x14ac:dyDescent="0.25">
      <c r="A185" s="208" t="s">
        <v>1524</v>
      </c>
      <c r="B185" s="197">
        <v>0.38020184494672715</v>
      </c>
      <c r="C185" s="195">
        <f>IF(B185="","",$B185*'AEO 2017_Table 13'!D$26/'AEO 2017_Table 13'!$C$26)</f>
        <v>0.36475578208686066</v>
      </c>
      <c r="D185" s="195">
        <f>IF(C185="","",$B185*'AEO 2017_Table 13'!E$26/'AEO 2017_Table 13'!$C$26)</f>
        <v>0.38089912492140199</v>
      </c>
      <c r="E185" s="195">
        <f>IF(D185="","",$B185*'AEO 2017_Table 13'!F$26/'AEO 2017_Table 13'!$C$26)</f>
        <v>0.38470067818763559</v>
      </c>
      <c r="F185" s="195">
        <f>IF(E185="","",$B185*'AEO 2017_Table 13'!G$26/'AEO 2017_Table 13'!$C$26)</f>
        <v>0.38389906190257944</v>
      </c>
      <c r="G185" s="195">
        <f>IF(F185="","",$B185*'AEO 2017_Table 13'!H$26/'AEO 2017_Table 13'!$C$26)</f>
        <v>0.38333143938238629</v>
      </c>
      <c r="H185" s="195">
        <f>IF(G185="","",$B185*'AEO 2017_Table 13'!I$26/'AEO 2017_Table 13'!$C$26)</f>
        <v>0.3830338540797335</v>
      </c>
      <c r="I185" s="195">
        <f>IF(H185="","",$B185*'AEO 2017_Table 13'!J$26/'AEO 2017_Table 13'!$C$26)</f>
        <v>0.38292531132521829</v>
      </c>
      <c r="J185" s="195">
        <f>IF(I185="","",$B185*'AEO 2017_Table 13'!K$26/'AEO 2017_Table 13'!$C$26)</f>
        <v>0.38298849046652422</v>
      </c>
      <c r="K185" s="195">
        <f>IF(J185="","",$B185*'AEO 2017_Table 13'!L$26/'AEO 2017_Table 13'!$C$26)</f>
        <v>0.38329242667502633</v>
      </c>
      <c r="L185" s="195">
        <f>IF(K185="","",$B185*'AEO 2017_Table 13'!M$26/'AEO 2017_Table 13'!$C$26)</f>
        <v>0.38352584308481225</v>
      </c>
      <c r="M185" s="195">
        <f>IF(L185="","",$B185*'AEO 2017_Table 13'!N$26/'AEO 2017_Table 13'!$C$26)</f>
        <v>0.38338785522135932</v>
      </c>
      <c r="N185" s="195">
        <f>IF(M185="","",$B185*'AEO 2017_Table 13'!O$26/'AEO 2017_Table 13'!$C$26)</f>
        <v>0.38293091991739686</v>
      </c>
      <c r="O185" s="195">
        <f>IF(N185="","",$B185*'AEO 2017_Table 13'!P$26/'AEO 2017_Table 13'!$C$26)</f>
        <v>0.38235274004722047</v>
      </c>
      <c r="P185" s="195">
        <f>IF(O185="","",$B185*'AEO 2017_Table 13'!Q$26/'AEO 2017_Table 13'!$C$26)</f>
        <v>0.3818110160262051</v>
      </c>
      <c r="Q185" s="195">
        <f>IF(P185="","",$B185*'AEO 2017_Table 13'!R$26/'AEO 2017_Table 13'!$C$26)</f>
        <v>0.38137725740462769</v>
      </c>
      <c r="R185" s="195">
        <f>IF(Q185="","",$B185*'AEO 2017_Table 13'!S$26/'AEO 2017_Table 13'!$C$26)</f>
        <v>0.38088031964174429</v>
      </c>
      <c r="S185" s="195">
        <f>IF(R185="","",$B185*'AEO 2017_Table 13'!T$26/'AEO 2017_Table 13'!$C$26)</f>
        <v>0.38023599137557917</v>
      </c>
      <c r="T185" s="195">
        <f>IF(S185="","",$B185*'AEO 2017_Table 13'!U$26/'AEO 2017_Table 13'!$C$26)</f>
        <v>0.37960758161368563</v>
      </c>
      <c r="U185" s="195">
        <f>IF(T185="","",$B185*'AEO 2017_Table 13'!V$26/'AEO 2017_Table 13'!$C$26)</f>
        <v>0.37903921677982189</v>
      </c>
      <c r="V185" s="195">
        <f>IF(U185="","",$B185*'AEO 2017_Table 13'!W$26/'AEO 2017_Table 13'!$C$26)</f>
        <v>0.37823487867797317</v>
      </c>
      <c r="W185" s="195">
        <f>IF(V185="","",$B185*'AEO 2017_Table 13'!X$26/'AEO 2017_Table 13'!$C$26)</f>
        <v>0.37728735651697665</v>
      </c>
      <c r="X185" s="195">
        <f>IF(W185="","",$B185*'AEO 2017_Table 13'!Y$26/'AEO 2017_Table 13'!$C$26)</f>
        <v>0.37640499300040786</v>
      </c>
      <c r="Y185" s="195">
        <f>IF(X185="","",$B185*'AEO 2017_Table 13'!Z$26/'AEO 2017_Table 13'!$C$26)</f>
        <v>0.37579505860098505</v>
      </c>
      <c r="Z185" s="195">
        <f>IF(Y185="","",$B185*'AEO 2017_Table 13'!AA$26/'AEO 2017_Table 13'!$C$26)</f>
        <v>0.37530636876777607</v>
      </c>
      <c r="AA185" s="195">
        <f>IF(Z185="","",$B185*'AEO 2017_Table 13'!AB$26/'AEO 2017_Table 13'!$C$26)</f>
        <v>0.37508656144195301</v>
      </c>
      <c r="AB185" s="195">
        <f>IF(AA185="","",$B185*'AEO 2017_Table 13'!AC$26/'AEO 2017_Table 13'!$C$26)</f>
        <v>0.37508458193883121</v>
      </c>
      <c r="AC185" s="195">
        <f>IF(AB185="","",$B185*'AEO 2017_Table 13'!AD$26/'AEO 2017_Table 13'!$C$26)</f>
        <v>0.37505241501310094</v>
      </c>
      <c r="AD185" s="195">
        <f>IF(AC185="","",$B185*'AEO 2017_Table 13'!AE$26/'AEO 2017_Table 13'!$C$26)</f>
        <v>0.37503327981625628</v>
      </c>
      <c r="AE185" s="195">
        <f>IF(AD185="","",$B185*'AEO 2017_Table 13'!AF$26/'AEO 2017_Table 13'!$C$26)</f>
        <v>0.37507146773064881</v>
      </c>
      <c r="AF185" s="195">
        <f>IF(AE185="","",$B185*'AEO 2017_Table 13'!AG$26/'AEO 2017_Table 13'!$C$26)</f>
        <v>0.37515955561957159</v>
      </c>
      <c r="AG185" s="195">
        <f>IF(AF185="","",$B185*'AEO 2017_Table 13'!AH$26/'AEO 2017_Table 13'!$C$26)</f>
        <v>0.37529944050684966</v>
      </c>
      <c r="AH185" s="195">
        <f>IF(AG185="","",$B185*'AEO 2017_Table 13'!AI$26/'AEO 2017_Table 13'!$C$26)</f>
        <v>0.37548419413155643</v>
      </c>
      <c r="AI185" s="195">
        <f>IF(AH185="","",$B185*'AEO 2017_Table 13'!AJ$26/'AEO 2017_Table 13'!$C$26)</f>
        <v>0.37563249190710235</v>
      </c>
      <c r="AJ185" s="195">
        <f>IF(AI185="","",$B185*'AEO 2017_Table 13'!AK$26/'AEO 2017_Table 13'!$C$26)</f>
        <v>0.37570705319135905</v>
      </c>
      <c r="AK185" s="195">
        <f>IF(AJ185="","",$B185*'AEO 2017_Table 13'!AL$26/'AEO 2017_Table 13'!$C$26)</f>
        <v>0.37582301908258137</v>
      </c>
    </row>
    <row r="186" spans="1:37" x14ac:dyDescent="0.25">
      <c r="A186" s="209" t="s">
        <v>1525</v>
      </c>
      <c r="B186" s="193"/>
      <c r="C186" s="195" t="str">
        <f>IF(B186="","",$B186*'AEO 2017_Table 13'!D$26/'AEO 2017_Table 13'!$C$26)</f>
        <v/>
      </c>
      <c r="D186" s="195" t="str">
        <f>IF(C186="","",$B186*'AEO 2017_Table 13'!E$26/'AEO 2017_Table 13'!$C$26)</f>
        <v/>
      </c>
      <c r="E186" s="195" t="str">
        <f>IF(D186="","",$B186*'AEO 2017_Table 13'!F$26/'AEO 2017_Table 13'!$C$26)</f>
        <v/>
      </c>
      <c r="F186" s="195" t="str">
        <f>IF(E186="","",$B186*'AEO 2017_Table 13'!G$26/'AEO 2017_Table 13'!$C$26)</f>
        <v/>
      </c>
      <c r="G186" s="195" t="str">
        <f>IF(F186="","",$B186*'AEO 2017_Table 13'!H$26/'AEO 2017_Table 13'!$C$26)</f>
        <v/>
      </c>
      <c r="H186" s="195" t="str">
        <f>IF(G186="","",$B186*'AEO 2017_Table 13'!I$26/'AEO 2017_Table 13'!$C$26)</f>
        <v/>
      </c>
      <c r="I186" s="195" t="str">
        <f>IF(H186="","",$B186*'AEO 2017_Table 13'!J$26/'AEO 2017_Table 13'!$C$26)</f>
        <v/>
      </c>
      <c r="J186" s="195" t="str">
        <f>IF(I186="","",$B186*'AEO 2017_Table 13'!K$26/'AEO 2017_Table 13'!$C$26)</f>
        <v/>
      </c>
      <c r="K186" s="195" t="str">
        <f>IF(J186="","",$B186*'AEO 2017_Table 13'!L$26/'AEO 2017_Table 13'!$C$26)</f>
        <v/>
      </c>
      <c r="L186" s="195" t="str">
        <f>IF(K186="","",$B186*'AEO 2017_Table 13'!M$26/'AEO 2017_Table 13'!$C$26)</f>
        <v/>
      </c>
      <c r="M186" s="195" t="str">
        <f>IF(L186="","",$B186*'AEO 2017_Table 13'!N$26/'AEO 2017_Table 13'!$C$26)</f>
        <v/>
      </c>
      <c r="N186" s="195" t="str">
        <f>IF(M186="","",$B186*'AEO 2017_Table 13'!O$26/'AEO 2017_Table 13'!$C$26)</f>
        <v/>
      </c>
      <c r="O186" s="195" t="str">
        <f>IF(N186="","",$B186*'AEO 2017_Table 13'!P$26/'AEO 2017_Table 13'!$C$26)</f>
        <v/>
      </c>
      <c r="P186" s="195" t="str">
        <f>IF(O186="","",$B186*'AEO 2017_Table 13'!Q$26/'AEO 2017_Table 13'!$C$26)</f>
        <v/>
      </c>
      <c r="Q186" s="195" t="str">
        <f>IF(P186="","",$B186*'AEO 2017_Table 13'!R$26/'AEO 2017_Table 13'!$C$26)</f>
        <v/>
      </c>
      <c r="R186" s="195" t="str">
        <f>IF(Q186="","",$B186*'AEO 2017_Table 13'!S$26/'AEO 2017_Table 13'!$C$26)</f>
        <v/>
      </c>
      <c r="S186" s="195" t="str">
        <f>IF(R186="","",$B186*'AEO 2017_Table 13'!T$26/'AEO 2017_Table 13'!$C$26)</f>
        <v/>
      </c>
      <c r="T186" s="195" t="str">
        <f>IF(S186="","",$B186*'AEO 2017_Table 13'!U$26/'AEO 2017_Table 13'!$C$26)</f>
        <v/>
      </c>
      <c r="U186" s="195" t="str">
        <f>IF(T186="","",$B186*'AEO 2017_Table 13'!V$26/'AEO 2017_Table 13'!$C$26)</f>
        <v/>
      </c>
      <c r="V186" s="195" t="str">
        <f>IF(U186="","",$B186*'AEO 2017_Table 13'!W$26/'AEO 2017_Table 13'!$C$26)</f>
        <v/>
      </c>
      <c r="W186" s="195" t="str">
        <f>IF(V186="","",$B186*'AEO 2017_Table 13'!X$26/'AEO 2017_Table 13'!$C$26)</f>
        <v/>
      </c>
      <c r="X186" s="195" t="str">
        <f>IF(W186="","",$B186*'AEO 2017_Table 13'!Y$26/'AEO 2017_Table 13'!$C$26)</f>
        <v/>
      </c>
      <c r="Y186" s="195" t="str">
        <f>IF(X186="","",$B186*'AEO 2017_Table 13'!Z$26/'AEO 2017_Table 13'!$C$26)</f>
        <v/>
      </c>
      <c r="Z186" s="195" t="str">
        <f>IF(Y186="","",$B186*'AEO 2017_Table 13'!AA$26/'AEO 2017_Table 13'!$C$26)</f>
        <v/>
      </c>
      <c r="AA186" s="195" t="str">
        <f>IF(Z186="","",$B186*'AEO 2017_Table 13'!AB$26/'AEO 2017_Table 13'!$C$26)</f>
        <v/>
      </c>
      <c r="AB186" s="195" t="str">
        <f>IF(AA186="","",$B186*'AEO 2017_Table 13'!AC$26/'AEO 2017_Table 13'!$C$26)</f>
        <v/>
      </c>
      <c r="AC186" s="195" t="str">
        <f>IF(AB186="","",$B186*'AEO 2017_Table 13'!AD$26/'AEO 2017_Table 13'!$C$26)</f>
        <v/>
      </c>
      <c r="AD186" s="195" t="str">
        <f>IF(AC186="","",$B186*'AEO 2017_Table 13'!AE$26/'AEO 2017_Table 13'!$C$26)</f>
        <v/>
      </c>
      <c r="AE186" s="195" t="str">
        <f>IF(AD186="","",$B186*'AEO 2017_Table 13'!AF$26/'AEO 2017_Table 13'!$C$26)</f>
        <v/>
      </c>
      <c r="AF186" s="195" t="str">
        <f>IF(AE186="","",$B186*'AEO 2017_Table 13'!AG$26/'AEO 2017_Table 13'!$C$26)</f>
        <v/>
      </c>
      <c r="AG186" s="195" t="str">
        <f>IF(AF186="","",$B186*'AEO 2017_Table 13'!AH$26/'AEO 2017_Table 13'!$C$26)</f>
        <v/>
      </c>
      <c r="AH186" s="195" t="str">
        <f>IF(AG186="","",$B186*'AEO 2017_Table 13'!AI$26/'AEO 2017_Table 13'!$C$26)</f>
        <v/>
      </c>
      <c r="AI186" s="195" t="str">
        <f>IF(AH186="","",$B186*'AEO 2017_Table 13'!AJ$26/'AEO 2017_Table 13'!$C$26)</f>
        <v/>
      </c>
      <c r="AJ186" s="195" t="str">
        <f>IF(AI186="","",$B186*'AEO 2017_Table 13'!AK$26/'AEO 2017_Table 13'!$C$26)</f>
        <v/>
      </c>
      <c r="AK186" s="195" t="str">
        <f>IF(AJ186="","",$B186*'AEO 2017_Table 13'!AL$26/'AEO 2017_Table 13'!$C$26)</f>
        <v/>
      </c>
    </row>
    <row r="187" spans="1:37" x14ac:dyDescent="0.25">
      <c r="A187" s="215" t="s">
        <v>1526</v>
      </c>
      <c r="B187" s="195">
        <v>79.4241063832294</v>
      </c>
      <c r="C187" s="195">
        <f>IF(B187="","",$B187*'AEO 2017_Table 13'!D$26/'AEO 2017_Table 13'!$C$26)</f>
        <v>76.197426249796649</v>
      </c>
      <c r="D187" s="195">
        <f>IF(C187="","",$B187*'AEO 2017_Table 13'!E$26/'AEO 2017_Table 13'!$C$26)</f>
        <v>79.569768061686602</v>
      </c>
      <c r="E187" s="195">
        <f>IF(D187="","",$B187*'AEO 2017_Table 13'!F$26/'AEO 2017_Table 13'!$C$26)</f>
        <v>80.363911948813609</v>
      </c>
      <c r="F187" s="195">
        <f>IF(E187="","",$B187*'AEO 2017_Table 13'!G$26/'AEO 2017_Table 13'!$C$26)</f>
        <v>80.1964544313159</v>
      </c>
      <c r="G187" s="195">
        <f>IF(F187="","",$B187*'AEO 2017_Table 13'!H$26/'AEO 2017_Table 13'!$C$26)</f>
        <v>80.077878174970678</v>
      </c>
      <c r="H187" s="195">
        <f>IF(G187="","",$B187*'AEO 2017_Table 13'!I$26/'AEO 2017_Table 13'!$C$26)</f>
        <v>80.015712651446464</v>
      </c>
      <c r="I187" s="195">
        <f>IF(H187="","",$B187*'AEO 2017_Table 13'!J$26/'AEO 2017_Table 13'!$C$26)</f>
        <v>79.993038086879423</v>
      </c>
      <c r="J187" s="195">
        <f>IF(I187="","",$B187*'AEO 2017_Table 13'!K$26/'AEO 2017_Table 13'!$C$26)</f>
        <v>80.00623619968971</v>
      </c>
      <c r="K187" s="195">
        <f>IF(J187="","",$B187*'AEO 2017_Table 13'!L$26/'AEO 2017_Table 13'!$C$26)</f>
        <v>80.069728426459875</v>
      </c>
      <c r="L187" s="195">
        <f>IF(K187="","",$B187*'AEO 2017_Table 13'!M$26/'AEO 2017_Table 13'!$C$26)</f>
        <v>80.118489078226361</v>
      </c>
      <c r="M187" s="195">
        <f>IF(L187="","",$B187*'AEO 2017_Table 13'!N$26/'AEO 2017_Table 13'!$C$26)</f>
        <v>80.089663434973588</v>
      </c>
      <c r="N187" s="195">
        <f>IF(M187="","",$B187*'AEO 2017_Table 13'!O$26/'AEO 2017_Table 13'!$C$26)</f>
        <v>79.994209720914796</v>
      </c>
      <c r="O187" s="195">
        <f>IF(N187="","",$B187*'AEO 2017_Table 13'!P$26/'AEO 2017_Table 13'!$C$26)</f>
        <v>79.87342803579709</v>
      </c>
      <c r="P187" s="195">
        <f>IF(O187="","",$B187*'AEO 2017_Table 13'!Q$26/'AEO 2017_Table 13'!$C$26)</f>
        <v>79.760261971909344</v>
      </c>
      <c r="Q187" s="195">
        <f>IF(P187="","",$B187*'AEO 2017_Table 13'!R$26/'AEO 2017_Table 13'!$C$26)</f>
        <v>79.66964986320265</v>
      </c>
      <c r="R187" s="195">
        <f>IF(Q187="","",$B187*'AEO 2017_Table 13'!S$26/'AEO 2017_Table 13'!$C$26)</f>
        <v>79.565839641685642</v>
      </c>
      <c r="S187" s="195">
        <f>IF(R187="","",$B187*'AEO 2017_Table 13'!T$26/'AEO 2017_Table 13'!$C$26)</f>
        <v>79.431239566915366</v>
      </c>
      <c r="T187" s="195">
        <f>IF(S187="","",$B187*'AEO 2017_Table 13'!U$26/'AEO 2017_Table 13'!$C$26)</f>
        <v>79.299964865216111</v>
      </c>
      <c r="U187" s="195">
        <f>IF(T187="","",$B187*'AEO 2017_Table 13'!V$26/'AEO 2017_Table 13'!$C$26)</f>
        <v>79.181233539660312</v>
      </c>
      <c r="V187" s="195">
        <f>IF(U187="","",$B187*'AEO 2017_Table 13'!W$26/'AEO 2017_Table 13'!$C$26)</f>
        <v>79.013207435057197</v>
      </c>
      <c r="W187" s="195">
        <f>IF(V187="","",$B187*'AEO 2017_Table 13'!X$26/'AEO 2017_Table 13'!$C$26)</f>
        <v>78.815270202727362</v>
      </c>
      <c r="X187" s="195">
        <f>IF(W187="","",$B187*'AEO 2017_Table 13'!Y$26/'AEO 2017_Table 13'!$C$26)</f>
        <v>78.630944601102627</v>
      </c>
      <c r="Y187" s="195">
        <f>IF(X187="","",$B187*'AEO 2017_Table 13'!Z$26/'AEO 2017_Table 13'!$C$26)</f>
        <v>78.503529399755195</v>
      </c>
      <c r="Z187" s="195">
        <f>IF(Y187="","",$B187*'AEO 2017_Table 13'!AA$26/'AEO 2017_Table 13'!$C$26)</f>
        <v>78.401442169466691</v>
      </c>
      <c r="AA187" s="195">
        <f>IF(Z187="","",$B187*'AEO 2017_Table 13'!AB$26/'AEO 2017_Table 13'!$C$26)</f>
        <v>78.355524453227233</v>
      </c>
      <c r="AB187" s="195">
        <f>IF(AA187="","",$B187*'AEO 2017_Table 13'!AC$26/'AEO 2017_Table 13'!$C$26)</f>
        <v>78.355110935332391</v>
      </c>
      <c r="AC187" s="195">
        <f>IF(AB187="","",$B187*'AEO 2017_Table 13'!AD$26/'AEO 2017_Table 13'!$C$26)</f>
        <v>78.348391269541239</v>
      </c>
      <c r="AD187" s="195">
        <f>IF(AC187="","",$B187*'AEO 2017_Table 13'!AE$26/'AEO 2017_Table 13'!$C$26)</f>
        <v>78.344393929891126</v>
      </c>
      <c r="AE187" s="195">
        <f>IF(AD187="","",$B187*'AEO 2017_Table 13'!AF$26/'AEO 2017_Table 13'!$C$26)</f>
        <v>78.352371379279077</v>
      </c>
      <c r="AF187" s="195">
        <f>IF(AE187="","",$B187*'AEO 2017_Table 13'!AG$26/'AEO 2017_Table 13'!$C$26)</f>
        <v>78.370772925599439</v>
      </c>
      <c r="AG187" s="195">
        <f>IF(AF187="","",$B187*'AEO 2017_Table 13'!AH$26/'AEO 2017_Table 13'!$C$26)</f>
        <v>78.399994856834766</v>
      </c>
      <c r="AH187" s="195">
        <f>IF(AG187="","",$B187*'AEO 2017_Table 13'!AI$26/'AEO 2017_Table 13'!$C$26)</f>
        <v>78.438589860353105</v>
      </c>
      <c r="AI187" s="195">
        <f>IF(AH187="","",$B187*'AEO 2017_Table 13'!AJ$26/'AEO 2017_Table 13'!$C$26)</f>
        <v>78.469569242641512</v>
      </c>
      <c r="AJ187" s="195">
        <f>IF(AI187="","",$B187*'AEO 2017_Table 13'!AK$26/'AEO 2017_Table 13'!$C$26)</f>
        <v>78.485145083347135</v>
      </c>
      <c r="AK187" s="195">
        <f>IF(AJ187="","",$B187*'AEO 2017_Table 13'!AL$26/'AEO 2017_Table 13'!$C$26)</f>
        <v>78.509370340019828</v>
      </c>
    </row>
    <row r="188" spans="1:37" x14ac:dyDescent="0.25">
      <c r="A188" s="208" t="s">
        <v>1527</v>
      </c>
      <c r="B188" s="197">
        <v>54.619124943722724</v>
      </c>
      <c r="C188" s="195">
        <f>IF(B188="","",$B188*SUM('AEO 2017_Table 13'!D$27:D$29,'AEO 2017_Table 13'!D$34)/SUM('AEO 2017_Table 13'!$C$27:$C$29,'AEO 2017_Table 13'!$C$34))</f>
        <v>54.982537034942048</v>
      </c>
      <c r="D188" s="195">
        <f>IF(C188="","",$B188*SUM('AEO 2017_Table 13'!E$27:E$29,'AEO 2017_Table 13'!E$34)/SUM('AEO 2017_Table 13'!$C$27:$C$29,'AEO 2017_Table 13'!$C$34))</f>
        <v>56.089448919572881</v>
      </c>
      <c r="E188" s="195">
        <f>IF(D188="","",$B188*SUM('AEO 2017_Table 13'!F$27:F$29,'AEO 2017_Table 13'!F$34)/SUM('AEO 2017_Table 13'!$C$27:$C$29,'AEO 2017_Table 13'!$C$34))</f>
        <v>57.247368033510824</v>
      </c>
      <c r="F188" s="195">
        <f>IF(E188="","",$B188*SUM('AEO 2017_Table 13'!G$27:G$29,'AEO 2017_Table 13'!G$34)/SUM('AEO 2017_Table 13'!$C$27:$C$29,'AEO 2017_Table 13'!$C$34))</f>
        <v>57.983849785805269</v>
      </c>
      <c r="G188" s="195">
        <f>IF(F188="","",$B188*SUM('AEO 2017_Table 13'!H$27:H$29,'AEO 2017_Table 13'!H$34)/SUM('AEO 2017_Table 13'!$C$27:$C$29,'AEO 2017_Table 13'!$C$34))</f>
        <v>58.110312047577587</v>
      </c>
      <c r="H188" s="195">
        <f>IF(G188="","",$B188*SUM('AEO 2017_Table 13'!I$27:I$29,'AEO 2017_Table 13'!I$34)/SUM('AEO 2017_Table 13'!$C$27:$C$29,'AEO 2017_Table 13'!$C$34))</f>
        <v>58.719874611276019</v>
      </c>
      <c r="I188" s="195">
        <f>IF(H188="","",$B188*SUM('AEO 2017_Table 13'!J$27:J$29,'AEO 2017_Table 13'!J$34)/SUM('AEO 2017_Table 13'!$C$27:$C$29,'AEO 2017_Table 13'!$C$34))</f>
        <v>59.531869066411467</v>
      </c>
      <c r="J188" s="195">
        <f>IF(I188="","",$B188*SUM('AEO 2017_Table 13'!K$27:K$29,'AEO 2017_Table 13'!K$34)/SUM('AEO 2017_Table 13'!$C$27:$C$29,'AEO 2017_Table 13'!$C$34))</f>
        <v>60.215378360438692</v>
      </c>
      <c r="K188" s="195">
        <f>IF(J188="","",$B188*SUM('AEO 2017_Table 13'!L$27:L$29,'AEO 2017_Table 13'!L$34)/SUM('AEO 2017_Table 13'!$C$27:$C$29,'AEO 2017_Table 13'!$C$34))</f>
        <v>60.698979951016</v>
      </c>
      <c r="L188" s="195">
        <f>IF(K188="","",$B188*SUM('AEO 2017_Table 13'!M$27:M$29,'AEO 2017_Table 13'!M$34)/SUM('AEO 2017_Table 13'!$C$27:$C$29,'AEO 2017_Table 13'!$C$34))</f>
        <v>61.085469064922378</v>
      </c>
      <c r="M188" s="195">
        <f>IF(L188="","",$B188*SUM('AEO 2017_Table 13'!N$27:N$29,'AEO 2017_Table 13'!N$34)/SUM('AEO 2017_Table 13'!$C$27:$C$29,'AEO 2017_Table 13'!$C$34))</f>
        <v>61.299128934910129</v>
      </c>
      <c r="N188" s="195">
        <f>IF(M188="","",$B188*SUM('AEO 2017_Table 13'!O$27:O$29,'AEO 2017_Table 13'!O$34)/SUM('AEO 2017_Table 13'!$C$27:$C$29,'AEO 2017_Table 13'!$C$34))</f>
        <v>61.048413630377027</v>
      </c>
      <c r="O188" s="195">
        <f>IF(N188="","",$B188*SUM('AEO 2017_Table 13'!P$27:P$29,'AEO 2017_Table 13'!P$34)/SUM('AEO 2017_Table 13'!$C$27:$C$29,'AEO 2017_Table 13'!$C$34))</f>
        <v>61.175377180800574</v>
      </c>
      <c r="P188" s="195">
        <f>IF(O188="","",$B188*SUM('AEO 2017_Table 13'!Q$27:Q$29,'AEO 2017_Table 13'!Q$34)/SUM('AEO 2017_Table 13'!$C$27:$C$29,'AEO 2017_Table 13'!$C$34))</f>
        <v>61.336947392889186</v>
      </c>
      <c r="Q188" s="195">
        <f>IF(P188="","",$B188*SUM('AEO 2017_Table 13'!R$27:R$29,'AEO 2017_Table 13'!R$34)/SUM('AEO 2017_Table 13'!$C$27:$C$29,'AEO 2017_Table 13'!$C$34))</f>
        <v>61.467011835057882</v>
      </c>
      <c r="R188" s="195">
        <f>IF(Q188="","",$B188*SUM('AEO 2017_Table 13'!S$27:S$29,'AEO 2017_Table 13'!S$34)/SUM('AEO 2017_Table 13'!$C$27:$C$29,'AEO 2017_Table 13'!$C$34))</f>
        <v>61.640400038003534</v>
      </c>
      <c r="S188" s="195">
        <f>IF(R188="","",$B188*SUM('AEO 2017_Table 13'!T$27:T$29,'AEO 2017_Table 13'!T$34)/SUM('AEO 2017_Table 13'!$C$27:$C$29,'AEO 2017_Table 13'!$C$34))</f>
        <v>61.960896497259306</v>
      </c>
      <c r="T188" s="195">
        <f>IF(S188="","",$B188*SUM('AEO 2017_Table 13'!U$27:U$29,'AEO 2017_Table 13'!U$34)/SUM('AEO 2017_Table 13'!$C$27:$C$29,'AEO 2017_Table 13'!$C$34))</f>
        <v>62.24846760811382</v>
      </c>
      <c r="U188" s="195">
        <f>IF(T188="","",$B188*SUM('AEO 2017_Table 13'!V$27:V$29,'AEO 2017_Table 13'!V$34)/SUM('AEO 2017_Table 13'!$C$27:$C$29,'AEO 2017_Table 13'!$C$34))</f>
        <v>62.725193115422208</v>
      </c>
      <c r="V188" s="195">
        <f>IF(U188="","",$B188*SUM('AEO 2017_Table 13'!W$27:W$29,'AEO 2017_Table 13'!W$34)/SUM('AEO 2017_Table 13'!$C$27:$C$29,'AEO 2017_Table 13'!$C$34))</f>
        <v>63.1798707944425</v>
      </c>
      <c r="W188" s="195">
        <f>IF(V188="","",$B188*SUM('AEO 2017_Table 13'!X$27:X$29,'AEO 2017_Table 13'!X$34)/SUM('AEO 2017_Table 13'!$C$27:$C$29,'AEO 2017_Table 13'!$C$34))</f>
        <v>63.718290295312748</v>
      </c>
      <c r="X188" s="195">
        <f>IF(W188="","",$B188*SUM('AEO 2017_Table 13'!Y$27:Y$29,'AEO 2017_Table 13'!Y$34)/SUM('AEO 2017_Table 13'!$C$27:$C$29,'AEO 2017_Table 13'!$C$34))</f>
        <v>64.144319106106806</v>
      </c>
      <c r="Y188" s="195">
        <f>IF(X188="","",$B188*SUM('AEO 2017_Table 13'!Z$27:Z$29,'AEO 2017_Table 13'!Z$34)/SUM('AEO 2017_Table 13'!$C$27:$C$29,'AEO 2017_Table 13'!$C$34))</f>
        <v>64.582365535981822</v>
      </c>
      <c r="Z188" s="195">
        <f>IF(Y188="","",$B188*SUM('AEO 2017_Table 13'!AA$27:AA$29,'AEO 2017_Table 13'!AA$34)/SUM('AEO 2017_Table 13'!$C$27:$C$29,'AEO 2017_Table 13'!$C$34))</f>
        <v>65.112365161984712</v>
      </c>
      <c r="AA188" s="195">
        <f>IF(Z188="","",$B188*SUM('AEO 2017_Table 13'!AB$27:AB$29,'AEO 2017_Table 13'!AB$34)/SUM('AEO 2017_Table 13'!$C$27:$C$29,'AEO 2017_Table 13'!$C$34))</f>
        <v>65.593043308127037</v>
      </c>
      <c r="AB188" s="195">
        <f>IF(AA188="","",$B188*SUM('AEO 2017_Table 13'!AC$27:AC$29,'AEO 2017_Table 13'!AC$34)/SUM('AEO 2017_Table 13'!$C$27:$C$29,'AEO 2017_Table 13'!$C$34))</f>
        <v>65.976728754532814</v>
      </c>
      <c r="AC188" s="195">
        <f>IF(AB188="","",$B188*SUM('AEO 2017_Table 13'!AD$27:AD$29,'AEO 2017_Table 13'!AD$34)/SUM('AEO 2017_Table 13'!$C$27:$C$29,'AEO 2017_Table 13'!$C$34))</f>
        <v>66.276632453443824</v>
      </c>
      <c r="AD188" s="195">
        <f>IF(AC188="","",$B188*SUM('AEO 2017_Table 13'!AE$27:AE$29,'AEO 2017_Table 13'!AE$34)/SUM('AEO 2017_Table 13'!$C$27:$C$29,'AEO 2017_Table 13'!$C$34))</f>
        <v>66.619944200604152</v>
      </c>
      <c r="AE188" s="195">
        <f>IF(AD188="","",$B188*SUM('AEO 2017_Table 13'!AF$27:AF$29,'AEO 2017_Table 13'!AF$34)/SUM('AEO 2017_Table 13'!$C$27:$C$29,'AEO 2017_Table 13'!$C$34))</f>
        <v>67.074200442262807</v>
      </c>
      <c r="AF188" s="195">
        <f>IF(AE188="","",$B188*SUM('AEO 2017_Table 13'!AG$27:AG$29,'AEO 2017_Table 13'!AG$34)/SUM('AEO 2017_Table 13'!$C$27:$C$29,'AEO 2017_Table 13'!$C$34))</f>
        <v>67.560485923406375</v>
      </c>
      <c r="AG188" s="195">
        <f>IF(AF188="","",$B188*SUM('AEO 2017_Table 13'!AH$27:AH$29,'AEO 2017_Table 13'!AH$34)/SUM('AEO 2017_Table 13'!$C$27:$C$29,'AEO 2017_Table 13'!$C$34))</f>
        <v>68.049322209633573</v>
      </c>
      <c r="AH188" s="195">
        <f>IF(AG188="","",$B188*SUM('AEO 2017_Table 13'!AI$27:AI$29,'AEO 2017_Table 13'!AI$34)/SUM('AEO 2017_Table 13'!$C$27:$C$29,'AEO 2017_Table 13'!$C$34))</f>
        <v>68.525054012005029</v>
      </c>
      <c r="AI188" s="195">
        <f>IF(AH188="","",$B188*SUM('AEO 2017_Table 13'!AJ$27:AJ$29,'AEO 2017_Table 13'!AJ$34)/SUM('AEO 2017_Table 13'!$C$27:$C$29,'AEO 2017_Table 13'!$C$34))</f>
        <v>68.973698482479691</v>
      </c>
      <c r="AJ188" s="195">
        <f>IF(AI188="","",$B188*SUM('AEO 2017_Table 13'!AK$27:AK$29,'AEO 2017_Table 13'!AK$34)/SUM('AEO 2017_Table 13'!$C$27:$C$29,'AEO 2017_Table 13'!$C$34))</f>
        <v>69.524698997640698</v>
      </c>
      <c r="AK188" s="195">
        <f>IF(AJ188="","",$B188*SUM('AEO 2017_Table 13'!AL$27:AL$29,'AEO 2017_Table 13'!AL$34)/SUM('AEO 2017_Table 13'!$C$27:$C$29,'AEO 2017_Table 13'!$C$34))</f>
        <v>70.10084823283492</v>
      </c>
    </row>
    <row r="189" spans="1:37" x14ac:dyDescent="0.25">
      <c r="A189" s="188" t="s">
        <v>1528</v>
      </c>
      <c r="B189" s="190"/>
      <c r="C189" s="195" t="str">
        <f>IF(B189="","",$B189*'AEO 2017_Table 13'!D$26/'AEO 2017_Table 13'!$C$26)</f>
        <v/>
      </c>
      <c r="D189" s="195" t="str">
        <f>IF(C189="","",$B189*'AEO 2017_Table 13'!E$26/'AEO 2017_Table 13'!$C$26)</f>
        <v/>
      </c>
      <c r="E189" s="195" t="str">
        <f>IF(D189="","",$B189*'AEO 2017_Table 13'!F$26/'AEO 2017_Table 13'!$C$26)</f>
        <v/>
      </c>
      <c r="F189" s="195" t="str">
        <f>IF(E189="","",$B189*'AEO 2017_Table 13'!G$26/'AEO 2017_Table 13'!$C$26)</f>
        <v/>
      </c>
      <c r="G189" s="195" t="str">
        <f>IF(F189="","",$B189*'AEO 2017_Table 13'!H$26/'AEO 2017_Table 13'!$C$26)</f>
        <v/>
      </c>
      <c r="H189" s="195" t="str">
        <f>IF(G189="","",$B189*'AEO 2017_Table 13'!I$26/'AEO 2017_Table 13'!$C$26)</f>
        <v/>
      </c>
      <c r="I189" s="195" t="str">
        <f>IF(H189="","",$B189*'AEO 2017_Table 13'!J$26/'AEO 2017_Table 13'!$C$26)</f>
        <v/>
      </c>
      <c r="J189" s="195" t="str">
        <f>IF(I189="","",$B189*'AEO 2017_Table 13'!K$26/'AEO 2017_Table 13'!$C$26)</f>
        <v/>
      </c>
      <c r="K189" s="195" t="str">
        <f>IF(J189="","",$B189*'AEO 2017_Table 13'!L$26/'AEO 2017_Table 13'!$C$26)</f>
        <v/>
      </c>
      <c r="L189" s="195" t="str">
        <f>IF(K189="","",$B189*'AEO 2017_Table 13'!M$26/'AEO 2017_Table 13'!$C$26)</f>
        <v/>
      </c>
      <c r="M189" s="195" t="str">
        <f>IF(L189="","",$B189*'AEO 2017_Table 13'!N$26/'AEO 2017_Table 13'!$C$26)</f>
        <v/>
      </c>
      <c r="N189" s="195" t="str">
        <f>IF(M189="","",$B189*'AEO 2017_Table 13'!O$26/'AEO 2017_Table 13'!$C$26)</f>
        <v/>
      </c>
      <c r="O189" s="195" t="str">
        <f>IF(N189="","",$B189*'AEO 2017_Table 13'!P$26/'AEO 2017_Table 13'!$C$26)</f>
        <v/>
      </c>
      <c r="P189" s="195" t="str">
        <f>IF(O189="","",$B189*'AEO 2017_Table 13'!Q$26/'AEO 2017_Table 13'!$C$26)</f>
        <v/>
      </c>
      <c r="Q189" s="195" t="str">
        <f>IF(P189="","",$B189*'AEO 2017_Table 13'!R$26/'AEO 2017_Table 13'!$C$26)</f>
        <v/>
      </c>
      <c r="R189" s="195" t="str">
        <f>IF(Q189="","",$B189*'AEO 2017_Table 13'!S$26/'AEO 2017_Table 13'!$C$26)</f>
        <v/>
      </c>
      <c r="S189" s="195" t="str">
        <f>IF(R189="","",$B189*'AEO 2017_Table 13'!T$26/'AEO 2017_Table 13'!$C$26)</f>
        <v/>
      </c>
      <c r="T189" s="195" t="str">
        <f>IF(S189="","",$B189*'AEO 2017_Table 13'!U$26/'AEO 2017_Table 13'!$C$26)</f>
        <v/>
      </c>
      <c r="U189" s="195" t="str">
        <f>IF(T189="","",$B189*'AEO 2017_Table 13'!V$26/'AEO 2017_Table 13'!$C$26)</f>
        <v/>
      </c>
      <c r="V189" s="195" t="str">
        <f>IF(U189="","",$B189*'AEO 2017_Table 13'!W$26/'AEO 2017_Table 13'!$C$26)</f>
        <v/>
      </c>
      <c r="W189" s="195" t="str">
        <f>IF(V189="","",$B189*'AEO 2017_Table 13'!X$26/'AEO 2017_Table 13'!$C$26)</f>
        <v/>
      </c>
      <c r="X189" s="195" t="str">
        <f>IF(W189="","",$B189*'AEO 2017_Table 13'!Y$26/'AEO 2017_Table 13'!$C$26)</f>
        <v/>
      </c>
      <c r="Y189" s="195" t="str">
        <f>IF(X189="","",$B189*'AEO 2017_Table 13'!Z$26/'AEO 2017_Table 13'!$C$26)</f>
        <v/>
      </c>
      <c r="Z189" s="195" t="str">
        <f>IF(Y189="","",$B189*'AEO 2017_Table 13'!AA$26/'AEO 2017_Table 13'!$C$26)</f>
        <v/>
      </c>
      <c r="AA189" s="195" t="str">
        <f>IF(Z189="","",$B189*'AEO 2017_Table 13'!AB$26/'AEO 2017_Table 13'!$C$26)</f>
        <v/>
      </c>
      <c r="AB189" s="195" t="str">
        <f>IF(AA189="","",$B189*'AEO 2017_Table 13'!AC$26/'AEO 2017_Table 13'!$C$26)</f>
        <v/>
      </c>
      <c r="AC189" s="195" t="str">
        <f>IF(AB189="","",$B189*'AEO 2017_Table 13'!AD$26/'AEO 2017_Table 13'!$C$26)</f>
        <v/>
      </c>
      <c r="AD189" s="195" t="str">
        <f>IF(AC189="","",$B189*'AEO 2017_Table 13'!AE$26/'AEO 2017_Table 13'!$C$26)</f>
        <v/>
      </c>
      <c r="AE189" s="195" t="str">
        <f>IF(AD189="","",$B189*'AEO 2017_Table 13'!AF$26/'AEO 2017_Table 13'!$C$26)</f>
        <v/>
      </c>
      <c r="AF189" s="195" t="str">
        <f>IF(AE189="","",$B189*'AEO 2017_Table 13'!AG$26/'AEO 2017_Table 13'!$C$26)</f>
        <v/>
      </c>
      <c r="AG189" s="195" t="str">
        <f>IF(AF189="","",$B189*'AEO 2017_Table 13'!AH$26/'AEO 2017_Table 13'!$C$26)</f>
        <v/>
      </c>
      <c r="AH189" s="195" t="str">
        <f>IF(AG189="","",$B189*'AEO 2017_Table 13'!AI$26/'AEO 2017_Table 13'!$C$26)</f>
        <v/>
      </c>
      <c r="AI189" s="195" t="str">
        <f>IF(AH189="","",$B189*'AEO 2017_Table 13'!AJ$26/'AEO 2017_Table 13'!$C$26)</f>
        <v/>
      </c>
      <c r="AJ189" s="195" t="str">
        <f>IF(AI189="","",$B189*'AEO 2017_Table 13'!AK$26/'AEO 2017_Table 13'!$C$26)</f>
        <v/>
      </c>
      <c r="AK189" s="195" t="str">
        <f>IF(AJ189="","",$B189*'AEO 2017_Table 13'!AL$26/'AEO 2017_Table 13'!$C$26)</f>
        <v/>
      </c>
    </row>
    <row r="190" spans="1:37" x14ac:dyDescent="0.25">
      <c r="A190" s="209" t="s">
        <v>1529</v>
      </c>
      <c r="B190" s="193"/>
      <c r="C190" s="195" t="str">
        <f>IF(B190="","",$B190*'AEO 2017_Table 13'!D$26/'AEO 2017_Table 13'!$C$26)</f>
        <v/>
      </c>
      <c r="D190" s="195" t="str">
        <f>IF(C190="","",$B190*'AEO 2017_Table 13'!E$26/'AEO 2017_Table 13'!$C$26)</f>
        <v/>
      </c>
      <c r="E190" s="195" t="str">
        <f>IF(D190="","",$B190*'AEO 2017_Table 13'!F$26/'AEO 2017_Table 13'!$C$26)</f>
        <v/>
      </c>
      <c r="F190" s="195" t="str">
        <f>IF(E190="","",$B190*'AEO 2017_Table 13'!G$26/'AEO 2017_Table 13'!$C$26)</f>
        <v/>
      </c>
      <c r="G190" s="195" t="str">
        <f>IF(F190="","",$B190*'AEO 2017_Table 13'!H$26/'AEO 2017_Table 13'!$C$26)</f>
        <v/>
      </c>
      <c r="H190" s="195" t="str">
        <f>IF(G190="","",$B190*'AEO 2017_Table 13'!I$26/'AEO 2017_Table 13'!$C$26)</f>
        <v/>
      </c>
      <c r="I190" s="195" t="str">
        <f>IF(H190="","",$B190*'AEO 2017_Table 13'!J$26/'AEO 2017_Table 13'!$C$26)</f>
        <v/>
      </c>
      <c r="J190" s="195" t="str">
        <f>IF(I190="","",$B190*'AEO 2017_Table 13'!K$26/'AEO 2017_Table 13'!$C$26)</f>
        <v/>
      </c>
      <c r="K190" s="195" t="str">
        <f>IF(J190="","",$B190*'AEO 2017_Table 13'!L$26/'AEO 2017_Table 13'!$C$26)</f>
        <v/>
      </c>
      <c r="L190" s="195" t="str">
        <f>IF(K190="","",$B190*'AEO 2017_Table 13'!M$26/'AEO 2017_Table 13'!$C$26)</f>
        <v/>
      </c>
      <c r="M190" s="195" t="str">
        <f>IF(L190="","",$B190*'AEO 2017_Table 13'!N$26/'AEO 2017_Table 13'!$C$26)</f>
        <v/>
      </c>
      <c r="N190" s="195" t="str">
        <f>IF(M190="","",$B190*'AEO 2017_Table 13'!O$26/'AEO 2017_Table 13'!$C$26)</f>
        <v/>
      </c>
      <c r="O190" s="195" t="str">
        <f>IF(N190="","",$B190*'AEO 2017_Table 13'!P$26/'AEO 2017_Table 13'!$C$26)</f>
        <v/>
      </c>
      <c r="P190" s="195" t="str">
        <f>IF(O190="","",$B190*'AEO 2017_Table 13'!Q$26/'AEO 2017_Table 13'!$C$26)</f>
        <v/>
      </c>
      <c r="Q190" s="195" t="str">
        <f>IF(P190="","",$B190*'AEO 2017_Table 13'!R$26/'AEO 2017_Table 13'!$C$26)</f>
        <v/>
      </c>
      <c r="R190" s="195" t="str">
        <f>IF(Q190="","",$B190*'AEO 2017_Table 13'!S$26/'AEO 2017_Table 13'!$C$26)</f>
        <v/>
      </c>
      <c r="S190" s="195" t="str">
        <f>IF(R190="","",$B190*'AEO 2017_Table 13'!T$26/'AEO 2017_Table 13'!$C$26)</f>
        <v/>
      </c>
      <c r="T190" s="195" t="str">
        <f>IF(S190="","",$B190*'AEO 2017_Table 13'!U$26/'AEO 2017_Table 13'!$C$26)</f>
        <v/>
      </c>
      <c r="U190" s="195" t="str">
        <f>IF(T190="","",$B190*'AEO 2017_Table 13'!V$26/'AEO 2017_Table 13'!$C$26)</f>
        <v/>
      </c>
      <c r="V190" s="195" t="str">
        <f>IF(U190="","",$B190*'AEO 2017_Table 13'!W$26/'AEO 2017_Table 13'!$C$26)</f>
        <v/>
      </c>
      <c r="W190" s="195" t="str">
        <f>IF(V190="","",$B190*'AEO 2017_Table 13'!X$26/'AEO 2017_Table 13'!$C$26)</f>
        <v/>
      </c>
      <c r="X190" s="195" t="str">
        <f>IF(W190="","",$B190*'AEO 2017_Table 13'!Y$26/'AEO 2017_Table 13'!$C$26)</f>
        <v/>
      </c>
      <c r="Y190" s="195" t="str">
        <f>IF(X190="","",$B190*'AEO 2017_Table 13'!Z$26/'AEO 2017_Table 13'!$C$26)</f>
        <v/>
      </c>
      <c r="Z190" s="195" t="str">
        <f>IF(Y190="","",$B190*'AEO 2017_Table 13'!AA$26/'AEO 2017_Table 13'!$C$26)</f>
        <v/>
      </c>
      <c r="AA190" s="195" t="str">
        <f>IF(Z190="","",$B190*'AEO 2017_Table 13'!AB$26/'AEO 2017_Table 13'!$C$26)</f>
        <v/>
      </c>
      <c r="AB190" s="195" t="str">
        <f>IF(AA190="","",$B190*'AEO 2017_Table 13'!AC$26/'AEO 2017_Table 13'!$C$26)</f>
        <v/>
      </c>
      <c r="AC190" s="195" t="str">
        <f>IF(AB190="","",$B190*'AEO 2017_Table 13'!AD$26/'AEO 2017_Table 13'!$C$26)</f>
        <v/>
      </c>
      <c r="AD190" s="195" t="str">
        <f>IF(AC190="","",$B190*'AEO 2017_Table 13'!AE$26/'AEO 2017_Table 13'!$C$26)</f>
        <v/>
      </c>
      <c r="AE190" s="195" t="str">
        <f>IF(AD190="","",$B190*'AEO 2017_Table 13'!AF$26/'AEO 2017_Table 13'!$C$26)</f>
        <v/>
      </c>
      <c r="AF190" s="195" t="str">
        <f>IF(AE190="","",$B190*'AEO 2017_Table 13'!AG$26/'AEO 2017_Table 13'!$C$26)</f>
        <v/>
      </c>
      <c r="AG190" s="195" t="str">
        <f>IF(AF190="","",$B190*'AEO 2017_Table 13'!AH$26/'AEO 2017_Table 13'!$C$26)</f>
        <v/>
      </c>
      <c r="AH190" s="195" t="str">
        <f>IF(AG190="","",$B190*'AEO 2017_Table 13'!AI$26/'AEO 2017_Table 13'!$C$26)</f>
        <v/>
      </c>
      <c r="AI190" s="195" t="str">
        <f>IF(AH190="","",$B190*'AEO 2017_Table 13'!AJ$26/'AEO 2017_Table 13'!$C$26)</f>
        <v/>
      </c>
      <c r="AJ190" s="195" t="str">
        <f>IF(AI190="","",$B190*'AEO 2017_Table 13'!AK$26/'AEO 2017_Table 13'!$C$26)</f>
        <v/>
      </c>
      <c r="AK190" s="195" t="str">
        <f>IF(AJ190="","",$B190*'AEO 2017_Table 13'!AL$26/'AEO 2017_Table 13'!$C$26)</f>
        <v/>
      </c>
    </row>
    <row r="191" spans="1:37" x14ac:dyDescent="0.25">
      <c r="A191" s="215" t="s">
        <v>1530</v>
      </c>
      <c r="B191" s="195">
        <v>1.2278018879999999</v>
      </c>
      <c r="C191" s="195">
        <f>IF(B191="","",$B191*'AEO 2017_Table 13'!D$26/'AEO 2017_Table 13'!$C$26)</f>
        <v>1.1779212643429315</v>
      </c>
      <c r="D191" s="195">
        <f>IF(C191="","",$B191*'AEO 2017_Table 13'!E$26/'AEO 2017_Table 13'!$C$26)</f>
        <v>1.2300536436943741</v>
      </c>
      <c r="E191" s="195">
        <f>IF(D191="","",$B191*'AEO 2017_Table 13'!F$26/'AEO 2017_Table 13'!$C$26)</f>
        <v>1.2423301603384955</v>
      </c>
      <c r="F191" s="195">
        <f>IF(E191="","",$B191*'AEO 2017_Table 13'!G$26/'AEO 2017_Table 13'!$C$26)</f>
        <v>1.2397414669869906</v>
      </c>
      <c r="G191" s="195">
        <f>IF(F191="","",$B191*'AEO 2017_Table 13'!H$26/'AEO 2017_Table 13'!$C$26)</f>
        <v>1.2379084195906476</v>
      </c>
      <c r="H191" s="195">
        <f>IF(G191="","",$B191*'AEO 2017_Table 13'!I$26/'AEO 2017_Table 13'!$C$26)</f>
        <v>1.2369474147946573</v>
      </c>
      <c r="I191" s="195">
        <f>IF(H191="","",$B191*'AEO 2017_Table 13'!J$26/'AEO 2017_Table 13'!$C$26)</f>
        <v>1.2365968930896898</v>
      </c>
      <c r="J191" s="195">
        <f>IF(I191="","",$B191*'AEO 2017_Table 13'!K$26/'AEO 2017_Table 13'!$C$26)</f>
        <v>1.2368009201611219</v>
      </c>
      <c r="K191" s="195">
        <f>IF(J191="","",$B191*'AEO 2017_Table 13'!L$26/'AEO 2017_Table 13'!$C$26)</f>
        <v>1.2377824342058072</v>
      </c>
      <c r="L191" s="195">
        <f>IF(K191="","",$B191*'AEO 2017_Table 13'!M$26/'AEO 2017_Table 13'!$C$26)</f>
        <v>1.2385362156838153</v>
      </c>
      <c r="M191" s="195">
        <f>IF(L191="","",$B191*'AEO 2017_Table 13'!N$26/'AEO 2017_Table 13'!$C$26)</f>
        <v>1.2380906056439893</v>
      </c>
      <c r="N191" s="195">
        <f>IF(M191="","",$B191*'AEO 2017_Table 13'!O$26/'AEO 2017_Table 13'!$C$26)</f>
        <v>1.2366150051534721</v>
      </c>
      <c r="O191" s="195">
        <f>IF(N191="","",$B191*'AEO 2017_Table 13'!P$26/'AEO 2017_Table 13'!$C$26)</f>
        <v>1.2347478644605974</v>
      </c>
      <c r="P191" s="195">
        <f>IF(O191="","",$B191*'AEO 2017_Table 13'!Q$26/'AEO 2017_Table 13'!$C$26)</f>
        <v>1.232998452182309</v>
      </c>
      <c r="Q191" s="195">
        <f>IF(P191="","",$B191*'AEO 2017_Table 13'!R$26/'AEO 2017_Table 13'!$C$26)</f>
        <v>1.2315976971318341</v>
      </c>
      <c r="R191" s="195">
        <f>IF(Q191="","",$B191*'AEO 2017_Table 13'!S$26/'AEO 2017_Table 13'!$C$26)</f>
        <v>1.2299929150099269</v>
      </c>
      <c r="S191" s="195">
        <f>IF(R191="","",$B191*'AEO 2017_Table 13'!T$26/'AEO 2017_Table 13'!$C$26)</f>
        <v>1.2279121585059698</v>
      </c>
      <c r="T191" s="195">
        <f>IF(S191="","",$B191*'AEO 2017_Table 13'!U$26/'AEO 2017_Table 13'!$C$26)</f>
        <v>1.2258828083006896</v>
      </c>
      <c r="U191" s="195">
        <f>IF(T191="","",$B191*'AEO 2017_Table 13'!V$26/'AEO 2017_Table 13'!$C$26)</f>
        <v>1.2240473637194345</v>
      </c>
      <c r="V191" s="195">
        <f>IF(U191="","",$B191*'AEO 2017_Table 13'!W$26/'AEO 2017_Table 13'!$C$26)</f>
        <v>1.2214498806899174</v>
      </c>
      <c r="W191" s="195">
        <f>IF(V191="","",$B191*'AEO 2017_Table 13'!X$26/'AEO 2017_Table 13'!$C$26)</f>
        <v>1.2183900073261877</v>
      </c>
      <c r="X191" s="195">
        <f>IF(W191="","",$B191*'AEO 2017_Table 13'!Y$26/'AEO 2017_Table 13'!$C$26)</f>
        <v>1.2155405535269901</v>
      </c>
      <c r="Y191" s="195">
        <f>IF(X191="","",$B191*'AEO 2017_Table 13'!Z$26/'AEO 2017_Table 13'!$C$26)</f>
        <v>1.2135708665906406</v>
      </c>
      <c r="Z191" s="195">
        <f>IF(Y191="","",$B191*'AEO 2017_Table 13'!AA$26/'AEO 2017_Table 13'!$C$26)</f>
        <v>1.2119927198566487</v>
      </c>
      <c r="AA191" s="195">
        <f>IF(Z191="","",$B191*'AEO 2017_Table 13'!AB$26/'AEO 2017_Table 13'!$C$26)</f>
        <v>1.2112828867687013</v>
      </c>
      <c r="AB191" s="195">
        <f>IF(AA191="","",$B191*'AEO 2017_Table 13'!AC$26/'AEO 2017_Table 13'!$C$26)</f>
        <v>1.2112764942756018</v>
      </c>
      <c r="AC191" s="195">
        <f>IF(AB191="","",$B191*'AEO 2017_Table 13'!AD$26/'AEO 2017_Table 13'!$C$26)</f>
        <v>1.2111726162627314</v>
      </c>
      <c r="AD191" s="195">
        <f>IF(AC191="","",$B191*'AEO 2017_Table 13'!AE$26/'AEO 2017_Table 13'!$C$26)</f>
        <v>1.2111108221627673</v>
      </c>
      <c r="AE191" s="195">
        <f>IF(AD191="","",$B191*'AEO 2017_Table 13'!AF$26/'AEO 2017_Table 13'!$C$26)</f>
        <v>1.2112341440088161</v>
      </c>
      <c r="AF191" s="195">
        <f>IF(AE191="","",$B191*'AEO 2017_Table 13'!AG$26/'AEO 2017_Table 13'!$C$26)</f>
        <v>1.2115186099517534</v>
      </c>
      <c r="AG191" s="195">
        <f>IF(AF191="","",$B191*'AEO 2017_Table 13'!AH$26/'AEO 2017_Table 13'!$C$26)</f>
        <v>1.2119703461308</v>
      </c>
      <c r="AH191" s="195">
        <f>IF(AG191="","",$B191*'AEO 2017_Table 13'!AI$26/'AEO 2017_Table 13'!$C$26)</f>
        <v>1.2125669788201063</v>
      </c>
      <c r="AI191" s="195">
        <f>IF(AH191="","",$B191*'AEO 2017_Table 13'!AJ$26/'AEO 2017_Table 13'!$C$26)</f>
        <v>1.2130458830948267</v>
      </c>
      <c r="AJ191" s="195">
        <f>IF(AI191="","",$B191*'AEO 2017_Table 13'!AK$26/'AEO 2017_Table 13'!$C$26)</f>
        <v>1.2132866670015827</v>
      </c>
      <c r="AK191" s="195">
        <f>IF(AJ191="","",$B191*'AEO 2017_Table 13'!AL$26/'AEO 2017_Table 13'!$C$26)</f>
        <v>1.2136611605556744</v>
      </c>
    </row>
    <row r="192" spans="1:37" x14ac:dyDescent="0.25">
      <c r="A192" s="208" t="s">
        <v>1531</v>
      </c>
      <c r="B192" s="197">
        <v>4.3039195289999999</v>
      </c>
      <c r="C192" s="195">
        <f>IF(B192="","",$B192*'AEO 2017_Table 13'!D$26/'AEO 2017_Table 13'!$C$26)</f>
        <v>4.1290686899724944</v>
      </c>
      <c r="D192" s="195">
        <f>IF(C192="","",$B192*'AEO 2017_Table 13'!E$26/'AEO 2017_Table 13'!$C$26)</f>
        <v>4.3118128018498565</v>
      </c>
      <c r="E192" s="195">
        <f>IF(D192="","",$B192*'AEO 2017_Table 13'!F$26/'AEO 2017_Table 13'!$C$26)</f>
        <v>4.3548467312232644</v>
      </c>
      <c r="F192" s="195">
        <f>IF(E192="","",$B192*'AEO 2017_Table 13'!G$26/'AEO 2017_Table 13'!$C$26)</f>
        <v>4.345772361832708</v>
      </c>
      <c r="G192" s="195">
        <f>IF(F192="","",$B192*'AEO 2017_Table 13'!H$26/'AEO 2017_Table 13'!$C$26)</f>
        <v>4.3393468231820433</v>
      </c>
      <c r="H192" s="195">
        <f>IF(G192="","",$B192*'AEO 2017_Table 13'!I$26/'AEO 2017_Table 13'!$C$26)</f>
        <v>4.3359781304398748</v>
      </c>
      <c r="I192" s="195">
        <f>IF(H192="","",$B192*'AEO 2017_Table 13'!J$26/'AEO 2017_Table 13'!$C$26)</f>
        <v>4.3347494165682861</v>
      </c>
      <c r="J192" s="195">
        <f>IF(I192="","",$B192*'AEO 2017_Table 13'!K$26/'AEO 2017_Table 13'!$C$26)</f>
        <v>4.335464610204788</v>
      </c>
      <c r="K192" s="195">
        <f>IF(J192="","",$B192*'AEO 2017_Table 13'!L$26/'AEO 2017_Table 13'!$C$26)</f>
        <v>4.3389051957798683</v>
      </c>
      <c r="L192" s="195">
        <f>IF(K192="","",$B192*'AEO 2017_Table 13'!M$26/'AEO 2017_Table 13'!$C$26)</f>
        <v>4.3415474908076774</v>
      </c>
      <c r="M192" s="195">
        <f>IF(L192="","",$B192*'AEO 2017_Table 13'!N$26/'AEO 2017_Table 13'!$C$26)</f>
        <v>4.3399854556198587</v>
      </c>
      <c r="N192" s="195">
        <f>IF(M192="","",$B192*'AEO 2017_Table 13'!O$26/'AEO 2017_Table 13'!$C$26)</f>
        <v>4.3348129063428056</v>
      </c>
      <c r="O192" s="195">
        <f>IF(N192="","",$B192*'AEO 2017_Table 13'!P$26/'AEO 2017_Table 13'!$C$26)</f>
        <v>4.3282678575283393</v>
      </c>
      <c r="P192" s="195">
        <f>IF(O192="","",$B192*'AEO 2017_Table 13'!Q$26/'AEO 2017_Table 13'!$C$26)</f>
        <v>4.3221354922482513</v>
      </c>
      <c r="Q192" s="195">
        <f>IF(P192="","",$B192*'AEO 2017_Table 13'!R$26/'AEO 2017_Table 13'!$C$26)</f>
        <v>4.3172253051276694</v>
      </c>
      <c r="R192" s="195">
        <f>IF(Q192="","",$B192*'AEO 2017_Table 13'!S$26/'AEO 2017_Table 13'!$C$26)</f>
        <v>4.3115999243705847</v>
      </c>
      <c r="S192" s="195">
        <f>IF(R192="","",$B192*'AEO 2017_Table 13'!T$26/'AEO 2017_Table 13'!$C$26)</f>
        <v>4.3043060696860458</v>
      </c>
      <c r="T192" s="195">
        <f>IF(S192="","",$B192*'AEO 2017_Table 13'!U$26/'AEO 2017_Table 13'!$C$26)</f>
        <v>4.2971924139203654</v>
      </c>
      <c r="U192" s="195">
        <f>IF(T192="","",$B192*'AEO 2017_Table 13'!V$26/'AEO 2017_Table 13'!$C$26)</f>
        <v>4.2907584722113086</v>
      </c>
      <c r="V192" s="195">
        <f>IF(U192="","",$B192*'AEO 2017_Table 13'!W$26/'AEO 2017_Table 13'!$C$26)</f>
        <v>4.2816532916066476</v>
      </c>
      <c r="W192" s="195">
        <f>IF(V192="","",$B192*'AEO 2017_Table 13'!X$26/'AEO 2017_Table 13'!$C$26)</f>
        <v>4.2709272544054206</v>
      </c>
      <c r="X192" s="195">
        <f>IF(W192="","",$B192*'AEO 2017_Table 13'!Y$26/'AEO 2017_Table 13'!$C$26)</f>
        <v>4.2609388189964097</v>
      </c>
      <c r="Y192" s="195">
        <f>IF(X192="","",$B192*'AEO 2017_Table 13'!Z$26/'AEO 2017_Table 13'!$C$26)</f>
        <v>4.2540343060173829</v>
      </c>
      <c r="Z192" s="195">
        <f>IF(Y192="","",$B192*'AEO 2017_Table 13'!AA$26/'AEO 2017_Table 13'!$C$26)</f>
        <v>4.2485022925757683</v>
      </c>
      <c r="AA192" s="195">
        <f>IF(Z192="","",$B192*'AEO 2017_Table 13'!AB$26/'AEO 2017_Table 13'!$C$26)</f>
        <v>4.2460140536184854</v>
      </c>
      <c r="AB192" s="195">
        <f>IF(AA192="","",$B192*'AEO 2017_Table 13'!AC$26/'AEO 2017_Table 13'!$C$26)</f>
        <v>4.2459916454627731</v>
      </c>
      <c r="AC192" s="195">
        <f>IF(AB192="","",$B192*'AEO 2017_Table 13'!AD$26/'AEO 2017_Table 13'!$C$26)</f>
        <v>4.2456275129324386</v>
      </c>
      <c r="AD192" s="195">
        <f>IF(AC192="","",$B192*'AEO 2017_Table 13'!AE$26/'AEO 2017_Table 13'!$C$26)</f>
        <v>4.2454109007605476</v>
      </c>
      <c r="AE192" s="195">
        <f>IF(AD192="","",$B192*'AEO 2017_Table 13'!AF$26/'AEO 2017_Table 13'!$C$26)</f>
        <v>4.2458431914311756</v>
      </c>
      <c r="AF192" s="195">
        <f>IF(AE192="","",$B192*'AEO 2017_Table 13'!AG$26/'AEO 2017_Table 13'!$C$26)</f>
        <v>4.2468403543603976</v>
      </c>
      <c r="AG192" s="195">
        <f>IF(AF192="","",$B192*'AEO 2017_Table 13'!AH$26/'AEO 2017_Table 13'!$C$26)</f>
        <v>4.2484238640307739</v>
      </c>
      <c r="AH192" s="195">
        <f>IF(AG192="","",$B192*'AEO 2017_Table 13'!AI$26/'AEO 2017_Table 13'!$C$26)</f>
        <v>4.2505152918973081</v>
      </c>
      <c r="AI192" s="195">
        <f>IF(AH192="","",$B192*'AEO 2017_Table 13'!AJ$26/'AEO 2017_Table 13'!$C$26)</f>
        <v>4.2521940362294632</v>
      </c>
      <c r="AJ192" s="195">
        <f>IF(AI192="","",$B192*'AEO 2017_Table 13'!AK$26/'AEO 2017_Table 13'!$C$26)</f>
        <v>4.2530380767613147</v>
      </c>
      <c r="AK192" s="195">
        <f>IF(AJ192="","",$B192*'AEO 2017_Table 13'!AL$26/'AEO 2017_Table 13'!$C$26)</f>
        <v>4.2543508212168275</v>
      </c>
    </row>
    <row r="193" spans="1:37" x14ac:dyDescent="0.25">
      <c r="A193" s="209" t="s">
        <v>1445</v>
      </c>
      <c r="B193" s="193"/>
      <c r="C193" s="195" t="str">
        <f>IF(B193="","",$B193*'AEO 2017_Table 13'!D$26/'AEO 2017_Table 13'!$C$26)</f>
        <v/>
      </c>
      <c r="D193" s="195" t="str">
        <f>IF(C193="","",$B193*'AEO 2017_Table 13'!E$26/'AEO 2017_Table 13'!$C$26)</f>
        <v/>
      </c>
      <c r="E193" s="195" t="str">
        <f>IF(D193="","",$B193*'AEO 2017_Table 13'!F$26/'AEO 2017_Table 13'!$C$26)</f>
        <v/>
      </c>
      <c r="F193" s="195" t="str">
        <f>IF(E193="","",$B193*'AEO 2017_Table 13'!G$26/'AEO 2017_Table 13'!$C$26)</f>
        <v/>
      </c>
      <c r="G193" s="195" t="str">
        <f>IF(F193="","",$B193*'AEO 2017_Table 13'!H$26/'AEO 2017_Table 13'!$C$26)</f>
        <v/>
      </c>
      <c r="H193" s="195" t="str">
        <f>IF(G193="","",$B193*'AEO 2017_Table 13'!I$26/'AEO 2017_Table 13'!$C$26)</f>
        <v/>
      </c>
      <c r="I193" s="195" t="str">
        <f>IF(H193="","",$B193*'AEO 2017_Table 13'!J$26/'AEO 2017_Table 13'!$C$26)</f>
        <v/>
      </c>
      <c r="J193" s="195" t="str">
        <f>IF(I193="","",$B193*'AEO 2017_Table 13'!K$26/'AEO 2017_Table 13'!$C$26)</f>
        <v/>
      </c>
      <c r="K193" s="195" t="str">
        <f>IF(J193="","",$B193*'AEO 2017_Table 13'!L$26/'AEO 2017_Table 13'!$C$26)</f>
        <v/>
      </c>
      <c r="L193" s="195" t="str">
        <f>IF(K193="","",$B193*'AEO 2017_Table 13'!M$26/'AEO 2017_Table 13'!$C$26)</f>
        <v/>
      </c>
      <c r="M193" s="195" t="str">
        <f>IF(L193="","",$B193*'AEO 2017_Table 13'!N$26/'AEO 2017_Table 13'!$C$26)</f>
        <v/>
      </c>
      <c r="N193" s="195" t="str">
        <f>IF(M193="","",$B193*'AEO 2017_Table 13'!O$26/'AEO 2017_Table 13'!$C$26)</f>
        <v/>
      </c>
      <c r="O193" s="195" t="str">
        <f>IF(N193="","",$B193*'AEO 2017_Table 13'!P$26/'AEO 2017_Table 13'!$C$26)</f>
        <v/>
      </c>
      <c r="P193" s="195" t="str">
        <f>IF(O193="","",$B193*'AEO 2017_Table 13'!Q$26/'AEO 2017_Table 13'!$C$26)</f>
        <v/>
      </c>
      <c r="Q193" s="195" t="str">
        <f>IF(P193="","",$B193*'AEO 2017_Table 13'!R$26/'AEO 2017_Table 13'!$C$26)</f>
        <v/>
      </c>
      <c r="R193" s="195" t="str">
        <f>IF(Q193="","",$B193*'AEO 2017_Table 13'!S$26/'AEO 2017_Table 13'!$C$26)</f>
        <v/>
      </c>
      <c r="S193" s="195" t="str">
        <f>IF(R193="","",$B193*'AEO 2017_Table 13'!T$26/'AEO 2017_Table 13'!$C$26)</f>
        <v/>
      </c>
      <c r="T193" s="195" t="str">
        <f>IF(S193="","",$B193*'AEO 2017_Table 13'!U$26/'AEO 2017_Table 13'!$C$26)</f>
        <v/>
      </c>
      <c r="U193" s="195" t="str">
        <f>IF(T193="","",$B193*'AEO 2017_Table 13'!V$26/'AEO 2017_Table 13'!$C$26)</f>
        <v/>
      </c>
      <c r="V193" s="195" t="str">
        <f>IF(U193="","",$B193*'AEO 2017_Table 13'!W$26/'AEO 2017_Table 13'!$C$26)</f>
        <v/>
      </c>
      <c r="W193" s="195" t="str">
        <f>IF(V193="","",$B193*'AEO 2017_Table 13'!X$26/'AEO 2017_Table 13'!$C$26)</f>
        <v/>
      </c>
      <c r="X193" s="195" t="str">
        <f>IF(W193="","",$B193*'AEO 2017_Table 13'!Y$26/'AEO 2017_Table 13'!$C$26)</f>
        <v/>
      </c>
      <c r="Y193" s="195" t="str">
        <f>IF(X193="","",$B193*'AEO 2017_Table 13'!Z$26/'AEO 2017_Table 13'!$C$26)</f>
        <v/>
      </c>
      <c r="Z193" s="195" t="str">
        <f>IF(Y193="","",$B193*'AEO 2017_Table 13'!AA$26/'AEO 2017_Table 13'!$C$26)</f>
        <v/>
      </c>
      <c r="AA193" s="195" t="str">
        <f>IF(Z193="","",$B193*'AEO 2017_Table 13'!AB$26/'AEO 2017_Table 13'!$C$26)</f>
        <v/>
      </c>
      <c r="AB193" s="195" t="str">
        <f>IF(AA193="","",$B193*'AEO 2017_Table 13'!AC$26/'AEO 2017_Table 13'!$C$26)</f>
        <v/>
      </c>
      <c r="AC193" s="195" t="str">
        <f>IF(AB193="","",$B193*'AEO 2017_Table 13'!AD$26/'AEO 2017_Table 13'!$C$26)</f>
        <v/>
      </c>
      <c r="AD193" s="195" t="str">
        <f>IF(AC193="","",$B193*'AEO 2017_Table 13'!AE$26/'AEO 2017_Table 13'!$C$26)</f>
        <v/>
      </c>
      <c r="AE193" s="195" t="str">
        <f>IF(AD193="","",$B193*'AEO 2017_Table 13'!AF$26/'AEO 2017_Table 13'!$C$26)</f>
        <v/>
      </c>
      <c r="AF193" s="195" t="str">
        <f>IF(AE193="","",$B193*'AEO 2017_Table 13'!AG$26/'AEO 2017_Table 13'!$C$26)</f>
        <v/>
      </c>
      <c r="AG193" s="195" t="str">
        <f>IF(AF193="","",$B193*'AEO 2017_Table 13'!AH$26/'AEO 2017_Table 13'!$C$26)</f>
        <v/>
      </c>
      <c r="AH193" s="195" t="str">
        <f>IF(AG193="","",$B193*'AEO 2017_Table 13'!AI$26/'AEO 2017_Table 13'!$C$26)</f>
        <v/>
      </c>
      <c r="AI193" s="195" t="str">
        <f>IF(AH193="","",$B193*'AEO 2017_Table 13'!AJ$26/'AEO 2017_Table 13'!$C$26)</f>
        <v/>
      </c>
      <c r="AJ193" s="195" t="str">
        <f>IF(AI193="","",$B193*'AEO 2017_Table 13'!AK$26/'AEO 2017_Table 13'!$C$26)</f>
        <v/>
      </c>
      <c r="AK193" s="195" t="str">
        <f>IF(AJ193="","",$B193*'AEO 2017_Table 13'!AL$26/'AEO 2017_Table 13'!$C$26)</f>
        <v/>
      </c>
    </row>
    <row r="194" spans="1:37" x14ac:dyDescent="0.25">
      <c r="A194" s="215" t="s">
        <v>1532</v>
      </c>
      <c r="B194" s="195">
        <v>67.090510305000009</v>
      </c>
      <c r="C194" s="195">
        <f>IF(B194="","",$B194*'AEO 2017_Table 13'!D$26/'AEO 2017_Table 13'!$C$26)</f>
        <v>64.364894284865358</v>
      </c>
      <c r="D194" s="195">
        <f>IF(C194="","",$B194*'AEO 2017_Table 13'!E$26/'AEO 2017_Table 13'!$C$26)</f>
        <v>67.213552499424253</v>
      </c>
      <c r="E194" s="195">
        <f>IF(D194="","",$B194*'AEO 2017_Table 13'!F$26/'AEO 2017_Table 13'!$C$26)</f>
        <v>67.884375516127378</v>
      </c>
      <c r="F194" s="195">
        <f>IF(E194="","",$B194*'AEO 2017_Table 13'!G$26/'AEO 2017_Table 13'!$C$26)</f>
        <v>67.74292211092164</v>
      </c>
      <c r="G194" s="195">
        <f>IF(F194="","",$B194*'AEO 2017_Table 13'!H$26/'AEO 2017_Table 13'!$C$26)</f>
        <v>67.642759302543624</v>
      </c>
      <c r="H194" s="195">
        <f>IF(G194="","",$B194*'AEO 2017_Table 13'!I$26/'AEO 2017_Table 13'!$C$26)</f>
        <v>67.590247327445127</v>
      </c>
      <c r="I194" s="195">
        <f>IF(H194="","",$B194*'AEO 2017_Table 13'!J$26/'AEO 2017_Table 13'!$C$26)</f>
        <v>67.571093846505661</v>
      </c>
      <c r="J194" s="195">
        <f>IF(I194="","",$B194*'AEO 2017_Table 13'!K$26/'AEO 2017_Table 13'!$C$26)</f>
        <v>67.582242453192308</v>
      </c>
      <c r="K194" s="195">
        <f>IF(J194="","",$B194*'AEO 2017_Table 13'!L$26/'AEO 2017_Table 13'!$C$26)</f>
        <v>67.6358751106862</v>
      </c>
      <c r="L194" s="195">
        <f>IF(K194="","",$B194*'AEO 2017_Table 13'!M$26/'AEO 2017_Table 13'!$C$26)</f>
        <v>67.677063827296152</v>
      </c>
      <c r="M194" s="195">
        <f>IF(L194="","",$B194*'AEO 2017_Table 13'!N$26/'AEO 2017_Table 13'!$C$26)</f>
        <v>67.652714455250759</v>
      </c>
      <c r="N194" s="195">
        <f>IF(M194="","",$B194*'AEO 2017_Table 13'!O$26/'AEO 2017_Table 13'!$C$26)</f>
        <v>67.572083540049633</v>
      </c>
      <c r="O194" s="195">
        <f>IF(N194="","",$B194*'AEO 2017_Table 13'!P$26/'AEO 2017_Table 13'!$C$26)</f>
        <v>67.470057779118235</v>
      </c>
      <c r="P194" s="195">
        <f>IF(O194="","",$B194*'AEO 2017_Table 13'!Q$26/'AEO 2017_Table 13'!$C$26)</f>
        <v>67.374465026222751</v>
      </c>
      <c r="Q194" s="195">
        <f>IF(P194="","",$B194*'AEO 2017_Table 13'!R$26/'AEO 2017_Table 13'!$C$26)</f>
        <v>67.297923874048976</v>
      </c>
      <c r="R194" s="195">
        <f>IF(Q194="","",$B194*'AEO 2017_Table 13'!S$26/'AEO 2017_Table 13'!$C$26)</f>
        <v>67.210234115188541</v>
      </c>
      <c r="S194" s="195">
        <f>IF(R194="","",$B194*'AEO 2017_Table 13'!T$26/'AEO 2017_Table 13'!$C$26)</f>
        <v>67.096535792164858</v>
      </c>
      <c r="T194" s="195">
        <f>IF(S194="","",$B194*'AEO 2017_Table 13'!U$26/'AEO 2017_Table 13'!$C$26)</f>
        <v>66.985646452288066</v>
      </c>
      <c r="U194" s="195">
        <f>IF(T194="","",$B194*'AEO 2017_Table 13'!V$26/'AEO 2017_Table 13'!$C$26)</f>
        <v>66.885352655058654</v>
      </c>
      <c r="V194" s="195">
        <f>IF(U194="","",$B194*'AEO 2017_Table 13'!W$26/'AEO 2017_Table 13'!$C$26)</f>
        <v>66.743418957397736</v>
      </c>
      <c r="W194" s="195">
        <f>IF(V194="","",$B194*'AEO 2017_Table 13'!X$26/'AEO 2017_Table 13'!$C$26)</f>
        <v>66.57621896573157</v>
      </c>
      <c r="X194" s="195">
        <f>IF(W194="","",$B194*'AEO 2017_Table 13'!Y$26/'AEO 2017_Table 13'!$C$26)</f>
        <v>66.42051688435582</v>
      </c>
      <c r="Y194" s="195">
        <f>IF(X194="","",$B194*'AEO 2017_Table 13'!Z$26/'AEO 2017_Table 13'!$C$26)</f>
        <v>66.312887711447445</v>
      </c>
      <c r="Z194" s="195">
        <f>IF(Y194="","",$B194*'AEO 2017_Table 13'!AA$26/'AEO 2017_Table 13'!$C$26)</f>
        <v>66.226653384269341</v>
      </c>
      <c r="AA194" s="195">
        <f>IF(Z194="","",$B194*'AEO 2017_Table 13'!AB$26/'AEO 2017_Table 13'!$C$26)</f>
        <v>66.18786612993523</v>
      </c>
      <c r="AB194" s="195">
        <f>IF(AA194="","",$B194*'AEO 2017_Table 13'!AC$26/'AEO 2017_Table 13'!$C$26)</f>
        <v>66.187516826331475</v>
      </c>
      <c r="AC194" s="195">
        <f>IF(AB194="","",$B194*'AEO 2017_Table 13'!AD$26/'AEO 2017_Table 13'!$C$26)</f>
        <v>66.181840642770382</v>
      </c>
      <c r="AD194" s="195">
        <f>IF(AC194="","",$B194*'AEO 2017_Table 13'!AE$26/'AEO 2017_Table 13'!$C$26)</f>
        <v>66.178464041267361</v>
      </c>
      <c r="AE194" s="195">
        <f>IF(AD194="","",$B194*'AEO 2017_Table 13'!AF$26/'AEO 2017_Table 13'!$C$26)</f>
        <v>66.185202689956569</v>
      </c>
      <c r="AF194" s="195">
        <f>IF(AE194="","",$B194*'AEO 2017_Table 13'!AG$26/'AEO 2017_Table 13'!$C$26)</f>
        <v>66.200746700323862</v>
      </c>
      <c r="AG194" s="195">
        <f>IF(AF194="","",$B194*'AEO 2017_Table 13'!AH$26/'AEO 2017_Table 13'!$C$26)</f>
        <v>66.22543082165619</v>
      </c>
      <c r="AH194" s="195">
        <f>IF(AG194="","",$B194*'AEO 2017_Table 13'!AI$26/'AEO 2017_Table 13'!$C$26)</f>
        <v>66.258032491340387</v>
      </c>
      <c r="AI194" s="195">
        <f>IF(AH194="","",$B194*'AEO 2017_Table 13'!AJ$26/'AEO 2017_Table 13'!$C$26)</f>
        <v>66.284201152988715</v>
      </c>
      <c r="AJ194" s="195">
        <f>IF(AI194="","",$B194*'AEO 2017_Table 13'!AK$26/'AEO 2017_Table 13'!$C$26)</f>
        <v>66.297358255396986</v>
      </c>
      <c r="AK194" s="195">
        <f>IF(AJ194="","",$B194*'AEO 2017_Table 13'!AL$26/'AEO 2017_Table 13'!$C$26)</f>
        <v>66.317821624850552</v>
      </c>
    </row>
    <row r="197" spans="1:37" x14ac:dyDescent="0.25">
      <c r="A197" s="56" t="s">
        <v>1656</v>
      </c>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c r="AD197" s="56"/>
      <c r="AE197" s="56"/>
      <c r="AF197" s="56"/>
      <c r="AG197" s="56"/>
      <c r="AH197" s="56"/>
      <c r="AI197" s="56"/>
      <c r="AJ197" s="56"/>
      <c r="AK197" s="56"/>
    </row>
    <row r="198" spans="1:37" x14ac:dyDescent="0.25">
      <c r="B198">
        <v>2015</v>
      </c>
      <c r="C198">
        <v>2016</v>
      </c>
      <c r="D198">
        <v>2017</v>
      </c>
      <c r="E198">
        <v>2018</v>
      </c>
      <c r="F198">
        <v>2019</v>
      </c>
      <c r="G198">
        <v>2020</v>
      </c>
      <c r="H198">
        <v>2021</v>
      </c>
      <c r="I198">
        <v>2022</v>
      </c>
      <c r="J198">
        <v>2023</v>
      </c>
      <c r="K198">
        <v>2024</v>
      </c>
      <c r="L198">
        <v>2025</v>
      </c>
      <c r="M198">
        <v>2026</v>
      </c>
      <c r="N198">
        <v>2027</v>
      </c>
      <c r="O198">
        <v>2028</v>
      </c>
      <c r="P198">
        <v>2029</v>
      </c>
      <c r="Q198">
        <v>2030</v>
      </c>
      <c r="R198">
        <v>2031</v>
      </c>
      <c r="S198">
        <v>2032</v>
      </c>
      <c r="T198">
        <v>2033</v>
      </c>
      <c r="U198">
        <v>2034</v>
      </c>
      <c r="V198">
        <v>2035</v>
      </c>
      <c r="W198">
        <v>2036</v>
      </c>
      <c r="X198">
        <v>2037</v>
      </c>
      <c r="Y198">
        <v>2038</v>
      </c>
      <c r="Z198">
        <v>2039</v>
      </c>
      <c r="AA198">
        <v>2040</v>
      </c>
      <c r="AB198">
        <v>2041</v>
      </c>
      <c r="AC198">
        <v>2042</v>
      </c>
      <c r="AD198">
        <v>2043</v>
      </c>
      <c r="AE198">
        <v>2044</v>
      </c>
      <c r="AF198">
        <v>2045</v>
      </c>
      <c r="AG198">
        <v>2046</v>
      </c>
      <c r="AH198">
        <v>2047</v>
      </c>
      <c r="AI198">
        <v>2048</v>
      </c>
      <c r="AJ198">
        <v>2049</v>
      </c>
      <c r="AK198">
        <v>2050</v>
      </c>
    </row>
    <row r="199" spans="1:37" x14ac:dyDescent="0.25">
      <c r="A199" t="s">
        <v>642</v>
      </c>
      <c r="B199" s="327">
        <f>SUM(B164,B101,B74,B12)</f>
        <v>6497.0132207556235</v>
      </c>
      <c r="C199" s="327">
        <f t="shared" ref="C199:AK199" si="18">SUM(C164,C101,C74,C12)</f>
        <v>6416.0193235495199</v>
      </c>
      <c r="D199" s="327">
        <f t="shared" si="18"/>
        <v>6553.2065252953853</v>
      </c>
      <c r="E199" s="327">
        <f t="shared" si="18"/>
        <v>6793.4878839044814</v>
      </c>
      <c r="F199" s="327">
        <f t="shared" si="18"/>
        <v>6958.5096511724896</v>
      </c>
      <c r="G199" s="327">
        <f t="shared" si="18"/>
        <v>7076.5509666191683</v>
      </c>
      <c r="H199" s="327">
        <f t="shared" si="18"/>
        <v>7139.5407515832503</v>
      </c>
      <c r="I199" s="327">
        <f t="shared" si="18"/>
        <v>7188.4135873527548</v>
      </c>
      <c r="J199" s="327">
        <f t="shared" si="18"/>
        <v>7282.5684112100935</v>
      </c>
      <c r="K199" s="327">
        <f t="shared" si="18"/>
        <v>7384.6654432789419</v>
      </c>
      <c r="L199" s="327">
        <f t="shared" si="18"/>
        <v>7487.6154516458782</v>
      </c>
      <c r="M199" s="327">
        <f t="shared" si="18"/>
        <v>7582.3146193808179</v>
      </c>
      <c r="N199" s="327">
        <f t="shared" si="18"/>
        <v>7635.4435671711926</v>
      </c>
      <c r="O199" s="327">
        <f t="shared" si="18"/>
        <v>7676.0075806553859</v>
      </c>
      <c r="P199" s="327">
        <f t="shared" si="18"/>
        <v>7714.7859245666086</v>
      </c>
      <c r="Q199" s="327">
        <f t="shared" si="18"/>
        <v>7740.2630829901855</v>
      </c>
      <c r="R199" s="327">
        <f t="shared" si="18"/>
        <v>7767.3603372148591</v>
      </c>
      <c r="S199" s="327">
        <f t="shared" si="18"/>
        <v>7809.7395920913632</v>
      </c>
      <c r="T199" s="327">
        <f t="shared" si="18"/>
        <v>7859.8539507381047</v>
      </c>
      <c r="U199" s="327">
        <f t="shared" si="18"/>
        <v>7928.8500826708578</v>
      </c>
      <c r="V199" s="327">
        <f t="shared" si="18"/>
        <v>8025.2927435213214</v>
      </c>
      <c r="W199" s="327">
        <f t="shared" si="18"/>
        <v>8118.2907072917551</v>
      </c>
      <c r="X199" s="327">
        <f t="shared" si="18"/>
        <v>8196.0489453809223</v>
      </c>
      <c r="Y199" s="327">
        <f t="shared" si="18"/>
        <v>8262.8659916109427</v>
      </c>
      <c r="Z199" s="327">
        <f t="shared" si="18"/>
        <v>8334.7946127172509</v>
      </c>
      <c r="AA199" s="327">
        <f t="shared" si="18"/>
        <v>8388.7070360916314</v>
      </c>
      <c r="AB199" s="327">
        <f t="shared" si="18"/>
        <v>8430.20222154363</v>
      </c>
      <c r="AC199" s="327">
        <f t="shared" si="18"/>
        <v>8462.8443727583872</v>
      </c>
      <c r="AD199" s="327">
        <f t="shared" si="18"/>
        <v>8500.7115795552872</v>
      </c>
      <c r="AE199" s="327">
        <f t="shared" si="18"/>
        <v>8557.4891949456523</v>
      </c>
      <c r="AF199" s="327">
        <f t="shared" si="18"/>
        <v>8620.7763630226891</v>
      </c>
      <c r="AG199" s="327">
        <f t="shared" si="18"/>
        <v>8678.3092835778152</v>
      </c>
      <c r="AH199" s="327">
        <f t="shared" si="18"/>
        <v>8736.262728785392</v>
      </c>
      <c r="AI199" s="327">
        <f t="shared" si="18"/>
        <v>8789.3815292097715</v>
      </c>
      <c r="AJ199" s="327">
        <f t="shared" si="18"/>
        <v>8839.4440787855801</v>
      </c>
      <c r="AK199" s="327">
        <f t="shared" si="18"/>
        <v>8899.2251059609753</v>
      </c>
    </row>
    <row r="200" spans="1:37" x14ac:dyDescent="0.25">
      <c r="A200" t="s">
        <v>643</v>
      </c>
      <c r="B200" s="66">
        <f>SUM('EPA (2017) Table A3.6-10'!AA8,'EPA (2017) Table A3.6-10'!AA59,'EPA (2017) Table A3.6-10'!AA139,)/1000</f>
        <v>42.311991268518163</v>
      </c>
      <c r="C200" s="66">
        <f>B200*'AEO 2017_Table 13'!D16/'AEO 2017_Table 13'!C16</f>
        <v>41.528440802239082</v>
      </c>
      <c r="D200" s="66">
        <f>C200*'AEO 2017_Table 13'!E16/'AEO 2017_Table 13'!D16</f>
        <v>43.603753797185206</v>
      </c>
      <c r="E200" s="66">
        <f>D200*'AEO 2017_Table 13'!F16/'AEO 2017_Table 13'!E16</f>
        <v>45.62577690191037</v>
      </c>
      <c r="F200" s="66">
        <f>E200*'AEO 2017_Table 13'!G16/'AEO 2017_Table 13'!F16</f>
        <v>47.01526469333794</v>
      </c>
      <c r="G200" s="66">
        <f>F200*'AEO 2017_Table 13'!H16/'AEO 2017_Table 13'!G16</f>
        <v>48.252511755092407</v>
      </c>
      <c r="H200" s="66">
        <f>G200*'AEO 2017_Table 13'!I16/'AEO 2017_Table 13'!H16</f>
        <v>48.450316389609895</v>
      </c>
      <c r="I200" s="66">
        <f>H200*'AEO 2017_Table 13'!J16/'AEO 2017_Table 13'!I16</f>
        <v>49.113004333031931</v>
      </c>
      <c r="J200" s="66">
        <f>I200*'AEO 2017_Table 13'!K16/'AEO 2017_Table 13'!J16</f>
        <v>49.994383367386547</v>
      </c>
      <c r="K200" s="66">
        <f>J200*'AEO 2017_Table 13'!L16/'AEO 2017_Table 13'!K16</f>
        <v>50.825826803793717</v>
      </c>
      <c r="L200" s="66">
        <f>K200*'AEO 2017_Table 13'!M16/'AEO 2017_Table 13'!L16</f>
        <v>51.601259976684851</v>
      </c>
      <c r="M200" s="66">
        <f>L200*'AEO 2017_Table 13'!N16/'AEO 2017_Table 13'!M16</f>
        <v>52.353502671589922</v>
      </c>
      <c r="N200" s="66">
        <f>M200*'AEO 2017_Table 13'!O16/'AEO 2017_Table 13'!N16</f>
        <v>52.649054482116583</v>
      </c>
      <c r="O200" s="66">
        <f>N200*'AEO 2017_Table 13'!P16/'AEO 2017_Table 13'!O16</f>
        <v>53.077233099554242</v>
      </c>
      <c r="P200" s="66">
        <f>O200*'AEO 2017_Table 13'!Q16/'AEO 2017_Table 13'!P16</f>
        <v>53.397362183659283</v>
      </c>
      <c r="Q200" s="66">
        <f>P200*'AEO 2017_Table 13'!R16/'AEO 2017_Table 13'!Q16</f>
        <v>53.609454256288053</v>
      </c>
      <c r="R200" s="66">
        <f>Q200*'AEO 2017_Table 13'!S16/'AEO 2017_Table 13'!R16</f>
        <v>53.878586515118798</v>
      </c>
      <c r="S200" s="66">
        <f>R200*'AEO 2017_Table 13'!T16/'AEO 2017_Table 13'!S16</f>
        <v>54.275530927088582</v>
      </c>
      <c r="T200" s="66">
        <f>S200*'AEO 2017_Table 13'!U16/'AEO 2017_Table 13'!T16</f>
        <v>54.69982150812524</v>
      </c>
      <c r="U200" s="66">
        <f>T200*'AEO 2017_Table 13'!V16/'AEO 2017_Table 13'!U16</f>
        <v>55.27696795502888</v>
      </c>
      <c r="V200" s="66">
        <f>U200*'AEO 2017_Table 13'!W16/'AEO 2017_Table 13'!V16</f>
        <v>56.082189058977846</v>
      </c>
      <c r="W200" s="66">
        <f>V200*'AEO 2017_Table 13'!X16/'AEO 2017_Table 13'!W16</f>
        <v>56.724417854333197</v>
      </c>
      <c r="X200" s="66">
        <f>W200*'AEO 2017_Table 13'!Y16/'AEO 2017_Table 13'!X16</f>
        <v>57.283418566133413</v>
      </c>
      <c r="Y200" s="66">
        <f>X200*'AEO 2017_Table 13'!Z16/'AEO 2017_Table 13'!Y16</f>
        <v>57.718027156813982</v>
      </c>
      <c r="Z200" s="66">
        <f>Y200*'AEO 2017_Table 13'!AA16/'AEO 2017_Table 13'!Z16</f>
        <v>58.255329056767465</v>
      </c>
      <c r="AA200" s="66">
        <f>Z200*'AEO 2017_Table 13'!AB16/'AEO 2017_Table 13'!AA16</f>
        <v>58.544058020807803</v>
      </c>
      <c r="AB200" s="66">
        <f>AA200*'AEO 2017_Table 13'!AC16/'AEO 2017_Table 13'!AB16</f>
        <v>58.83171167043291</v>
      </c>
      <c r="AC200" s="66">
        <f>AB200*'AEO 2017_Table 13'!AD16/'AEO 2017_Table 13'!AC16</f>
        <v>59.005571385118394</v>
      </c>
      <c r="AD200" s="66">
        <f>AC200*'AEO 2017_Table 13'!AE16/'AEO 2017_Table 13'!AD16</f>
        <v>59.306379244853822</v>
      </c>
      <c r="AE200" s="66">
        <f>AD200*'AEO 2017_Table 13'!AF16/'AEO 2017_Table 13'!AE16</f>
        <v>59.739297384925244</v>
      </c>
      <c r="AF200" s="66">
        <f>AE200*'AEO 2017_Table 13'!AG16/'AEO 2017_Table 13'!AF16</f>
        <v>60.164120144857364</v>
      </c>
      <c r="AG200" s="66">
        <f>AF200*'AEO 2017_Table 13'!AH16/'AEO 2017_Table 13'!AG16</f>
        <v>60.533240991986411</v>
      </c>
      <c r="AH200" s="66">
        <f>AG200*'AEO 2017_Table 13'!AI16/'AEO 2017_Table 13'!AH16</f>
        <v>60.94809165855667</v>
      </c>
      <c r="AI200" s="66">
        <f>AH200*'AEO 2017_Table 13'!AJ16/'AEO 2017_Table 13'!AI16</f>
        <v>61.291602178957334</v>
      </c>
      <c r="AJ200" s="66">
        <f>AI200*'AEO 2017_Table 13'!AK16/'AEO 2017_Table 13'!AJ16</f>
        <v>61.639669089842421</v>
      </c>
      <c r="AK200" s="66">
        <f>AJ200*'AEO 2017_Table 13'!AL16/'AEO 2017_Table 13'!AK16</f>
        <v>62.07842241497945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54"/>
  <sheetViews>
    <sheetView topLeftCell="A25" workbookViewId="0">
      <selection activeCell="B10" sqref="B10"/>
    </sheetView>
  </sheetViews>
  <sheetFormatPr defaultRowHeight="15" x14ac:dyDescent="0.25"/>
  <cols>
    <col min="1" max="1" width="70.28515625" bestFit="1" customWidth="1"/>
    <col min="2" max="2" width="12" bestFit="1" customWidth="1"/>
    <col min="7" max="7" width="12.28515625" bestFit="1" customWidth="1"/>
  </cols>
  <sheetData>
    <row r="1" spans="1:7" x14ac:dyDescent="0.25">
      <c r="A1" s="74" t="s">
        <v>487</v>
      </c>
      <c r="B1" s="74"/>
      <c r="C1" s="74"/>
      <c r="D1" s="74"/>
      <c r="E1" s="74"/>
      <c r="F1" s="74"/>
      <c r="G1" s="165"/>
    </row>
    <row r="2" spans="1:7" x14ac:dyDescent="0.25">
      <c r="A2" s="329" t="s">
        <v>1679</v>
      </c>
      <c r="B2" s="329"/>
      <c r="C2" s="329"/>
      <c r="D2" s="329"/>
      <c r="E2" s="329"/>
      <c r="F2" s="329"/>
      <c r="G2" s="330"/>
    </row>
    <row r="3" spans="1:7" x14ac:dyDescent="0.25">
      <c r="A3" s="55"/>
      <c r="B3" s="62">
        <v>2011</v>
      </c>
      <c r="C3" s="62">
        <v>2012</v>
      </c>
      <c r="D3" s="62">
        <v>2013</v>
      </c>
      <c r="E3" s="62">
        <v>2014</v>
      </c>
      <c r="F3" s="62">
        <v>2015</v>
      </c>
      <c r="G3" s="331"/>
    </row>
    <row r="4" spans="1:7" x14ac:dyDescent="0.25">
      <c r="A4" t="s">
        <v>467</v>
      </c>
      <c r="B4">
        <v>1888</v>
      </c>
      <c r="C4">
        <v>1825</v>
      </c>
      <c r="D4">
        <v>1746</v>
      </c>
      <c r="E4">
        <v>1689</v>
      </c>
      <c r="F4">
        <v>1561</v>
      </c>
    </row>
    <row r="5" spans="1:7" x14ac:dyDescent="0.25">
      <c r="A5" t="s">
        <v>470</v>
      </c>
      <c r="B5">
        <v>5</v>
      </c>
      <c r="C5">
        <v>6</v>
      </c>
      <c r="D5">
        <v>7</v>
      </c>
      <c r="E5">
        <v>8</v>
      </c>
      <c r="F5">
        <v>8</v>
      </c>
    </row>
    <row r="6" spans="1:7" x14ac:dyDescent="0.25">
      <c r="A6" t="s">
        <v>471</v>
      </c>
      <c r="B6">
        <v>28</v>
      </c>
      <c r="C6">
        <v>27</v>
      </c>
      <c r="D6">
        <v>26</v>
      </c>
      <c r="E6">
        <v>24</v>
      </c>
      <c r="F6">
        <v>26</v>
      </c>
    </row>
    <row r="8" spans="1:7" x14ac:dyDescent="0.25">
      <c r="A8" s="329" t="s">
        <v>1680</v>
      </c>
      <c r="B8" s="329"/>
      <c r="C8" s="329"/>
      <c r="D8" s="329"/>
      <c r="E8" s="329"/>
      <c r="F8" s="329"/>
      <c r="G8" s="330"/>
    </row>
    <row r="9" spans="1:7" x14ac:dyDescent="0.25">
      <c r="A9" s="55"/>
      <c r="B9" s="62">
        <v>2011</v>
      </c>
      <c r="C9" s="62">
        <v>2012</v>
      </c>
      <c r="D9" s="62">
        <v>2013</v>
      </c>
      <c r="E9" s="62">
        <v>2014</v>
      </c>
      <c r="F9" s="62">
        <v>2015</v>
      </c>
      <c r="G9" s="3"/>
    </row>
    <row r="10" spans="1:7" x14ac:dyDescent="0.25">
      <c r="A10" t="s">
        <v>467</v>
      </c>
      <c r="B10">
        <v>395</v>
      </c>
      <c r="C10">
        <v>473</v>
      </c>
      <c r="D10">
        <v>550</v>
      </c>
      <c r="E10">
        <v>640</v>
      </c>
      <c r="F10">
        <v>640</v>
      </c>
    </row>
    <row r="11" spans="1:7" x14ac:dyDescent="0.25">
      <c r="A11" t="s">
        <v>472</v>
      </c>
      <c r="B11">
        <v>3797</v>
      </c>
      <c r="C11">
        <v>6404</v>
      </c>
      <c r="D11">
        <v>3143</v>
      </c>
      <c r="E11">
        <v>2927</v>
      </c>
      <c r="F11">
        <v>2927</v>
      </c>
    </row>
    <row r="13" spans="1:7" x14ac:dyDescent="0.25">
      <c r="A13" s="56" t="s">
        <v>473</v>
      </c>
      <c r="B13" s="59"/>
      <c r="C13" s="59"/>
      <c r="D13" s="59"/>
      <c r="E13" s="59"/>
      <c r="F13" s="59"/>
      <c r="G13" s="59"/>
    </row>
    <row r="14" spans="1:7" x14ac:dyDescent="0.25">
      <c r="B14" s="62">
        <v>2011</v>
      </c>
      <c r="C14" s="62">
        <v>2012</v>
      </c>
      <c r="D14" s="62">
        <v>2013</v>
      </c>
      <c r="E14" s="62">
        <v>2014</v>
      </c>
      <c r="F14" s="62">
        <v>2015</v>
      </c>
      <c r="G14" s="3"/>
    </row>
    <row r="15" spans="1:7" x14ac:dyDescent="0.25">
      <c r="A15" t="s">
        <v>476</v>
      </c>
      <c r="B15" s="63">
        <v>2060744</v>
      </c>
      <c r="C15" s="63">
        <v>2374136</v>
      </c>
      <c r="D15" s="63">
        <v>2725665</v>
      </c>
      <c r="E15" s="63">
        <v>3198694</v>
      </c>
      <c r="F15" s="63">
        <v>3436515</v>
      </c>
    </row>
    <row r="17" spans="1:7" x14ac:dyDescent="0.25">
      <c r="A17" s="56" t="s">
        <v>484</v>
      </c>
      <c r="B17" s="59"/>
      <c r="C17" s="59"/>
      <c r="D17" s="59"/>
      <c r="E17" s="59"/>
      <c r="F17" s="59"/>
      <c r="G17" s="59"/>
    </row>
    <row r="18" spans="1:7" x14ac:dyDescent="0.25">
      <c r="B18" s="62">
        <v>2011</v>
      </c>
      <c r="C18" s="62">
        <v>2012</v>
      </c>
      <c r="D18" s="62">
        <v>2013</v>
      </c>
      <c r="E18" s="62">
        <v>2014</v>
      </c>
      <c r="F18" s="62">
        <v>2015</v>
      </c>
      <c r="G18" s="3"/>
    </row>
    <row r="19" spans="1:7" x14ac:dyDescent="0.25">
      <c r="A19" t="s">
        <v>477</v>
      </c>
      <c r="B19">
        <v>2060744</v>
      </c>
      <c r="C19">
        <v>2374136</v>
      </c>
      <c r="D19">
        <v>2725665</v>
      </c>
      <c r="E19">
        <v>3198694</v>
      </c>
      <c r="F19">
        <v>3436515</v>
      </c>
    </row>
    <row r="20" spans="1:7" x14ac:dyDescent="0.25">
      <c r="A20" t="s">
        <v>478</v>
      </c>
      <c r="B20">
        <v>204829</v>
      </c>
      <c r="C20">
        <v>192368</v>
      </c>
      <c r="D20">
        <v>187954</v>
      </c>
      <c r="E20">
        <v>181175</v>
      </c>
      <c r="F20">
        <v>176241</v>
      </c>
    </row>
    <row r="21" spans="1:7" x14ac:dyDescent="0.25">
      <c r="A21" t="s">
        <v>479</v>
      </c>
      <c r="B21">
        <v>1855915</v>
      </c>
      <c r="C21">
        <v>2181768</v>
      </c>
      <c r="D21">
        <v>2537712</v>
      </c>
      <c r="E21">
        <v>3017519</v>
      </c>
      <c r="F21">
        <v>3260274</v>
      </c>
    </row>
    <row r="22" spans="1:7" x14ac:dyDescent="0.25">
      <c r="A22" t="s">
        <v>480</v>
      </c>
      <c r="B22">
        <v>3261422</v>
      </c>
      <c r="C22">
        <v>3120755</v>
      </c>
      <c r="D22">
        <v>2821480</v>
      </c>
      <c r="E22">
        <v>2680626</v>
      </c>
      <c r="F22">
        <v>2687409</v>
      </c>
    </row>
    <row r="23" spans="1:7" x14ac:dyDescent="0.25">
      <c r="A23" t="s">
        <v>481</v>
      </c>
      <c r="B23">
        <v>3261422</v>
      </c>
      <c r="C23">
        <v>3120755</v>
      </c>
      <c r="D23">
        <v>2821480</v>
      </c>
      <c r="E23">
        <v>2680626</v>
      </c>
      <c r="F23">
        <v>2687409</v>
      </c>
    </row>
    <row r="24" spans="1:7" x14ac:dyDescent="0.25">
      <c r="A24" t="s">
        <v>482</v>
      </c>
    </row>
    <row r="25" spans="1:7" x14ac:dyDescent="0.25">
      <c r="A25" t="s">
        <v>483</v>
      </c>
      <c r="B25">
        <v>64884</v>
      </c>
      <c r="C25">
        <v>48210</v>
      </c>
      <c r="D25">
        <v>80925</v>
      </c>
      <c r="E25">
        <v>62214</v>
      </c>
      <c r="F25">
        <v>46882</v>
      </c>
    </row>
    <row r="26" spans="1:7" x14ac:dyDescent="0.25">
      <c r="A26" t="s">
        <v>488</v>
      </c>
      <c r="B26">
        <f>SUM(B19,B22,B25)</f>
        <v>5387050</v>
      </c>
      <c r="C26">
        <f>SUM(C19,C22,C25)</f>
        <v>5543101</v>
      </c>
      <c r="D26">
        <f>SUM(D19,D22,D25)</f>
        <v>5628070</v>
      </c>
      <c r="E26">
        <f>SUM(E19,E22,E25)</f>
        <v>5941534</v>
      </c>
      <c r="F26">
        <f>SUM(F19,F22,F25)</f>
        <v>6170806</v>
      </c>
    </row>
    <row r="28" spans="1:7" x14ac:dyDescent="0.25">
      <c r="A28" s="56" t="s">
        <v>494</v>
      </c>
      <c r="B28" s="59"/>
      <c r="C28" s="59"/>
      <c r="D28" s="59"/>
      <c r="E28" s="59"/>
      <c r="F28" s="59"/>
      <c r="G28" s="59"/>
    </row>
    <row r="29" spans="1:7" x14ac:dyDescent="0.25">
      <c r="A29" s="62" t="s">
        <v>1681</v>
      </c>
      <c r="B29" s="62">
        <v>2011</v>
      </c>
      <c r="C29" s="62">
        <v>2012</v>
      </c>
      <c r="D29" s="62">
        <v>2013</v>
      </c>
      <c r="E29" s="62">
        <v>2014</v>
      </c>
      <c r="F29" s="62">
        <v>2015</v>
      </c>
      <c r="G29" s="62" t="s">
        <v>495</v>
      </c>
    </row>
    <row r="30" spans="1:7" x14ac:dyDescent="0.25">
      <c r="A30" t="s">
        <v>489</v>
      </c>
      <c r="B30">
        <f>B4/B15</f>
        <v>9.1617396435462138E-4</v>
      </c>
      <c r="C30">
        <f t="shared" ref="C30:F30" si="0">C4/C15</f>
        <v>7.6870069785387189E-4</v>
      </c>
      <c r="D30">
        <f t="shared" si="0"/>
        <v>6.4057762050728903E-4</v>
      </c>
      <c r="E30">
        <f t="shared" si="0"/>
        <v>5.2802800142808285E-4</v>
      </c>
      <c r="F30">
        <f t="shared" si="0"/>
        <v>4.5423925110177024E-4</v>
      </c>
      <c r="G30" s="64">
        <f>AVERAGE(B30:F30)</f>
        <v>6.6154390704912711E-4</v>
      </c>
    </row>
    <row r="31" spans="1:7" x14ac:dyDescent="0.25">
      <c r="A31" t="s">
        <v>490</v>
      </c>
      <c r="B31">
        <f>B10/B15</f>
        <v>1.9167834529665014E-4</v>
      </c>
      <c r="C31">
        <f t="shared" ref="C31:F31" si="1">C10/C15</f>
        <v>1.9923037264925008E-4</v>
      </c>
      <c r="D31">
        <f t="shared" si="1"/>
        <v>2.0178561928923768E-4</v>
      </c>
      <c r="E31">
        <f t="shared" si="1"/>
        <v>2.0008165832680462E-4</v>
      </c>
      <c r="F31">
        <f t="shared" si="1"/>
        <v>1.8623518302699101E-4</v>
      </c>
      <c r="G31" s="64">
        <f t="shared" ref="G31:G34" si="2">AVERAGE(B31:F31)</f>
        <v>1.9580223571778673E-4</v>
      </c>
    </row>
    <row r="32" spans="1:7" x14ac:dyDescent="0.25">
      <c r="A32" t="s">
        <v>491</v>
      </c>
      <c r="B32">
        <f>B5</f>
        <v>5</v>
      </c>
      <c r="C32">
        <f t="shared" ref="C32:F32" si="3">C5</f>
        <v>6</v>
      </c>
      <c r="D32">
        <f t="shared" si="3"/>
        <v>7</v>
      </c>
      <c r="E32">
        <f t="shared" si="3"/>
        <v>8</v>
      </c>
      <c r="F32">
        <f t="shared" si="3"/>
        <v>8</v>
      </c>
      <c r="G32" s="64">
        <f t="shared" si="2"/>
        <v>6.8</v>
      </c>
    </row>
    <row r="33" spans="1:37" x14ac:dyDescent="0.25">
      <c r="A33" t="s">
        <v>492</v>
      </c>
      <c r="B33">
        <f>B6/B26</f>
        <v>5.1976499197148716E-6</v>
      </c>
      <c r="C33">
        <f t="shared" ref="C33:F33" si="4">C6/C26</f>
        <v>4.8709197252584786E-6</v>
      </c>
      <c r="D33">
        <f t="shared" si="4"/>
        <v>4.6197008921353146E-6</v>
      </c>
      <c r="E33">
        <f t="shared" si="4"/>
        <v>4.0393608788572113E-6</v>
      </c>
      <c r="F33">
        <f t="shared" si="4"/>
        <v>4.213388007984694E-6</v>
      </c>
      <c r="G33" s="64">
        <f t="shared" si="2"/>
        <v>4.5882038847901145E-6</v>
      </c>
    </row>
    <row r="34" spans="1:37" x14ac:dyDescent="0.25">
      <c r="A34" t="s">
        <v>493</v>
      </c>
      <c r="B34">
        <f>B11/B26</f>
        <v>7.0483845518419172E-4</v>
      </c>
      <c r="C34">
        <f t="shared" ref="C34:F34" si="5">C11/C26</f>
        <v>1.1553099970576038E-3</v>
      </c>
      <c r="D34">
        <f t="shared" si="5"/>
        <v>5.5845076553774208E-4</v>
      </c>
      <c r="E34">
        <f t="shared" si="5"/>
        <v>4.9263372051729397E-4</v>
      </c>
      <c r="F34">
        <f t="shared" si="5"/>
        <v>4.7433025766812308E-4</v>
      </c>
      <c r="G34" s="64">
        <f t="shared" si="2"/>
        <v>6.7711263919299097E-4</v>
      </c>
    </row>
    <row r="36" spans="1:37" x14ac:dyDescent="0.25">
      <c r="A36" s="74" t="s">
        <v>497</v>
      </c>
      <c r="B36" s="74"/>
      <c r="C36" s="74"/>
      <c r="D36" s="74"/>
      <c r="E36" s="74"/>
      <c r="F36" s="74"/>
      <c r="G36" s="165"/>
      <c r="H36" s="165"/>
      <c r="I36" s="165"/>
      <c r="J36" s="165"/>
      <c r="K36" s="165"/>
      <c r="L36" s="165"/>
      <c r="M36" s="165"/>
      <c r="N36" s="165"/>
      <c r="O36" s="165"/>
      <c r="P36" s="165"/>
      <c r="Q36" s="165"/>
      <c r="R36" s="165"/>
      <c r="S36" s="165"/>
      <c r="T36" s="165"/>
      <c r="U36" s="165"/>
      <c r="V36" s="165"/>
      <c r="W36" s="165"/>
      <c r="X36" s="165"/>
      <c r="Y36" s="165"/>
      <c r="Z36" s="165"/>
      <c r="AA36" s="165"/>
      <c r="AB36" s="165"/>
      <c r="AC36" s="165"/>
      <c r="AD36" s="165"/>
      <c r="AE36" s="165"/>
      <c r="AF36" s="165"/>
      <c r="AG36" s="165"/>
      <c r="AH36" s="165"/>
      <c r="AI36" s="165"/>
      <c r="AJ36" s="165"/>
      <c r="AK36" s="165"/>
    </row>
    <row r="37" spans="1:37" x14ac:dyDescent="0.25">
      <c r="A37" s="56" t="s">
        <v>1682</v>
      </c>
      <c r="B37" s="332"/>
      <c r="C37" s="332"/>
      <c r="D37" s="332"/>
      <c r="E37" s="332"/>
      <c r="F37" s="332"/>
      <c r="G37" s="332"/>
      <c r="H37" s="332"/>
      <c r="I37" s="332"/>
      <c r="J37" s="332"/>
      <c r="K37" s="332"/>
      <c r="L37" s="332"/>
      <c r="M37" s="332"/>
      <c r="N37" s="332"/>
      <c r="O37" s="332"/>
      <c r="P37" s="332"/>
      <c r="Q37" s="332"/>
      <c r="R37" s="332"/>
      <c r="S37" s="332"/>
      <c r="T37" s="332"/>
      <c r="U37" s="332"/>
      <c r="V37" s="332"/>
      <c r="W37" s="332"/>
      <c r="X37" s="332"/>
      <c r="Y37" s="332"/>
      <c r="Z37" s="332"/>
      <c r="AA37" s="332"/>
      <c r="AB37" s="332"/>
      <c r="AC37" s="332"/>
      <c r="AD37" s="332"/>
      <c r="AE37" s="332"/>
      <c r="AF37" s="332"/>
      <c r="AG37" s="332"/>
      <c r="AH37" s="332"/>
      <c r="AI37" s="332"/>
      <c r="AJ37" s="332"/>
      <c r="AK37" s="332"/>
    </row>
    <row r="38" spans="1:37" x14ac:dyDescent="0.25">
      <c r="A38" t="s">
        <v>498</v>
      </c>
      <c r="B38" s="63">
        <f>F15</f>
        <v>3436515</v>
      </c>
    </row>
    <row r="39" spans="1:37" x14ac:dyDescent="0.25">
      <c r="A39" t="s">
        <v>499</v>
      </c>
      <c r="B39">
        <f>F26</f>
        <v>6170806</v>
      </c>
    </row>
    <row r="40" spans="1:37" x14ac:dyDescent="0.25">
      <c r="A40" t="s">
        <v>639</v>
      </c>
      <c r="B40" s="62">
        <v>2015</v>
      </c>
      <c r="C40" s="62">
        <v>2016</v>
      </c>
      <c r="D40" s="62">
        <v>2017</v>
      </c>
      <c r="E40" s="62">
        <v>2018</v>
      </c>
      <c r="F40" s="62">
        <v>2019</v>
      </c>
      <c r="G40" s="62">
        <v>2020</v>
      </c>
      <c r="H40" s="62">
        <v>2021</v>
      </c>
      <c r="I40" s="62">
        <v>2022</v>
      </c>
      <c r="J40" s="62">
        <v>2023</v>
      </c>
      <c r="K40" s="62">
        <v>2024</v>
      </c>
      <c r="L40" s="62">
        <v>2025</v>
      </c>
      <c r="M40" s="62">
        <v>2026</v>
      </c>
      <c r="N40" s="62">
        <v>2027</v>
      </c>
      <c r="O40" s="62">
        <v>2028</v>
      </c>
      <c r="P40" s="62">
        <v>2029</v>
      </c>
      <c r="Q40" s="62">
        <v>2030</v>
      </c>
      <c r="R40" s="62">
        <v>2031</v>
      </c>
      <c r="S40" s="62">
        <v>2032</v>
      </c>
      <c r="T40" s="62">
        <v>2033</v>
      </c>
      <c r="U40" s="62">
        <v>2034</v>
      </c>
      <c r="V40" s="62">
        <v>2035</v>
      </c>
      <c r="W40" s="62">
        <v>2036</v>
      </c>
      <c r="X40" s="62">
        <v>2037</v>
      </c>
      <c r="Y40" s="62">
        <v>2038</v>
      </c>
      <c r="Z40" s="62">
        <v>2039</v>
      </c>
      <c r="AA40" s="62">
        <v>2040</v>
      </c>
      <c r="AB40" s="62">
        <v>2041</v>
      </c>
      <c r="AC40" s="62">
        <v>2042</v>
      </c>
      <c r="AD40" s="62">
        <v>2043</v>
      </c>
      <c r="AE40" s="62">
        <v>2044</v>
      </c>
      <c r="AF40" s="62">
        <v>2045</v>
      </c>
      <c r="AG40" s="62">
        <v>2046</v>
      </c>
      <c r="AH40" s="62">
        <v>2047</v>
      </c>
      <c r="AI40" s="62">
        <v>2048</v>
      </c>
      <c r="AJ40" s="62">
        <v>2049</v>
      </c>
      <c r="AK40" s="62">
        <v>2050</v>
      </c>
    </row>
    <row r="41" spans="1:37" x14ac:dyDescent="0.25">
      <c r="A41" t="s">
        <v>640</v>
      </c>
      <c r="B41" s="63">
        <f>('AEO 2017_Table 11'!C16)*365*1000</f>
        <v>3436475</v>
      </c>
      <c r="C41" s="63">
        <f>('AEO 2017_Table 11'!D16)*365*1000</f>
        <v>3190665.3849999998</v>
      </c>
      <c r="D41" s="63">
        <f>('AEO 2017_Table 11'!E16)*365*1000</f>
        <v>3174712.6950000003</v>
      </c>
      <c r="E41" s="63">
        <f>('AEO 2017_Table 11'!F16)*365*1000</f>
        <v>3401099.2</v>
      </c>
      <c r="F41" s="63">
        <f>('AEO 2017_Table 11'!G16)*365*1000</f>
        <v>3535761.2050000001</v>
      </c>
      <c r="G41" s="63">
        <f>('AEO 2017_Table 11'!H16)*365*1000</f>
        <v>3608364.085</v>
      </c>
      <c r="H41" s="63">
        <f>('AEO 2017_Table 11'!I16)*365*1000</f>
        <v>3663927.6699999995</v>
      </c>
      <c r="I41" s="63">
        <f>('AEO 2017_Table 11'!J16)*365*1000</f>
        <v>3705438.0249999999</v>
      </c>
      <c r="J41" s="63">
        <f>('AEO 2017_Table 11'!K16)*365*1000</f>
        <v>3762395.5450000004</v>
      </c>
      <c r="K41" s="63">
        <f>('AEO 2017_Table 11'!L16)*365*1000</f>
        <v>3776291.0950000002</v>
      </c>
      <c r="L41" s="63">
        <f>('AEO 2017_Table 11'!M16)*365*1000</f>
        <v>3788815.7050000001</v>
      </c>
      <c r="M41" s="63">
        <f>('AEO 2017_Table 11'!N16)*365*1000</f>
        <v>3842557.21</v>
      </c>
      <c r="N41" s="63">
        <f>('AEO 2017_Table 11'!O16)*365*1000</f>
        <v>3848075.6450000005</v>
      </c>
      <c r="O41" s="63">
        <f>('AEO 2017_Table 11'!P16)*365*1000</f>
        <v>3846013.7600000002</v>
      </c>
      <c r="P41" s="63">
        <f>('AEO 2017_Table 11'!Q16)*365*1000</f>
        <v>3846631.7050000001</v>
      </c>
      <c r="Q41" s="63">
        <f>('AEO 2017_Table 11'!R16)*365*1000</f>
        <v>3843368.6049999995</v>
      </c>
      <c r="R41" s="63">
        <f>('AEO 2017_Table 11'!S16)*365*1000</f>
        <v>3826545.0249999999</v>
      </c>
      <c r="S41" s="63">
        <f>('AEO 2017_Table 11'!T16)*365*1000</f>
        <v>3802426.92</v>
      </c>
      <c r="T41" s="63">
        <f>('AEO 2017_Table 11'!U16)*365*1000</f>
        <v>3737023.665</v>
      </c>
      <c r="U41" s="63">
        <f>('AEO 2017_Table 11'!V16)*365*1000</f>
        <v>3725876.1999999997</v>
      </c>
      <c r="V41" s="63">
        <f>('AEO 2017_Table 11'!W16)*365*1000</f>
        <v>3722265.9849999999</v>
      </c>
      <c r="W41" s="63">
        <f>('AEO 2017_Table 11'!X16)*365*1000</f>
        <v>3737186.0900000003</v>
      </c>
      <c r="X41" s="63">
        <f>('AEO 2017_Table 11'!Y16)*365*1000</f>
        <v>3747450.6199999996</v>
      </c>
      <c r="Y41" s="63">
        <f>('AEO 2017_Table 11'!Z16)*365*1000</f>
        <v>3774172.6349999998</v>
      </c>
      <c r="Z41" s="63">
        <f>('AEO 2017_Table 11'!AA16)*365*1000</f>
        <v>3775524.23</v>
      </c>
      <c r="AA41" s="63">
        <f>('AEO 2017_Table 11'!AB16)*365*1000</f>
        <v>3766374.0449999999</v>
      </c>
      <c r="AB41" s="63">
        <f>('AEO 2017_Table 11'!AC16)*365*1000</f>
        <v>3761055.9950000001</v>
      </c>
      <c r="AC41" s="63">
        <f>('AEO 2017_Table 11'!AD16)*365*1000</f>
        <v>3746835.5949999997</v>
      </c>
      <c r="AD41" s="63">
        <f>('AEO 2017_Table 11'!AE16)*365*1000</f>
        <v>3745947.1850000001</v>
      </c>
      <c r="AE41" s="63">
        <f>('AEO 2017_Table 11'!AF16)*365*1000</f>
        <v>3735453.4350000001</v>
      </c>
      <c r="AF41" s="63">
        <f>('AEO 2017_Table 11'!AG16)*365*1000</f>
        <v>3722476.9550000001</v>
      </c>
      <c r="AG41" s="63">
        <f>('AEO 2017_Table 11'!AH16)*365*1000</f>
        <v>3714697.71</v>
      </c>
      <c r="AH41" s="63">
        <f>('AEO 2017_Table 11'!AI16)*365*1000</f>
        <v>3683777.0999999996</v>
      </c>
      <c r="AI41" s="63">
        <f>('AEO 2017_Table 11'!AJ16)*365*1000</f>
        <v>3657623.7549999999</v>
      </c>
      <c r="AJ41" s="63">
        <f>('AEO 2017_Table 11'!AK16)*365*1000</f>
        <v>3611817.35</v>
      </c>
      <c r="AK41" s="63">
        <f>('AEO 2017_Table 11'!AL16)*365*1000</f>
        <v>3593807.1549999998</v>
      </c>
    </row>
    <row r="42" spans="1:37" x14ac:dyDescent="0.25">
      <c r="A42" t="s">
        <v>641</v>
      </c>
      <c r="B42" s="63">
        <f>'AEO 2017_Table 11'!C23*1000*365</f>
        <v>5908984.6349999998</v>
      </c>
      <c r="C42" s="63">
        <f>'AEO 2017_Table 11'!D23*1000*365</f>
        <v>5949700.75</v>
      </c>
      <c r="D42" s="63">
        <f>'AEO 2017_Table 11'!E23*1000*365</f>
        <v>6028282.3300000001</v>
      </c>
      <c r="E42" s="63">
        <f>'AEO 2017_Table 11'!F23*1000*365</f>
        <v>6052632.209999999</v>
      </c>
      <c r="F42" s="63">
        <f>'AEO 2017_Table 11'!G23*1000*365</f>
        <v>6088405.4949999992</v>
      </c>
      <c r="G42" s="63">
        <f>'AEO 2017_Table 11'!H23*1000*365</f>
        <v>6056206.2899999991</v>
      </c>
      <c r="H42" s="63">
        <f>'AEO 2017_Table 11'!I23*1000*365</f>
        <v>6146511.669999999</v>
      </c>
      <c r="I42" s="63">
        <f>'AEO 2017_Table 11'!J23*1000*365</f>
        <v>6226244.8250000002</v>
      </c>
      <c r="J42" s="63">
        <f>'AEO 2017_Table 11'!K23*1000*365</f>
        <v>6280947.7399999993</v>
      </c>
      <c r="K42" s="63">
        <f>'AEO 2017_Table 11'!L23*1000*365</f>
        <v>6322260.6300000008</v>
      </c>
      <c r="L42" s="63">
        <f>'AEO 2017_Table 11'!M23*1000*365</f>
        <v>6334751.6600000001</v>
      </c>
      <c r="M42" s="63">
        <f>'AEO 2017_Table 11'!N23*1000*365</f>
        <v>6343101.0350000001</v>
      </c>
      <c r="N42" s="63">
        <f>'AEO 2017_Table 11'!O23*1000*365</f>
        <v>6311360.6349999988</v>
      </c>
      <c r="O42" s="63">
        <f>'AEO 2017_Table 11'!P23*1000*365</f>
        <v>6250543.6050000004</v>
      </c>
      <c r="P42" s="63">
        <f>'AEO 2017_Table 11'!Q23*1000*365</f>
        <v>6298102.0099999998</v>
      </c>
      <c r="Q42" s="63">
        <f>'AEO 2017_Table 11'!R23*1000*365</f>
        <v>6344650.8250000011</v>
      </c>
      <c r="R42" s="63">
        <f>'AEO 2017_Table 11'!S23*1000*365</f>
        <v>6309515.1949999994</v>
      </c>
      <c r="S42" s="63">
        <f>'AEO 2017_Table 11'!T23*1000*365</f>
        <v>6299944.5299999993</v>
      </c>
      <c r="T42" s="63">
        <f>'AEO 2017_Table 11'!U23*1000*365</f>
        <v>6252005.4299999997</v>
      </c>
      <c r="U42" s="63">
        <f>'AEO 2017_Table 11'!V23*1000*365</f>
        <v>6272788.5299999993</v>
      </c>
      <c r="V42" s="63">
        <f>'AEO 2017_Table 11'!W23*1000*365</f>
        <v>6288890.1399999997</v>
      </c>
      <c r="W42" s="63">
        <f>'AEO 2017_Table 11'!X23*1000*365</f>
        <v>6301820.995000001</v>
      </c>
      <c r="X42" s="63">
        <f>'AEO 2017_Table 11'!Y23*1000*365</f>
        <v>6334206.7150000008</v>
      </c>
      <c r="Y42" s="63">
        <f>'AEO 2017_Table 11'!Z23*1000*365</f>
        <v>6282553.3750000009</v>
      </c>
      <c r="Z42" s="63">
        <f>'AEO 2017_Table 11'!AA23*1000*365</f>
        <v>6337149.3449999997</v>
      </c>
      <c r="AA42" s="63">
        <f>'AEO 2017_Table 11'!AB23*1000*365</f>
        <v>6377048.2249999996</v>
      </c>
      <c r="AB42" s="63">
        <f>'AEO 2017_Table 11'!AC23*1000*365</f>
        <v>6355747.1899999995</v>
      </c>
      <c r="AC42" s="63">
        <f>'AEO 2017_Table 11'!AD23*1000*365</f>
        <v>6384107.3249999993</v>
      </c>
      <c r="AD42" s="63">
        <f>'AEO 2017_Table 11'!AE23*1000*365</f>
        <v>6360589.6449999986</v>
      </c>
      <c r="AE42" s="63">
        <f>'AEO 2017_Table 11'!AF23*1000*365</f>
        <v>6380678.879999999</v>
      </c>
      <c r="AF42" s="63">
        <f>'AEO 2017_Table 11'!AG23*1000*365</f>
        <v>6393474.6850000005</v>
      </c>
      <c r="AG42" s="63">
        <f>'AEO 2017_Table 11'!AH23*1000*365</f>
        <v>6417846.4649999999</v>
      </c>
      <c r="AH42" s="63">
        <f>'AEO 2017_Table 11'!AI23*1000*365</f>
        <v>6463161.9450000003</v>
      </c>
      <c r="AI42" s="63">
        <f>'AEO 2017_Table 11'!AJ23*1000*365</f>
        <v>6454491.0049999999</v>
      </c>
      <c r="AJ42" s="63">
        <f>'AEO 2017_Table 11'!AK23*1000*365</f>
        <v>6453608.0700000012</v>
      </c>
      <c r="AK42" s="63">
        <f>'AEO 2017_Table 11'!AL23*1000*365</f>
        <v>6501226.334999999</v>
      </c>
    </row>
    <row r="44" spans="1:37" x14ac:dyDescent="0.25">
      <c r="A44" s="56" t="s">
        <v>497</v>
      </c>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row>
    <row r="45" spans="1:37" x14ac:dyDescent="0.25">
      <c r="A45" t="s">
        <v>649</v>
      </c>
      <c r="B45" s="62">
        <v>2015</v>
      </c>
      <c r="C45" s="62">
        <v>2016</v>
      </c>
      <c r="D45" s="62">
        <v>2017</v>
      </c>
      <c r="E45" s="62">
        <v>2018</v>
      </c>
      <c r="F45" s="62">
        <v>2019</v>
      </c>
      <c r="G45" s="62">
        <v>2020</v>
      </c>
      <c r="H45" s="62">
        <v>2021</v>
      </c>
      <c r="I45" s="62">
        <v>2022</v>
      </c>
      <c r="J45" s="62">
        <v>2023</v>
      </c>
      <c r="K45" s="62">
        <v>2024</v>
      </c>
      <c r="L45" s="62">
        <v>2025</v>
      </c>
      <c r="M45" s="62">
        <v>2026</v>
      </c>
      <c r="N45" s="62">
        <v>2027</v>
      </c>
      <c r="O45" s="62">
        <v>2028</v>
      </c>
      <c r="P45" s="62">
        <v>2029</v>
      </c>
      <c r="Q45" s="62">
        <v>2030</v>
      </c>
      <c r="R45" s="62">
        <v>2031</v>
      </c>
      <c r="S45" s="62">
        <v>2032</v>
      </c>
      <c r="T45" s="62">
        <v>2033</v>
      </c>
      <c r="U45" s="62">
        <v>2034</v>
      </c>
      <c r="V45" s="62">
        <v>2035</v>
      </c>
      <c r="W45" s="62">
        <v>2036</v>
      </c>
      <c r="X45" s="62">
        <v>2037</v>
      </c>
      <c r="Y45" s="62">
        <v>2038</v>
      </c>
      <c r="Z45" s="62">
        <v>2039</v>
      </c>
      <c r="AA45" s="62">
        <v>2040</v>
      </c>
      <c r="AB45" s="62">
        <v>2041</v>
      </c>
      <c r="AC45" s="62">
        <v>2042</v>
      </c>
      <c r="AD45" s="62">
        <v>2043</v>
      </c>
      <c r="AE45" s="62">
        <v>2044</v>
      </c>
      <c r="AF45" s="62">
        <v>2045</v>
      </c>
      <c r="AG45" s="62">
        <v>2046</v>
      </c>
      <c r="AH45" s="62">
        <v>2047</v>
      </c>
      <c r="AI45" s="62">
        <v>2048</v>
      </c>
      <c r="AJ45" s="62">
        <v>2049</v>
      </c>
      <c r="AK45" s="62">
        <v>2050</v>
      </c>
    </row>
    <row r="46" spans="1:37" x14ac:dyDescent="0.25">
      <c r="A46" t="s">
        <v>644</v>
      </c>
      <c r="B46">
        <f>F4</f>
        <v>1561</v>
      </c>
      <c r="C46" s="66">
        <f t="shared" ref="C46:AK46" si="6">$G$30*$B$38*(C41/$B$41)</f>
        <v>2110.7898138372643</v>
      </c>
      <c r="D46" s="66">
        <f t="shared" si="6"/>
        <v>2100.2362861268357</v>
      </c>
      <c r="E46" s="66">
        <f t="shared" si="6"/>
        <v>2250.0026423830304</v>
      </c>
      <c r="F46" s="66">
        <f t="shared" si="6"/>
        <v>2339.0885082344575</v>
      </c>
      <c r="G46" s="66">
        <f t="shared" si="6"/>
        <v>2387.1190601938411</v>
      </c>
      <c r="H46" s="66">
        <f t="shared" si="6"/>
        <v>2423.8772391585339</v>
      </c>
      <c r="I46" s="66">
        <f t="shared" si="6"/>
        <v>2451.3384812288205</v>
      </c>
      <c r="J46" s="66">
        <f t="shared" si="6"/>
        <v>2489.0188201332503</v>
      </c>
      <c r="K46" s="66">
        <f t="shared" si="6"/>
        <v>2498.2114435702165</v>
      </c>
      <c r="L46" s="66">
        <f t="shared" si="6"/>
        <v>2506.4971194466557</v>
      </c>
      <c r="M46" s="66">
        <f t="shared" si="6"/>
        <v>2542.0498984586998</v>
      </c>
      <c r="N46" s="66">
        <f t="shared" si="6"/>
        <v>2545.7006280027895</v>
      </c>
      <c r="O46" s="66">
        <f t="shared" si="6"/>
        <v>2544.3365846669499</v>
      </c>
      <c r="P46" s="66">
        <f t="shared" si="6"/>
        <v>2544.745387174929</v>
      </c>
      <c r="Q46" s="66">
        <f t="shared" si="6"/>
        <v>2542.5866781251134</v>
      </c>
      <c r="R46" s="66">
        <f t="shared" si="6"/>
        <v>2531.4570117353937</v>
      </c>
      <c r="S46" s="66">
        <f t="shared" si="6"/>
        <v>2515.501640607356</v>
      </c>
      <c r="T46" s="66">
        <f t="shared" si="6"/>
        <v>2472.234012138757</v>
      </c>
      <c r="U46" s="66">
        <f t="shared" si="6"/>
        <v>2464.8593887505672</v>
      </c>
      <c r="V46" s="66">
        <f t="shared" si="6"/>
        <v>2462.4710452145805</v>
      </c>
      <c r="W46" s="66">
        <f t="shared" si="6"/>
        <v>2472.3414646585743</v>
      </c>
      <c r="X46" s="66">
        <f t="shared" si="6"/>
        <v>2479.1319809783627</v>
      </c>
      <c r="Y46" s="66">
        <f t="shared" si="6"/>
        <v>2496.8099729521928</v>
      </c>
      <c r="Z46" s="66">
        <f t="shared" si="6"/>
        <v>2497.7041227968757</v>
      </c>
      <c r="AA46" s="66">
        <f t="shared" si="6"/>
        <v>2491.650803202936</v>
      </c>
      <c r="AB46" s="66">
        <f t="shared" si="6"/>
        <v>2488.1326386776773</v>
      </c>
      <c r="AC46" s="66">
        <f t="shared" si="6"/>
        <v>2478.7251102010764</v>
      </c>
      <c r="AD46" s="66">
        <f t="shared" si="6"/>
        <v>2478.1373811376257</v>
      </c>
      <c r="AE46" s="66">
        <f t="shared" si="6"/>
        <v>2471.1952239584093</v>
      </c>
      <c r="AF46" s="66">
        <f t="shared" si="6"/>
        <v>2462.6106127571747</v>
      </c>
      <c r="AG46" s="66">
        <f t="shared" si="6"/>
        <v>2457.4642407237611</v>
      </c>
      <c r="AH46" s="66">
        <f t="shared" si="6"/>
        <v>2437.0086614792344</v>
      </c>
      <c r="AI46" s="66">
        <f t="shared" si="6"/>
        <v>2419.7068740579348</v>
      </c>
      <c r="AJ46" s="66">
        <f t="shared" si="6"/>
        <v>2389.4035732050611</v>
      </c>
      <c r="AK46" s="66">
        <f t="shared" si="6"/>
        <v>2377.4888997548323</v>
      </c>
    </row>
    <row r="47" spans="1:37" x14ac:dyDescent="0.25">
      <c r="A47" t="s">
        <v>645</v>
      </c>
      <c r="B47">
        <f>F5</f>
        <v>8</v>
      </c>
      <c r="C47">
        <f>B47</f>
        <v>8</v>
      </c>
      <c r="D47">
        <f t="shared" ref="D47:AK47" si="7">C47</f>
        <v>8</v>
      </c>
      <c r="E47">
        <f t="shared" si="7"/>
        <v>8</v>
      </c>
      <c r="F47">
        <f t="shared" si="7"/>
        <v>8</v>
      </c>
      <c r="G47">
        <f t="shared" si="7"/>
        <v>8</v>
      </c>
      <c r="H47">
        <f t="shared" si="7"/>
        <v>8</v>
      </c>
      <c r="I47">
        <f t="shared" si="7"/>
        <v>8</v>
      </c>
      <c r="J47">
        <f t="shared" si="7"/>
        <v>8</v>
      </c>
      <c r="K47">
        <f t="shared" si="7"/>
        <v>8</v>
      </c>
      <c r="L47">
        <f t="shared" si="7"/>
        <v>8</v>
      </c>
      <c r="M47">
        <f t="shared" si="7"/>
        <v>8</v>
      </c>
      <c r="N47">
        <f t="shared" si="7"/>
        <v>8</v>
      </c>
      <c r="O47">
        <f t="shared" si="7"/>
        <v>8</v>
      </c>
      <c r="P47">
        <f t="shared" si="7"/>
        <v>8</v>
      </c>
      <c r="Q47">
        <f t="shared" si="7"/>
        <v>8</v>
      </c>
      <c r="R47">
        <f t="shared" si="7"/>
        <v>8</v>
      </c>
      <c r="S47">
        <f t="shared" si="7"/>
        <v>8</v>
      </c>
      <c r="T47">
        <f t="shared" si="7"/>
        <v>8</v>
      </c>
      <c r="U47">
        <f t="shared" si="7"/>
        <v>8</v>
      </c>
      <c r="V47">
        <f t="shared" si="7"/>
        <v>8</v>
      </c>
      <c r="W47">
        <f t="shared" si="7"/>
        <v>8</v>
      </c>
      <c r="X47">
        <f t="shared" si="7"/>
        <v>8</v>
      </c>
      <c r="Y47">
        <f t="shared" si="7"/>
        <v>8</v>
      </c>
      <c r="Z47">
        <f t="shared" si="7"/>
        <v>8</v>
      </c>
      <c r="AA47">
        <f t="shared" si="7"/>
        <v>8</v>
      </c>
      <c r="AB47">
        <f t="shared" si="7"/>
        <v>8</v>
      </c>
      <c r="AC47">
        <f t="shared" si="7"/>
        <v>8</v>
      </c>
      <c r="AD47">
        <f t="shared" si="7"/>
        <v>8</v>
      </c>
      <c r="AE47">
        <f t="shared" si="7"/>
        <v>8</v>
      </c>
      <c r="AF47">
        <f t="shared" si="7"/>
        <v>8</v>
      </c>
      <c r="AG47">
        <f t="shared" si="7"/>
        <v>8</v>
      </c>
      <c r="AH47">
        <f t="shared" si="7"/>
        <v>8</v>
      </c>
      <c r="AI47">
        <f t="shared" si="7"/>
        <v>8</v>
      </c>
      <c r="AJ47">
        <f t="shared" si="7"/>
        <v>8</v>
      </c>
      <c r="AK47">
        <f t="shared" si="7"/>
        <v>8</v>
      </c>
    </row>
    <row r="48" spans="1:37" x14ac:dyDescent="0.25">
      <c r="A48" t="s">
        <v>646</v>
      </c>
      <c r="B48">
        <f>F6</f>
        <v>26</v>
      </c>
      <c r="C48" s="66">
        <f t="shared" ref="C48:AK48" si="8">$G$33*$B$39*(C42/$B$42)</f>
        <v>28.508007438017515</v>
      </c>
      <c r="D48" s="66">
        <f t="shared" si="8"/>
        <v>28.884531293798187</v>
      </c>
      <c r="E48" s="66">
        <f t="shared" si="8"/>
        <v>29.001203810504979</v>
      </c>
      <c r="F48" s="66">
        <f t="shared" si="8"/>
        <v>29.172611603554461</v>
      </c>
      <c r="G48" s="66">
        <f t="shared" si="8"/>
        <v>29.018329024613287</v>
      </c>
      <c r="H48" s="66">
        <f t="shared" si="8"/>
        <v>29.451027500201825</v>
      </c>
      <c r="I48" s="66">
        <f t="shared" si="8"/>
        <v>29.833069130748811</v>
      </c>
      <c r="J48" s="66">
        <f t="shared" si="8"/>
        <v>30.09517829778569</v>
      </c>
      <c r="K48" s="66">
        <f t="shared" si="8"/>
        <v>30.293129123363943</v>
      </c>
      <c r="L48" s="66">
        <f t="shared" si="8"/>
        <v>30.352979927818016</v>
      </c>
      <c r="M48" s="66">
        <f t="shared" si="8"/>
        <v>30.392985980996876</v>
      </c>
      <c r="N48" s="66">
        <f t="shared" si="8"/>
        <v>30.240901767469715</v>
      </c>
      <c r="O48" s="66">
        <f t="shared" si="8"/>
        <v>29.949496801665667</v>
      </c>
      <c r="P48" s="66">
        <f t="shared" si="8"/>
        <v>30.177373029470942</v>
      </c>
      <c r="Q48" s="66">
        <f t="shared" si="8"/>
        <v>30.400411804026273</v>
      </c>
      <c r="R48" s="66">
        <f t="shared" si="8"/>
        <v>30.232059336655627</v>
      </c>
      <c r="S48" s="66">
        <f t="shared" si="8"/>
        <v>30.186201469097032</v>
      </c>
      <c r="T48" s="66">
        <f t="shared" si="8"/>
        <v>29.95650114015665</v>
      </c>
      <c r="U48" s="66">
        <f t="shared" si="8"/>
        <v>30.056083420725134</v>
      </c>
      <c r="V48" s="66">
        <f t="shared" si="8"/>
        <v>30.133234329137476</v>
      </c>
      <c r="W48" s="66">
        <f t="shared" si="8"/>
        <v>30.195192556283601</v>
      </c>
      <c r="X48" s="66">
        <f t="shared" si="8"/>
        <v>30.350368822358082</v>
      </c>
      <c r="Y48" s="66">
        <f t="shared" si="8"/>
        <v>30.10287170228554</v>
      </c>
      <c r="Z48" s="66">
        <f t="shared" si="8"/>
        <v>30.36446844206203</v>
      </c>
      <c r="AA48" s="66">
        <f t="shared" si="8"/>
        <v>30.555644034852737</v>
      </c>
      <c r="AB48" s="66">
        <f t="shared" si="8"/>
        <v>30.453580067313279</v>
      </c>
      <c r="AC48" s="66">
        <f t="shared" si="8"/>
        <v>30.58946773183543</v>
      </c>
      <c r="AD48" s="66">
        <f t="shared" si="8"/>
        <v>30.476782703707766</v>
      </c>
      <c r="AE48" s="66">
        <f t="shared" si="8"/>
        <v>30.573040328228476</v>
      </c>
      <c r="AF48" s="66">
        <f t="shared" si="8"/>
        <v>30.634351462929743</v>
      </c>
      <c r="AG48" s="66">
        <f t="shared" si="8"/>
        <v>30.751128913546516</v>
      </c>
      <c r="AH48" s="66">
        <f t="shared" si="8"/>
        <v>30.96825816007162</v>
      </c>
      <c r="AI48" s="66">
        <f t="shared" si="8"/>
        <v>30.926711327314589</v>
      </c>
      <c r="AJ48" s="66">
        <f t="shared" si="8"/>
        <v>30.922480741844012</v>
      </c>
      <c r="AK48" s="66">
        <f t="shared" si="8"/>
        <v>31.150643789003219</v>
      </c>
    </row>
    <row r="49" spans="1:37" x14ac:dyDescent="0.25">
      <c r="A49" t="s">
        <v>648</v>
      </c>
      <c r="B49">
        <f>F10/1000</f>
        <v>0.64</v>
      </c>
      <c r="C49" s="66">
        <f t="shared" ref="C49:AK49" si="9">$G$31*$B$38*(C41/$B$41)/1000</f>
        <v>0.62474668767371055</v>
      </c>
      <c r="D49" s="66">
        <f t="shared" si="9"/>
        <v>0.62162307894813273</v>
      </c>
      <c r="E49" s="66">
        <f t="shared" si="9"/>
        <v>0.66595057872222063</v>
      </c>
      <c r="F49" s="66">
        <f t="shared" si="9"/>
        <v>0.69231800727639048</v>
      </c>
      <c r="G49" s="66">
        <f t="shared" si="9"/>
        <v>0.70653397896957126</v>
      </c>
      <c r="H49" s="66">
        <f t="shared" si="9"/>
        <v>0.71741357977234443</v>
      </c>
      <c r="I49" s="66">
        <f t="shared" si="9"/>
        <v>0.72554149469326623</v>
      </c>
      <c r="J49" s="66">
        <f t="shared" si="9"/>
        <v>0.73669403426240987</v>
      </c>
      <c r="K49" s="66">
        <f t="shared" si="9"/>
        <v>0.73941484568836402</v>
      </c>
      <c r="L49" s="66">
        <f t="shared" si="9"/>
        <v>0.74186722087276624</v>
      </c>
      <c r="M49" s="66">
        <f t="shared" si="9"/>
        <v>0.75239005018516991</v>
      </c>
      <c r="N49" s="66">
        <f t="shared" si="9"/>
        <v>0.75347058467292949</v>
      </c>
      <c r="O49" s="66">
        <f t="shared" si="9"/>
        <v>0.75306685828088293</v>
      </c>
      <c r="P49" s="66">
        <f t="shared" si="9"/>
        <v>0.75318785470179539</v>
      </c>
      <c r="Q49" s="66">
        <f t="shared" si="9"/>
        <v>0.75254892498947501</v>
      </c>
      <c r="R49" s="66">
        <f t="shared" si="9"/>
        <v>0.74925479206998247</v>
      </c>
      <c r="S49" s="66">
        <f t="shared" si="9"/>
        <v>0.74453235822199793</v>
      </c>
      <c r="T49" s="66">
        <f t="shared" si="9"/>
        <v>0.73172610560885254</v>
      </c>
      <c r="U49" s="66">
        <f t="shared" si="9"/>
        <v>0.72954338163301669</v>
      </c>
      <c r="V49" s="66">
        <f t="shared" si="9"/>
        <v>0.72883648523653366</v>
      </c>
      <c r="W49" s="66">
        <f t="shared" si="9"/>
        <v>0.73175790915717276</v>
      </c>
      <c r="X49" s="66">
        <f t="shared" si="9"/>
        <v>0.73376775047371279</v>
      </c>
      <c r="Y49" s="66">
        <f t="shared" si="9"/>
        <v>0.73900004165589117</v>
      </c>
      <c r="Z49" s="66">
        <f t="shared" si="9"/>
        <v>0.73926469005910389</v>
      </c>
      <c r="AA49" s="66">
        <f t="shared" si="9"/>
        <v>0.73747304252463475</v>
      </c>
      <c r="AB49" s="66">
        <f t="shared" si="9"/>
        <v>0.73643174432457814</v>
      </c>
      <c r="AC49" s="66">
        <f t="shared" si="9"/>
        <v>0.73364732580198344</v>
      </c>
      <c r="AD49" s="66">
        <f t="shared" si="9"/>
        <v>0.73347337111296929</v>
      </c>
      <c r="AE49" s="66">
        <f t="shared" si="9"/>
        <v>0.73141864748554142</v>
      </c>
      <c r="AF49" s="66">
        <f t="shared" si="9"/>
        <v>0.72887779411502596</v>
      </c>
      <c r="AG49" s="66">
        <f t="shared" si="9"/>
        <v>0.72735458282210863</v>
      </c>
      <c r="AH49" s="66">
        <f t="shared" si="9"/>
        <v>0.7213001877830153</v>
      </c>
      <c r="AI49" s="66">
        <f t="shared" si="9"/>
        <v>0.71617924475428174</v>
      </c>
      <c r="AJ49" s="66">
        <f t="shared" si="9"/>
        <v>0.70721014384745307</v>
      </c>
      <c r="AK49" s="66">
        <f t="shared" si="9"/>
        <v>0.70368366635360324</v>
      </c>
    </row>
    <row r="50" spans="1:37" x14ac:dyDescent="0.25">
      <c r="A50" t="s">
        <v>647</v>
      </c>
      <c r="B50">
        <f>F11/1000</f>
        <v>2.927</v>
      </c>
      <c r="C50" s="66">
        <f t="shared" ref="C50:AK50" si="10">$G$34*$B$39*(C42/$B$42)/1000</f>
        <v>4.2071217058333641</v>
      </c>
      <c r="D50" s="66">
        <f t="shared" si="10"/>
        <v>4.2626879073598323</v>
      </c>
      <c r="E50" s="66">
        <f t="shared" si="10"/>
        <v>4.2799060689089536</v>
      </c>
      <c r="F50" s="66">
        <f t="shared" si="10"/>
        <v>4.3052018896798501</v>
      </c>
      <c r="G50" s="66">
        <f t="shared" si="10"/>
        <v>4.28243335392348</v>
      </c>
      <c r="H50" s="66">
        <f t="shared" si="10"/>
        <v>4.3462896284346861</v>
      </c>
      <c r="I50" s="66">
        <f t="shared" si="10"/>
        <v>4.4026701257353409</v>
      </c>
      <c r="J50" s="66">
        <f t="shared" si="10"/>
        <v>4.4413513688329624</v>
      </c>
      <c r="K50" s="66">
        <f t="shared" si="10"/>
        <v>4.4705643265182236</v>
      </c>
      <c r="L50" s="66">
        <f t="shared" si="10"/>
        <v>4.4793969192231948</v>
      </c>
      <c r="M50" s="66">
        <f t="shared" si="10"/>
        <v>4.485300886207189</v>
      </c>
      <c r="N50" s="66">
        <f t="shared" si="10"/>
        <v>4.4628567782759045</v>
      </c>
      <c r="O50" s="66">
        <f t="shared" si="10"/>
        <v>4.4198521537160378</v>
      </c>
      <c r="P50" s="66">
        <f t="shared" si="10"/>
        <v>4.4534814077537819</v>
      </c>
      <c r="Q50" s="66">
        <f t="shared" si="10"/>
        <v>4.4863967657181849</v>
      </c>
      <c r="R50" s="66">
        <f t="shared" si="10"/>
        <v>4.461551840261869</v>
      </c>
      <c r="S50" s="66">
        <f t="shared" si="10"/>
        <v>4.4547842809924783</v>
      </c>
      <c r="T50" s="66">
        <f t="shared" si="10"/>
        <v>4.4208858318699562</v>
      </c>
      <c r="U50" s="66">
        <f t="shared" si="10"/>
        <v>4.4355818703428991</v>
      </c>
      <c r="V50" s="66">
        <f t="shared" si="10"/>
        <v>4.4469675577541299</v>
      </c>
      <c r="W50" s="66">
        <f t="shared" si="10"/>
        <v>4.4561111572444894</v>
      </c>
      <c r="X50" s="66">
        <f t="shared" si="10"/>
        <v>4.4790115805256177</v>
      </c>
      <c r="Y50" s="66">
        <f t="shared" si="10"/>
        <v>4.4424867371723122</v>
      </c>
      <c r="Z50" s="66">
        <f t="shared" si="10"/>
        <v>4.4810923578731554</v>
      </c>
      <c r="AA50" s="66">
        <f t="shared" si="10"/>
        <v>4.5093054481006662</v>
      </c>
      <c r="AB50" s="66">
        <f t="shared" si="10"/>
        <v>4.4942431701020258</v>
      </c>
      <c r="AC50" s="66">
        <f t="shared" si="10"/>
        <v>4.5142970424818873</v>
      </c>
      <c r="AD50" s="66">
        <f t="shared" si="10"/>
        <v>4.4976673419042834</v>
      </c>
      <c r="AE50" s="66">
        <f t="shared" si="10"/>
        <v>4.5118727381373773</v>
      </c>
      <c r="AF50" s="66">
        <f t="shared" si="10"/>
        <v>4.5209208417683238</v>
      </c>
      <c r="AG50" s="66">
        <f t="shared" si="10"/>
        <v>4.538154489132487</v>
      </c>
      <c r="AH50" s="66">
        <f t="shared" si="10"/>
        <v>4.5701977376132206</v>
      </c>
      <c r="AI50" s="66">
        <f t="shared" si="10"/>
        <v>4.564066387245056</v>
      </c>
      <c r="AJ50" s="66">
        <f t="shared" si="10"/>
        <v>4.5634420508020286</v>
      </c>
      <c r="AK50" s="66">
        <f t="shared" si="10"/>
        <v>4.5971136327342146</v>
      </c>
    </row>
    <row r="52" spans="1:37" x14ac:dyDescent="0.25">
      <c r="A52" t="s">
        <v>486</v>
      </c>
      <c r="B52" s="62">
        <v>2015</v>
      </c>
      <c r="C52" s="62">
        <v>2016</v>
      </c>
      <c r="D52" s="62">
        <v>2017</v>
      </c>
      <c r="E52" s="62">
        <v>2018</v>
      </c>
      <c r="F52" s="62">
        <v>2019</v>
      </c>
      <c r="G52" s="62">
        <v>2020</v>
      </c>
      <c r="H52" s="62">
        <v>2021</v>
      </c>
      <c r="I52" s="62">
        <v>2022</v>
      </c>
      <c r="J52" s="62">
        <v>2023</v>
      </c>
      <c r="K52" s="62">
        <v>2024</v>
      </c>
      <c r="L52" s="62">
        <v>2025</v>
      </c>
      <c r="M52" s="62">
        <v>2026</v>
      </c>
      <c r="N52" s="62">
        <v>2027</v>
      </c>
      <c r="O52" s="62">
        <v>2028</v>
      </c>
      <c r="P52" s="62">
        <v>2029</v>
      </c>
      <c r="Q52" s="62">
        <v>2030</v>
      </c>
      <c r="R52" s="62">
        <v>2031</v>
      </c>
      <c r="S52" s="62">
        <v>2032</v>
      </c>
      <c r="T52" s="62">
        <v>2033</v>
      </c>
      <c r="U52" s="62">
        <v>2034</v>
      </c>
      <c r="V52" s="62">
        <v>2035</v>
      </c>
      <c r="W52" s="62">
        <v>2036</v>
      </c>
      <c r="X52" s="62">
        <v>2037</v>
      </c>
      <c r="Y52" s="62">
        <v>2038</v>
      </c>
      <c r="Z52" s="62">
        <v>2039</v>
      </c>
      <c r="AA52" s="62">
        <v>2040</v>
      </c>
      <c r="AB52" s="62">
        <v>2041</v>
      </c>
      <c r="AC52" s="62">
        <v>2042</v>
      </c>
      <c r="AD52" s="62">
        <v>2043</v>
      </c>
      <c r="AE52" s="62">
        <v>2044</v>
      </c>
      <c r="AF52" s="62">
        <v>2045</v>
      </c>
      <c r="AG52" s="62">
        <v>2046</v>
      </c>
      <c r="AH52" s="62">
        <v>2047</v>
      </c>
      <c r="AI52" s="62">
        <v>2048</v>
      </c>
      <c r="AJ52" s="62">
        <v>2049</v>
      </c>
      <c r="AK52" s="62">
        <v>2050</v>
      </c>
    </row>
    <row r="53" spans="1:37" x14ac:dyDescent="0.25">
      <c r="A53" t="s">
        <v>642</v>
      </c>
      <c r="B53" s="66">
        <f>SUM(B46:B48)</f>
        <v>1595</v>
      </c>
      <c r="C53" s="66">
        <f t="shared" ref="C53:AK53" si="11">SUM(C46:C48)</f>
        <v>2147.2978212752819</v>
      </c>
      <c r="D53" s="66">
        <f t="shared" si="11"/>
        <v>2137.120817420634</v>
      </c>
      <c r="E53" s="66">
        <f t="shared" si="11"/>
        <v>2287.0038461935355</v>
      </c>
      <c r="F53" s="66">
        <f t="shared" si="11"/>
        <v>2376.2611198380118</v>
      </c>
      <c r="G53" s="66">
        <f t="shared" si="11"/>
        <v>2424.1373892184542</v>
      </c>
      <c r="H53" s="66">
        <f t="shared" si="11"/>
        <v>2461.3282666587356</v>
      </c>
      <c r="I53" s="66">
        <f t="shared" si="11"/>
        <v>2489.1715503595692</v>
      </c>
      <c r="J53" s="66">
        <f t="shared" si="11"/>
        <v>2527.1139984310362</v>
      </c>
      <c r="K53" s="66">
        <f t="shared" si="11"/>
        <v>2536.5045726935805</v>
      </c>
      <c r="L53" s="66">
        <f t="shared" si="11"/>
        <v>2544.8500993744738</v>
      </c>
      <c r="M53" s="66">
        <f t="shared" si="11"/>
        <v>2580.4428844396966</v>
      </c>
      <c r="N53" s="66">
        <f t="shared" si="11"/>
        <v>2583.941529770259</v>
      </c>
      <c r="O53" s="66">
        <f t="shared" si="11"/>
        <v>2582.2860814686155</v>
      </c>
      <c r="P53" s="66">
        <f t="shared" si="11"/>
        <v>2582.9227602043998</v>
      </c>
      <c r="Q53" s="66">
        <f t="shared" si="11"/>
        <v>2580.9870899291395</v>
      </c>
      <c r="R53" s="66">
        <f t="shared" si="11"/>
        <v>2569.6890710720495</v>
      </c>
      <c r="S53" s="66">
        <f t="shared" si="11"/>
        <v>2553.6878420764529</v>
      </c>
      <c r="T53" s="66">
        <f t="shared" si="11"/>
        <v>2510.1905132789134</v>
      </c>
      <c r="U53" s="66">
        <f t="shared" si="11"/>
        <v>2502.9154721712921</v>
      </c>
      <c r="V53" s="66">
        <f t="shared" si="11"/>
        <v>2500.6042795437179</v>
      </c>
      <c r="W53" s="66">
        <f t="shared" si="11"/>
        <v>2510.5366572148578</v>
      </c>
      <c r="X53" s="66">
        <f t="shared" si="11"/>
        <v>2517.4823498007208</v>
      </c>
      <c r="Y53" s="66">
        <f t="shared" si="11"/>
        <v>2534.9128446544782</v>
      </c>
      <c r="Z53" s="66">
        <f t="shared" si="11"/>
        <v>2536.0685912389376</v>
      </c>
      <c r="AA53" s="66">
        <f t="shared" si="11"/>
        <v>2530.2064472377888</v>
      </c>
      <c r="AB53" s="66">
        <f t="shared" si="11"/>
        <v>2526.5862187449907</v>
      </c>
      <c r="AC53" s="66">
        <f t="shared" si="11"/>
        <v>2517.314577932912</v>
      </c>
      <c r="AD53" s="66">
        <f t="shared" si="11"/>
        <v>2516.6141638413333</v>
      </c>
      <c r="AE53" s="66">
        <f t="shared" si="11"/>
        <v>2509.768264286638</v>
      </c>
      <c r="AF53" s="66">
        <f t="shared" si="11"/>
        <v>2501.2449642201045</v>
      </c>
      <c r="AG53" s="66">
        <f t="shared" si="11"/>
        <v>2496.2153696373075</v>
      </c>
      <c r="AH53" s="66">
        <f t="shared" si="11"/>
        <v>2475.9769196393058</v>
      </c>
      <c r="AI53" s="66">
        <f t="shared" si="11"/>
        <v>2458.6335853852493</v>
      </c>
      <c r="AJ53" s="66">
        <f t="shared" si="11"/>
        <v>2428.3260539469052</v>
      </c>
      <c r="AK53" s="66">
        <f t="shared" si="11"/>
        <v>2416.6395435438358</v>
      </c>
    </row>
    <row r="54" spans="1:37" x14ac:dyDescent="0.25">
      <c r="A54" t="s">
        <v>643</v>
      </c>
      <c r="B54" s="66">
        <f>SUM(B49:B50)</f>
        <v>3.5670000000000002</v>
      </c>
      <c r="C54" s="66">
        <f t="shared" ref="C54:AK54" si="12">SUM(C49:C50)</f>
        <v>4.831868393507075</v>
      </c>
      <c r="D54" s="66">
        <f t="shared" si="12"/>
        <v>4.8843109863079652</v>
      </c>
      <c r="E54" s="66">
        <f t="shared" si="12"/>
        <v>4.9458566476311745</v>
      </c>
      <c r="F54" s="66">
        <f t="shared" si="12"/>
        <v>4.9975198969562404</v>
      </c>
      <c r="G54" s="66">
        <f t="shared" si="12"/>
        <v>4.9889673328930515</v>
      </c>
      <c r="H54" s="66">
        <f t="shared" si="12"/>
        <v>5.0637032082070306</v>
      </c>
      <c r="I54" s="66">
        <f t="shared" si="12"/>
        <v>5.1282116204286075</v>
      </c>
      <c r="J54" s="66">
        <f t="shared" si="12"/>
        <v>5.1780454030953722</v>
      </c>
      <c r="K54" s="66">
        <f t="shared" si="12"/>
        <v>5.2099791722065874</v>
      </c>
      <c r="L54" s="66">
        <f t="shared" si="12"/>
        <v>5.2212641400959612</v>
      </c>
      <c r="M54" s="66">
        <f t="shared" si="12"/>
        <v>5.2376909363923589</v>
      </c>
      <c r="N54" s="66">
        <f t="shared" si="12"/>
        <v>5.2163273629488343</v>
      </c>
      <c r="O54" s="66">
        <f t="shared" si="12"/>
        <v>5.1729190119969211</v>
      </c>
      <c r="P54" s="66">
        <f t="shared" si="12"/>
        <v>5.206669262455577</v>
      </c>
      <c r="Q54" s="66">
        <f t="shared" si="12"/>
        <v>5.2389456907076601</v>
      </c>
      <c r="R54" s="66">
        <f t="shared" si="12"/>
        <v>5.2108066323318516</v>
      </c>
      <c r="S54" s="66">
        <f t="shared" si="12"/>
        <v>5.1993166392144765</v>
      </c>
      <c r="T54" s="66">
        <f t="shared" si="12"/>
        <v>5.1526119374788086</v>
      </c>
      <c r="U54" s="66">
        <f t="shared" si="12"/>
        <v>5.1651252519759154</v>
      </c>
      <c r="V54" s="66">
        <f t="shared" si="12"/>
        <v>5.1758040429906638</v>
      </c>
      <c r="W54" s="66">
        <f t="shared" si="12"/>
        <v>5.187869066401662</v>
      </c>
      <c r="X54" s="66">
        <f t="shared" si="12"/>
        <v>5.2127793309993304</v>
      </c>
      <c r="Y54" s="66">
        <f t="shared" si="12"/>
        <v>5.1814867788282033</v>
      </c>
      <c r="Z54" s="66">
        <f t="shared" si="12"/>
        <v>5.220357047932259</v>
      </c>
      <c r="AA54" s="66">
        <f t="shared" si="12"/>
        <v>5.2467784906253012</v>
      </c>
      <c r="AB54" s="66">
        <f t="shared" si="12"/>
        <v>5.2306749144266043</v>
      </c>
      <c r="AC54" s="66">
        <f t="shared" si="12"/>
        <v>5.2479443682838705</v>
      </c>
      <c r="AD54" s="66">
        <f t="shared" si="12"/>
        <v>5.2311407130172523</v>
      </c>
      <c r="AE54" s="66">
        <f t="shared" si="12"/>
        <v>5.2432913856229186</v>
      </c>
      <c r="AF54" s="66">
        <f t="shared" si="12"/>
        <v>5.2497986358833497</v>
      </c>
      <c r="AG54" s="66">
        <f t="shared" si="12"/>
        <v>5.2655090719545958</v>
      </c>
      <c r="AH54" s="66">
        <f t="shared" si="12"/>
        <v>5.2914979253962358</v>
      </c>
      <c r="AI54" s="66">
        <f t="shared" si="12"/>
        <v>5.2802456319993381</v>
      </c>
      <c r="AJ54" s="66">
        <f t="shared" si="12"/>
        <v>5.2706521946494815</v>
      </c>
      <c r="AK54" s="66">
        <f t="shared" si="12"/>
        <v>5.3007972990878178</v>
      </c>
    </row>
  </sheetData>
  <hyperlinks>
    <hyperlink ref="C25" r:id="rId1" display="https://www.eia.gov/opendata/qb.php?sdid=PET.MCRFPUS1.A"/>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K26"/>
  <sheetViews>
    <sheetView workbookViewId="0">
      <selection activeCell="B18" sqref="B18"/>
    </sheetView>
  </sheetViews>
  <sheetFormatPr defaultRowHeight="15" x14ac:dyDescent="0.25"/>
  <cols>
    <col min="1" max="1" width="17.28515625" customWidth="1"/>
    <col min="2" max="2" width="12" bestFit="1" customWidth="1"/>
    <col min="4" max="4" width="14.5703125" bestFit="1" customWidth="1"/>
  </cols>
  <sheetData>
    <row r="1" spans="1:37" x14ac:dyDescent="0.25">
      <c r="A1" s="56" t="s">
        <v>739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row>
    <row r="2" spans="1:37" x14ac:dyDescent="0.25">
      <c r="A2" t="s">
        <v>284</v>
      </c>
      <c r="B2" t="s">
        <v>486</v>
      </c>
      <c r="C2" t="s">
        <v>740</v>
      </c>
      <c r="D2" t="s">
        <v>738</v>
      </c>
    </row>
    <row r="3" spans="1:37" x14ac:dyDescent="0.25">
      <c r="A3">
        <v>2012</v>
      </c>
      <c r="B3">
        <v>96</v>
      </c>
      <c r="C3">
        <f>B3-D3</f>
        <v>73.2</v>
      </c>
      <c r="D3">
        <v>22.8</v>
      </c>
      <c r="E3" s="3"/>
    </row>
    <row r="14" spans="1:37" x14ac:dyDescent="0.25">
      <c r="A14" s="56" t="s">
        <v>743</v>
      </c>
      <c r="B14" s="56"/>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row>
    <row r="15" spans="1:37" x14ac:dyDescent="0.25">
      <c r="B15">
        <v>2015</v>
      </c>
      <c r="C15">
        <v>2016</v>
      </c>
      <c r="D15">
        <v>2017</v>
      </c>
      <c r="E15">
        <v>2018</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row>
    <row r="16" spans="1:37" x14ac:dyDescent="0.25">
      <c r="A16" t="s">
        <v>740</v>
      </c>
      <c r="B16">
        <f>$C$3*1.05^(B15-$A$3)</f>
        <v>84.738150000000019</v>
      </c>
      <c r="C16">
        <f t="shared" ref="C16:AK16" si="0">$C$3*1.05^(C15-$A$3)</f>
        <v>88.975057500000005</v>
      </c>
      <c r="D16">
        <f t="shared" si="0"/>
        <v>93.423810375000016</v>
      </c>
      <c r="E16">
        <f t="shared" si="0"/>
        <v>98.095000893749997</v>
      </c>
      <c r="F16">
        <f t="shared" si="0"/>
        <v>102.99975093843751</v>
      </c>
      <c r="G16">
        <f t="shared" si="0"/>
        <v>108.14973848535938</v>
      </c>
      <c r="H16">
        <f t="shared" si="0"/>
        <v>113.55722540962736</v>
      </c>
      <c r="I16">
        <f t="shared" si="0"/>
        <v>119.23508668010872</v>
      </c>
      <c r="J16">
        <f t="shared" si="0"/>
        <v>125.19684101411417</v>
      </c>
      <c r="K16">
        <f t="shared" si="0"/>
        <v>131.45668306481986</v>
      </c>
      <c r="L16">
        <f t="shared" si="0"/>
        <v>138.02951721806087</v>
      </c>
      <c r="M16">
        <f t="shared" si="0"/>
        <v>144.93099307896389</v>
      </c>
      <c r="N16">
        <f t="shared" si="0"/>
        <v>152.17754273291214</v>
      </c>
      <c r="O16">
        <f t="shared" si="0"/>
        <v>159.78641986955773</v>
      </c>
      <c r="P16">
        <f t="shared" si="0"/>
        <v>167.77574086303562</v>
      </c>
      <c r="Q16">
        <f t="shared" si="0"/>
        <v>176.1645279061874</v>
      </c>
      <c r="R16">
        <f t="shared" si="0"/>
        <v>184.97275430149679</v>
      </c>
      <c r="S16">
        <f t="shared" si="0"/>
        <v>194.22139201657163</v>
      </c>
      <c r="T16">
        <f t="shared" si="0"/>
        <v>203.93246161740018</v>
      </c>
      <c r="U16">
        <f t="shared" si="0"/>
        <v>214.12908469827019</v>
      </c>
      <c r="V16">
        <f t="shared" si="0"/>
        <v>224.83553893318376</v>
      </c>
      <c r="W16">
        <f t="shared" si="0"/>
        <v>236.0773158798429</v>
      </c>
      <c r="X16">
        <f t="shared" si="0"/>
        <v>247.88118167383504</v>
      </c>
      <c r="Y16">
        <f t="shared" si="0"/>
        <v>260.27524075752683</v>
      </c>
      <c r="Z16">
        <f t="shared" si="0"/>
        <v>273.28900279540318</v>
      </c>
      <c r="AA16">
        <f t="shared" si="0"/>
        <v>286.95345293517329</v>
      </c>
      <c r="AB16">
        <f t="shared" si="0"/>
        <v>301.30112558193201</v>
      </c>
      <c r="AC16">
        <f t="shared" si="0"/>
        <v>316.36618186102851</v>
      </c>
      <c r="AD16">
        <f t="shared" si="0"/>
        <v>332.18449095408005</v>
      </c>
      <c r="AE16">
        <f t="shared" si="0"/>
        <v>348.79371550178405</v>
      </c>
      <c r="AF16">
        <f t="shared" si="0"/>
        <v>366.23340127687322</v>
      </c>
      <c r="AG16">
        <f t="shared" si="0"/>
        <v>384.5450713407169</v>
      </c>
      <c r="AH16">
        <f t="shared" si="0"/>
        <v>403.77232490775282</v>
      </c>
      <c r="AI16">
        <f t="shared" si="0"/>
        <v>423.96094115314037</v>
      </c>
      <c r="AJ16">
        <f t="shared" si="0"/>
        <v>445.15898821079747</v>
      </c>
      <c r="AK16">
        <f t="shared" si="0"/>
        <v>467.41693762133724</v>
      </c>
    </row>
    <row r="17" spans="1:37" x14ac:dyDescent="0.25">
      <c r="A17" t="s">
        <v>738</v>
      </c>
      <c r="B17">
        <v>27.7</v>
      </c>
      <c r="C17">
        <v>27.7</v>
      </c>
      <c r="D17">
        <v>27.7</v>
      </c>
      <c r="E17">
        <v>27.7</v>
      </c>
      <c r="F17">
        <v>27.7</v>
      </c>
      <c r="G17">
        <v>27.7</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t="s">
        <v>486</v>
      </c>
      <c r="B18">
        <f>SUM(B16:B17)</f>
        <v>112.43815000000002</v>
      </c>
      <c r="C18">
        <f t="shared" ref="C18:AK18" si="1">SUM(C16:C17)</f>
        <v>116.67505750000001</v>
      </c>
      <c r="D18">
        <f t="shared" si="1"/>
        <v>121.12381037500002</v>
      </c>
      <c r="E18">
        <f t="shared" si="1"/>
        <v>125.79500089375</v>
      </c>
      <c r="F18">
        <f t="shared" si="1"/>
        <v>130.69975093843752</v>
      </c>
      <c r="G18">
        <f t="shared" si="1"/>
        <v>135.84973848535938</v>
      </c>
      <c r="H18">
        <f t="shared" si="1"/>
        <v>113.55722540962736</v>
      </c>
      <c r="I18">
        <f t="shared" si="1"/>
        <v>119.23508668010872</v>
      </c>
      <c r="J18">
        <f t="shared" si="1"/>
        <v>125.19684101411417</v>
      </c>
      <c r="K18">
        <f t="shared" si="1"/>
        <v>131.45668306481986</v>
      </c>
      <c r="L18">
        <f t="shared" si="1"/>
        <v>138.02951721806087</v>
      </c>
      <c r="M18">
        <f t="shared" si="1"/>
        <v>144.93099307896389</v>
      </c>
      <c r="N18">
        <f t="shared" si="1"/>
        <v>152.17754273291214</v>
      </c>
      <c r="O18">
        <f t="shared" si="1"/>
        <v>159.78641986955773</v>
      </c>
      <c r="P18">
        <f t="shared" si="1"/>
        <v>167.77574086303562</v>
      </c>
      <c r="Q18">
        <f t="shared" si="1"/>
        <v>176.1645279061874</v>
      </c>
      <c r="R18">
        <f t="shared" si="1"/>
        <v>184.97275430149679</v>
      </c>
      <c r="S18">
        <f t="shared" si="1"/>
        <v>194.22139201657163</v>
      </c>
      <c r="T18">
        <f t="shared" si="1"/>
        <v>203.93246161740018</v>
      </c>
      <c r="U18">
        <f t="shared" si="1"/>
        <v>214.12908469827019</v>
      </c>
      <c r="V18">
        <f t="shared" si="1"/>
        <v>224.83553893318376</v>
      </c>
      <c r="W18">
        <f t="shared" si="1"/>
        <v>236.0773158798429</v>
      </c>
      <c r="X18">
        <f t="shared" si="1"/>
        <v>247.88118167383504</v>
      </c>
      <c r="Y18">
        <f t="shared" si="1"/>
        <v>260.27524075752683</v>
      </c>
      <c r="Z18">
        <f t="shared" si="1"/>
        <v>273.28900279540318</v>
      </c>
      <c r="AA18">
        <f t="shared" si="1"/>
        <v>286.95345293517329</v>
      </c>
      <c r="AB18">
        <f t="shared" si="1"/>
        <v>301.30112558193201</v>
      </c>
      <c r="AC18">
        <f t="shared" si="1"/>
        <v>316.36618186102851</v>
      </c>
      <c r="AD18">
        <f t="shared" si="1"/>
        <v>332.18449095408005</v>
      </c>
      <c r="AE18">
        <f t="shared" si="1"/>
        <v>348.79371550178405</v>
      </c>
      <c r="AF18">
        <f t="shared" si="1"/>
        <v>366.23340127687322</v>
      </c>
      <c r="AG18">
        <f t="shared" si="1"/>
        <v>384.5450713407169</v>
      </c>
      <c r="AH18">
        <f t="shared" si="1"/>
        <v>403.77232490775282</v>
      </c>
      <c r="AI18">
        <f t="shared" si="1"/>
        <v>423.96094115314037</v>
      </c>
      <c r="AJ18">
        <f t="shared" si="1"/>
        <v>445.15898821079747</v>
      </c>
      <c r="AK18">
        <f t="shared" si="1"/>
        <v>467.41693762133724</v>
      </c>
    </row>
    <row r="20" spans="1:37" x14ac:dyDescent="0.25">
      <c r="A20" s="56" t="s">
        <v>741</v>
      </c>
      <c r="B20" s="56"/>
      <c r="C20" s="56"/>
    </row>
    <row r="21" spans="1:37" x14ac:dyDescent="0.25">
      <c r="A21">
        <v>5.3E-3</v>
      </c>
      <c r="B21" t="s">
        <v>742</v>
      </c>
    </row>
    <row r="22" spans="1:37" ht="14.25" customHeight="1" x14ac:dyDescent="0.25"/>
    <row r="23" spans="1:37" x14ac:dyDescent="0.25">
      <c r="A23" s="56" t="s">
        <v>744</v>
      </c>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row>
    <row r="24" spans="1:37" x14ac:dyDescent="0.25">
      <c r="B24">
        <v>2015</v>
      </c>
      <c r="C24">
        <v>2016</v>
      </c>
      <c r="D24">
        <v>2017</v>
      </c>
      <c r="E24">
        <v>2018</v>
      </c>
      <c r="F24">
        <v>2019</v>
      </c>
      <c r="G24">
        <v>2020</v>
      </c>
      <c r="H24">
        <v>2021</v>
      </c>
      <c r="I24">
        <v>2022</v>
      </c>
      <c r="J24">
        <v>2023</v>
      </c>
      <c r="K24">
        <v>2024</v>
      </c>
      <c r="L24">
        <v>2025</v>
      </c>
      <c r="M24">
        <v>2026</v>
      </c>
      <c r="N24">
        <v>2027</v>
      </c>
      <c r="O24">
        <v>2028</v>
      </c>
      <c r="P24">
        <v>2029</v>
      </c>
      <c r="Q24">
        <v>2030</v>
      </c>
      <c r="R24">
        <v>2031</v>
      </c>
      <c r="S24">
        <v>2032</v>
      </c>
      <c r="T24">
        <v>2033</v>
      </c>
      <c r="U24">
        <v>2034</v>
      </c>
      <c r="V24">
        <v>2035</v>
      </c>
      <c r="W24">
        <v>2036</v>
      </c>
      <c r="X24">
        <v>2037</v>
      </c>
      <c r="Y24">
        <v>2038</v>
      </c>
      <c r="Z24">
        <v>2039</v>
      </c>
      <c r="AA24">
        <v>2040</v>
      </c>
      <c r="AB24">
        <v>2041</v>
      </c>
      <c r="AC24">
        <v>2042</v>
      </c>
      <c r="AD24">
        <v>2043</v>
      </c>
      <c r="AE24">
        <v>2044</v>
      </c>
      <c r="AF24">
        <v>2045</v>
      </c>
      <c r="AG24">
        <v>2046</v>
      </c>
      <c r="AH24">
        <v>2047</v>
      </c>
      <c r="AI24">
        <v>2048</v>
      </c>
      <c r="AJ24">
        <v>2049</v>
      </c>
      <c r="AK24">
        <v>2050</v>
      </c>
    </row>
    <row r="25" spans="1:37" x14ac:dyDescent="0.25">
      <c r="A25" t="s">
        <v>745</v>
      </c>
      <c r="B25">
        <f>$A$21*B18</f>
        <v>0.5959221950000001</v>
      </c>
      <c r="C25">
        <f t="shared" ref="C25:AK25" si="2">$A$21*C18</f>
        <v>0.61837780475000004</v>
      </c>
      <c r="D25">
        <f t="shared" si="2"/>
        <v>0.64195619498750012</v>
      </c>
      <c r="E25">
        <f t="shared" si="2"/>
        <v>0.66671350473687496</v>
      </c>
      <c r="F25">
        <f t="shared" si="2"/>
        <v>0.69270867997371888</v>
      </c>
      <c r="G25">
        <f t="shared" si="2"/>
        <v>0.72000361397240475</v>
      </c>
      <c r="H25">
        <f t="shared" si="2"/>
        <v>0.601853294671025</v>
      </c>
      <c r="I25">
        <f t="shared" si="2"/>
        <v>0.63194595940457621</v>
      </c>
      <c r="J25">
        <f t="shared" si="2"/>
        <v>0.66354325737480513</v>
      </c>
      <c r="K25">
        <f t="shared" si="2"/>
        <v>0.69672042024354519</v>
      </c>
      <c r="L25">
        <f t="shared" si="2"/>
        <v>0.73155644125572261</v>
      </c>
      <c r="M25">
        <f t="shared" si="2"/>
        <v>0.76813426331850865</v>
      </c>
      <c r="N25">
        <f t="shared" si="2"/>
        <v>0.80654097648443435</v>
      </c>
      <c r="O25">
        <f t="shared" si="2"/>
        <v>0.84686802530865601</v>
      </c>
      <c r="P25">
        <f t="shared" si="2"/>
        <v>0.8892114265740888</v>
      </c>
      <c r="Q25">
        <f t="shared" si="2"/>
        <v>0.9336719979027932</v>
      </c>
      <c r="R25">
        <f t="shared" si="2"/>
        <v>0.98035559779793302</v>
      </c>
      <c r="S25">
        <f t="shared" si="2"/>
        <v>1.0293733776878295</v>
      </c>
      <c r="T25">
        <f t="shared" si="2"/>
        <v>1.080842046572221</v>
      </c>
      <c r="U25">
        <f t="shared" si="2"/>
        <v>1.1348841489008321</v>
      </c>
      <c r="V25">
        <f t="shared" si="2"/>
        <v>1.1916283563458738</v>
      </c>
      <c r="W25">
        <f t="shared" si="2"/>
        <v>1.2512097741631674</v>
      </c>
      <c r="X25">
        <f t="shared" si="2"/>
        <v>1.3137702628713257</v>
      </c>
      <c r="Y25">
        <f t="shared" si="2"/>
        <v>1.3794587760148922</v>
      </c>
      <c r="Z25">
        <f t="shared" si="2"/>
        <v>1.4484317148156369</v>
      </c>
      <c r="AA25">
        <f t="shared" si="2"/>
        <v>1.5208533005564184</v>
      </c>
      <c r="AB25">
        <f t="shared" si="2"/>
        <v>1.5968959655842396</v>
      </c>
      <c r="AC25">
        <f t="shared" si="2"/>
        <v>1.6767407638634511</v>
      </c>
      <c r="AD25">
        <f t="shared" si="2"/>
        <v>1.7605778020566243</v>
      </c>
      <c r="AE25">
        <f t="shared" si="2"/>
        <v>1.8486066921594555</v>
      </c>
      <c r="AF25">
        <f t="shared" si="2"/>
        <v>1.9410370267674282</v>
      </c>
      <c r="AG25">
        <f t="shared" si="2"/>
        <v>2.0380888781057998</v>
      </c>
      <c r="AH25">
        <f t="shared" si="2"/>
        <v>2.1399933220110898</v>
      </c>
      <c r="AI25">
        <f t="shared" si="2"/>
        <v>2.2469929881116442</v>
      </c>
      <c r="AJ25">
        <f t="shared" si="2"/>
        <v>2.3593426375172268</v>
      </c>
      <c r="AK25">
        <f t="shared" si="2"/>
        <v>2.4773097693930874</v>
      </c>
    </row>
    <row r="26" spans="1:37" x14ac:dyDescent="0.25">
      <c r="A26" t="s">
        <v>746</v>
      </c>
      <c r="B26">
        <f>B25*12400/1000</f>
        <v>7.3894352180000018</v>
      </c>
      <c r="C26">
        <f t="shared" ref="C26:AK26" si="3">C25*12400/1000</f>
        <v>7.6678847789000004</v>
      </c>
      <c r="D26">
        <f t="shared" si="3"/>
        <v>7.9602568178450008</v>
      </c>
      <c r="E26">
        <f t="shared" si="3"/>
        <v>8.2672474587372484</v>
      </c>
      <c r="F26">
        <f t="shared" si="3"/>
        <v>8.5895876316741138</v>
      </c>
      <c r="G26">
        <f t="shared" si="3"/>
        <v>8.9280448132578183</v>
      </c>
      <c r="H26">
        <f t="shared" si="3"/>
        <v>7.4629808539207101</v>
      </c>
      <c r="I26">
        <f t="shared" si="3"/>
        <v>7.836129896616745</v>
      </c>
      <c r="J26">
        <f t="shared" si="3"/>
        <v>8.2279363914475834</v>
      </c>
      <c r="K26">
        <f t="shared" si="3"/>
        <v>8.6393332110199612</v>
      </c>
      <c r="L26">
        <f t="shared" si="3"/>
        <v>9.0712998715709592</v>
      </c>
      <c r="M26">
        <f t="shared" si="3"/>
        <v>9.5248648651495085</v>
      </c>
      <c r="N26">
        <f t="shared" si="3"/>
        <v>10.001108108406987</v>
      </c>
      <c r="O26">
        <f t="shared" si="3"/>
        <v>10.501163513827334</v>
      </c>
      <c r="P26">
        <f t="shared" si="3"/>
        <v>11.026221689518701</v>
      </c>
      <c r="Q26">
        <f t="shared" si="3"/>
        <v>11.577532773994635</v>
      </c>
      <c r="R26">
        <f t="shared" si="3"/>
        <v>12.156409412694369</v>
      </c>
      <c r="S26">
        <f t="shared" si="3"/>
        <v>12.764229883329087</v>
      </c>
      <c r="T26">
        <f t="shared" si="3"/>
        <v>13.40244137749554</v>
      </c>
      <c r="U26">
        <f t="shared" si="3"/>
        <v>14.072563446370319</v>
      </c>
      <c r="V26">
        <f t="shared" si="3"/>
        <v>14.776191618688836</v>
      </c>
      <c r="W26">
        <f t="shared" si="3"/>
        <v>15.515001199623276</v>
      </c>
      <c r="X26">
        <f t="shared" si="3"/>
        <v>16.290751259604438</v>
      </c>
      <c r="Y26">
        <f t="shared" si="3"/>
        <v>17.105288822584662</v>
      </c>
      <c r="Z26">
        <f t="shared" si="3"/>
        <v>17.960553263713898</v>
      </c>
      <c r="AA26">
        <f t="shared" si="3"/>
        <v>18.858580926899588</v>
      </c>
      <c r="AB26">
        <f t="shared" si="3"/>
        <v>19.801509973244571</v>
      </c>
      <c r="AC26">
        <f t="shared" si="3"/>
        <v>20.791585471906792</v>
      </c>
      <c r="AD26">
        <f t="shared" si="3"/>
        <v>21.831164745502143</v>
      </c>
      <c r="AE26">
        <f t="shared" si="3"/>
        <v>22.922722982777248</v>
      </c>
      <c r="AF26">
        <f t="shared" si="3"/>
        <v>24.06885913191611</v>
      </c>
      <c r="AG26">
        <f t="shared" si="3"/>
        <v>25.272302088511918</v>
      </c>
      <c r="AH26">
        <f t="shared" si="3"/>
        <v>26.535917192937514</v>
      </c>
      <c r="AI26">
        <f t="shared" si="3"/>
        <v>27.862713052584386</v>
      </c>
      <c r="AJ26">
        <f t="shared" si="3"/>
        <v>29.255848705213612</v>
      </c>
      <c r="AK26">
        <f t="shared" si="3"/>
        <v>30.718641140474283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vt:i4>
      </vt:variant>
    </vt:vector>
  </HeadingPairs>
  <TitlesOfParts>
    <vt:vector size="39" baseType="lpstr">
      <vt:lpstr>About</vt:lpstr>
      <vt:lpstr>Cross-Page Data</vt:lpstr>
      <vt:lpstr>Non-Energy FF CO2 Emissions</vt:lpstr>
      <vt:lpstr>Cement CO2 Emissions</vt:lpstr>
      <vt:lpstr>Iron and Steel</vt:lpstr>
      <vt:lpstr>Coal Mining</vt:lpstr>
      <vt:lpstr>Natural Gas Systems</vt:lpstr>
      <vt:lpstr>Petroleum Systems</vt:lpstr>
      <vt:lpstr>Chem - HCFC 22 Production</vt:lpstr>
      <vt:lpstr>Chem - ODS</vt:lpstr>
      <vt:lpstr>Other - Aluminum</vt:lpstr>
      <vt:lpstr>Other - Magnesium</vt:lpstr>
      <vt:lpstr>Other - Semiconductor Mfg</vt:lpstr>
      <vt:lpstr>Other - Elec Trans and Dist</vt:lpstr>
      <vt:lpstr>Agriculture - EF &amp; Manure Mgmt</vt:lpstr>
      <vt:lpstr>Agriculture - Rice Cultivation</vt:lpstr>
      <vt:lpstr>Agriculture - Soil Mgmt</vt:lpstr>
      <vt:lpstr>Waste - Landfills</vt:lpstr>
      <vt:lpstr>Waste - Water Treatment</vt:lpstr>
      <vt:lpstr>Other Industrial Processes</vt:lpstr>
      <vt:lpstr>Combined Data</vt:lpstr>
      <vt:lpstr>BPEiC-CO2</vt:lpstr>
      <vt:lpstr>BPEiC-CH4</vt:lpstr>
      <vt:lpstr>BPEiC-N2O</vt:lpstr>
      <vt:lpstr>BPEiC-F-gases</vt:lpstr>
      <vt:lpstr>EPA (2017) Table A3.6-1</vt:lpstr>
      <vt:lpstr>EPA (2017) Table A3.6-7</vt:lpstr>
      <vt:lpstr>EPA (2017) Table A3.6-10</vt:lpstr>
      <vt:lpstr>AEO 2017_Table 6</vt:lpstr>
      <vt:lpstr>AEO 2017_Table 11</vt:lpstr>
      <vt:lpstr>AEO 2017_Table 13</vt:lpstr>
      <vt:lpstr>AEO 2017_Table 15</vt:lpstr>
      <vt:lpstr>AEO 2017_Table 19</vt:lpstr>
      <vt:lpstr>AEO 2017_Table 20</vt:lpstr>
      <vt:lpstr>AEO 2017_Table 24</vt:lpstr>
      <vt:lpstr>AEO 2017_Table 62</vt:lpstr>
      <vt:lpstr>AEO 2016_Table 6</vt:lpstr>
      <vt:lpstr>CH4_to_CO2e</vt:lpstr>
      <vt:lpstr>N2O_to_CO2e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Robbie</cp:lastModifiedBy>
  <dcterms:created xsi:type="dcterms:W3CDTF">2017-04-14T18:15:39Z</dcterms:created>
  <dcterms:modified xsi:type="dcterms:W3CDTF">2017-08-09T23:49:44Z</dcterms:modified>
</cp:coreProperties>
</file>